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2.xml" ContentType="application/vnd.openxmlformats-officedocument.drawing+xml"/>
  <Override PartName="/xl/drawings/drawing51.xml" ContentType="application/vnd.openxmlformats-officedocument.drawing+xml"/>
  <Override PartName="/xl/drawings/drawing50.xml" ContentType="application/vnd.openxmlformats-officedocument.drawing+xml"/>
  <Override PartName="/xl/drawings/drawing49.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56.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35.xml" ContentType="application/vnd.openxmlformats-officedocument.drawing+xml"/>
  <Override PartName="/xl/worksheets/sheet1.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drawings/drawing15.xml" ContentType="application/vnd.openxmlformats-officedocument.drawing+xml"/>
  <Override PartName="/xl/worksheets/sheet78.xml" ContentType="application/vnd.openxmlformats-officedocument.spreadsheetml.worksheet+xml"/>
  <Override PartName="/xl/drawings/drawing27.xml" ContentType="application/vnd.openxmlformats-officedocument.drawing+xml"/>
  <Override PartName="/xl/worksheets/sheet83.xml" ContentType="application/vnd.openxmlformats-officedocument.spreadsheetml.worksheet+xml"/>
  <Override PartName="/xl/drawings/drawing26.xml" ContentType="application/vnd.openxmlformats-officedocument.drawing+xml"/>
  <Override PartName="/xl/worksheets/sheet84.xml" ContentType="application/vnd.openxmlformats-officedocument.spreadsheetml.worksheet+xml"/>
  <Override PartName="/xl/drawings/drawing25.xml" ContentType="application/vnd.openxmlformats-officedocument.drawing+xml"/>
  <Override PartName="/xl/theme/theme1.xml" ContentType="application/vnd.openxmlformats-officedocument.theme+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drawings/drawing28.xml" ContentType="application/vnd.openxmlformats-officedocument.drawing+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11.xml" ContentType="application/vnd.openxmlformats-officedocument.drawing+xml"/>
  <Override PartName="/xl/drawings/drawing21.xml" ContentType="application/vnd.openxmlformats-officedocument.drawing+xml"/>
  <Override PartName="/xl/drawings/drawing12.xml" ContentType="application/vnd.openxmlformats-officedocument.drawing+xml"/>
  <Override PartName="/xl/drawings/drawing18.xml" ContentType="application/vnd.openxmlformats-officedocument.drawing+xml"/>
  <Override PartName="/xl/drawings/drawing13.xml" ContentType="application/vnd.openxmlformats-officedocument.drawing+xml"/>
  <Override PartName="/xl/drawings/drawing16.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4.xml" ContentType="application/vnd.openxmlformats-officedocument.drawing+xml"/>
  <Override PartName="/xl/drawings/drawing2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23.xml" ContentType="application/vnd.openxmlformats-officedocument.drawing+xml"/>
  <Override PartName="/xl/drawings/drawing8.xml" ContentType="application/vnd.openxmlformats-officedocument.drawing+xml"/>
  <Override PartName="/xl/drawings/drawing22.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62.xml" ContentType="application/vnd.openxmlformats-officedocument.spreadsheetml.worksheet+xml"/>
  <Override PartName="/xl/worksheets/sheet79.xml" ContentType="application/vnd.openxmlformats-officedocument.spreadsheetml.worksheet+xml"/>
  <Override PartName="/xl/worksheets/sheet60.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6.xml" ContentType="application/vnd.openxmlformats-officedocument.spreadsheetml.worksheet+xml"/>
  <Override PartName="/xl/drawings/drawing32.xml" ContentType="application/vnd.openxmlformats-officedocument.drawing+xml"/>
  <Override PartName="/xl/worksheets/sheet2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drawings/drawing33.xml" ContentType="application/vnd.openxmlformats-officedocument.drawing+xml"/>
  <Override PartName="/xl/worksheets/sheet18.xml" ContentType="application/vnd.openxmlformats-officedocument.spreadsheetml.worksheet+xml"/>
  <Override PartName="/xl/worksheets/sheet9.xml" ContentType="application/vnd.openxmlformats-officedocument.spreadsheetml.worksheet+xml"/>
  <Override PartName="/xl/drawings/drawing34.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4.xml" ContentType="application/vnd.openxmlformats-officedocument.spreadsheetml.worksheet+xml"/>
  <Override PartName="/xl/worksheets/sheet61.xml" ContentType="application/vnd.openxmlformats-officedocument.spreadsheetml.worksheet+xml"/>
  <Override PartName="/xl/worksheets/sheet50.xml" ContentType="application/vnd.openxmlformats-officedocument.spreadsheetml.worksheet+xml"/>
  <Override PartName="/xl/drawings/drawing31.xml" ContentType="application/vnd.openxmlformats-officedocument.drawing+xml"/>
  <Override PartName="/xl/worksheets/sheet40.xml" ContentType="application/vnd.openxmlformats-officedocument.spreadsheetml.worksheet+xml"/>
  <Override PartName="/xl/worksheets/sheet54.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5.xml" ContentType="application/vnd.openxmlformats-officedocument.spreadsheetml.worksheet+xml"/>
  <Override PartName="/xl/drawings/drawing30.xml" ContentType="application/vnd.openxmlformats-officedocument.drawing+xml"/>
  <Override PartName="/xl/worksheets/sheet44.xml" ContentType="application/vnd.openxmlformats-officedocument.spreadsheetml.worksheet+xml"/>
  <Override PartName="/xl/worksheets/sheet39.xml" ContentType="application/vnd.openxmlformats-officedocument.spreadsheetml.worksheet+xml"/>
  <Override PartName="/xl/worksheets/sheet56.xml" ContentType="application/vnd.openxmlformats-officedocument.spreadsheetml.worksheet+xml"/>
  <Override PartName="/xl/worksheets/sheet35.xml" ContentType="application/vnd.openxmlformats-officedocument.spreadsheetml.worksheet+xml"/>
  <Override PartName="/xl/drawings/drawing29.xml" ContentType="application/vnd.openxmlformats-officedocument.drawing+xml"/>
  <Override PartName="/xl/worksheets/sheet48.xml" ContentType="application/vnd.openxmlformats-officedocument.spreadsheetml.worksheet+xml"/>
  <Override PartName="/xl/worksheets/sheet47.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38.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9.xml" ContentType="application/vnd.openxmlformats-officedocument.spreadsheetml.worksheet+xml"/>
  <Override PartName="/xl/externalLinks/externalLink2.xml" ContentType="application/vnd.openxmlformats-officedocument.spreadsheetml.externalLink+xml"/>
  <Override PartName="/xl/comments4.xml" ContentType="application/vnd.openxmlformats-officedocument.spreadsheetml.comments+xml"/>
  <Override PartName="/xl/externalLinks/externalLink1.xml" ContentType="application/vnd.openxmlformats-officedocument.spreadsheetml.externalLink+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fileSharing readOnlyRecommended="1"/>
  <workbookPr defaultThemeVersion="124226"/>
  <bookViews>
    <workbookView xWindow="9828" yWindow="-12" windowWidth="9840" windowHeight="10296" tabRatio="907"/>
  </bookViews>
  <sheets>
    <sheet name="CE Segment Definitions" sheetId="87" r:id="rId1"/>
    <sheet name="1) Portfolio View" sheetId="2" r:id="rId2"/>
    <sheet name="1a) Portfolio--2012 only" sheetId="92" r:id="rId3"/>
    <sheet name="2) Sector View Electric" sheetId="3" r:id="rId4"/>
    <sheet name="3) Sector View Gas" sheetId="4" r:id="rId5"/>
    <sheet name="4) Detail_REM Sch 201 Elec " sheetId="5" r:id="rId6"/>
    <sheet name="5) Detail_REM Sch 214 Elec" sheetId="6" r:id="rId7"/>
    <sheet name="5a) Detail_214HomePrint Elec" sheetId="7" r:id="rId8"/>
    <sheet name="5b) Detail_214WaterHeat Elec" sheetId="8" r:id="rId9"/>
    <sheet name="5c) Detail_214Wx Elec" sheetId="9" r:id="rId10"/>
    <sheet name="5d) Detail_214SpcHeat Elec" sheetId="10" r:id="rId11"/>
    <sheet name="5e) Detail_214RefRepl Elec" sheetId="11" r:id="rId12"/>
    <sheet name="5f) Detail_214HmAppplc Elec" sheetId="12" r:id="rId13"/>
    <sheet name="5g) Detail_214ShwrHead  Elec" sheetId="13" r:id="rId14"/>
    <sheet name="5h) Detail_214Lighting Elec" sheetId="14" r:id="rId15"/>
    <sheet name="6) Detail_REM Sch 215 Elec" sheetId="15" r:id="rId16"/>
    <sheet name="6a) Detail_215NCMfgHome Elec" sheetId="16" r:id="rId17"/>
    <sheet name="7) Detail_REM Sch 216 Elec" sheetId="17" r:id="rId18"/>
    <sheet name="8) Detail_REM Sch 217 Elec" sheetId="18" r:id="rId19"/>
    <sheet name="9) Detail_REM Sch 218 Elec" sheetId="19" r:id="rId20"/>
    <sheet name="10) Detail_REM Sch 249 Elec" sheetId="20" r:id="rId21"/>
    <sheet name="10a) Detail_249HmEngryRpt  Elec" sheetId="21" r:id="rId22"/>
    <sheet name="11) Detail_REM Sch 203 Gas" sheetId="22" r:id="rId23"/>
    <sheet name="12) Detail_REM Sch 214 Gas" sheetId="23" r:id="rId24"/>
    <sheet name="12a) Detail_214HmPrint Gas" sheetId="24" r:id="rId25"/>
    <sheet name="12b) Detail_214WtrHeat Gas" sheetId="25" r:id="rId26"/>
    <sheet name="12c) Detail_214Wx Gas" sheetId="26" r:id="rId27"/>
    <sheet name="12d) Detail_214SpHeat Gas" sheetId="27" r:id="rId28"/>
    <sheet name="12e) Detail_214ShwrHead Gas" sheetId="28" r:id="rId29"/>
    <sheet name="12f) Detail_214HmApplSvgs Gas" sheetId="95" r:id="rId30"/>
    <sheet name="13) Detail_REM Sch 215 Gas" sheetId="29" r:id="rId31"/>
    <sheet name="13a) Detail_215MfgHomes Gas" sheetId="30" r:id="rId32"/>
    <sheet name="14) Detail_REM Sch 217 Gas" sheetId="31" r:id="rId33"/>
    <sheet name="15) Detail_REM Sch 218 Gas" sheetId="32" r:id="rId34"/>
    <sheet name="16) Detail_REM Sch 249 Gas" sheetId="33" r:id="rId35"/>
    <sheet name="16a) Detail_249HmEnrgyRpt Gas" sheetId="34" r:id="rId36"/>
    <sheet name="17) Detail_BEM Sch 250 Elec" sheetId="35" r:id="rId37"/>
    <sheet name="18) Detail_BEM Sch 251 Elec" sheetId="36" r:id="rId38"/>
    <sheet name="19) Detail_BEM Sch 253 Elec" sheetId="37" r:id="rId39"/>
    <sheet name="20) Detail_BEM Sch 255 Elec" sheetId="38" r:id="rId40"/>
    <sheet name="21) Detail_BEM Sch 257 Elec" sheetId="39" r:id="rId41"/>
    <sheet name="22) Detail_BEM Sch 258 Elec" sheetId="40" r:id="rId42"/>
    <sheet name="23) Detail_BEM Sch 261 Elec" sheetId="41" r:id="rId43"/>
    <sheet name="24) Detail_BEM Sch 262 Elec" sheetId="42" r:id="rId44"/>
    <sheet name="25) Detail_BEM Sch 205 Gas" sheetId="43" r:id="rId45"/>
    <sheet name="26) Detail_BEM Sch 208 Gas" sheetId="44" r:id="rId46"/>
    <sheet name="27) Detail_BEM Sch 251 Gas" sheetId="45" r:id="rId47"/>
    <sheet name="28) Detail_BEM Sch 261 Gas" sheetId="46" r:id="rId48"/>
    <sheet name="29) Detail_BEM Sch 262 Gas" sheetId="47" r:id="rId49"/>
    <sheet name="30) Detail_NEEA elec" sheetId="48" r:id="rId50"/>
    <sheet name="31) Detail_T&amp;D elec" sheetId="49" r:id="rId51"/>
    <sheet name="32) Detail_PS_Cust Engage Elec" sheetId="50" r:id="rId52"/>
    <sheet name="32a) Detail_PSCE_EAs Elec" sheetId="51" r:id="rId53"/>
    <sheet name="32b) Detail_PSCE_Events Elec" sheetId="52" r:id="rId54"/>
    <sheet name="32c) Detail_PSCE_Broch Elec" sheetId="53" r:id="rId55"/>
    <sheet name="32d) Detail_PSCE_Edu Elec" sheetId="54" r:id="rId56"/>
    <sheet name="33) Detail_PS_Web Exp Elec" sheetId="55" r:id="rId57"/>
    <sheet name="33a) Detail_PSWE_Main Grn Elec" sheetId="56" r:id="rId58"/>
    <sheet name="33b) Detail_PSWE_Mkt Int Elec" sheetId="57" r:id="rId59"/>
    <sheet name="34) Detail_PS_EE Comm Elec" sheetId="58" r:id="rId60"/>
    <sheet name="35) Detail_PS_ Trade Ally Elec" sheetId="59" r:id="rId61"/>
    <sheet name="36) Detail_PS_Mktg Resch Elec" sheetId="60" r:id="rId62"/>
    <sheet name="37) Detail_PS Cust Engage Gas" sheetId="61" r:id="rId63"/>
    <sheet name="37a) Detail_PSCE_EAs Gas" sheetId="62" r:id="rId64"/>
    <sheet name="37b) Detail_PSCE_Events Gas" sheetId="63" r:id="rId65"/>
    <sheet name="37c) Detail_PSCE_Broch Gas" sheetId="64" r:id="rId66"/>
    <sheet name="37d) Detail_PSCE_Edu Gas" sheetId="65" r:id="rId67"/>
    <sheet name="38) Detail_PS_Web Exp Gas" sheetId="66" r:id="rId68"/>
    <sheet name="38a) Detail_PSWE_Main Grn Gas" sheetId="67" r:id="rId69"/>
    <sheet name="38b) Detail_PSWE_Mkt Int Gas" sheetId="68" r:id="rId70"/>
    <sheet name="39) Detail_PS_EE Comm Gas" sheetId="69" r:id="rId71"/>
    <sheet name="40) Detail_PS_Trade Ally gas" sheetId="70" r:id="rId72"/>
    <sheet name="41) Detail_PS_Mktg Rsch gas" sheetId="71" r:id="rId73"/>
    <sheet name="42) Detail_R&amp;C_Supp Crv Elec" sheetId="72" r:id="rId74"/>
    <sheet name="43) Detail_R&amp;C_Strat Pln Elec" sheetId="73" r:id="rId75"/>
    <sheet name="44) Detail_R&amp;C_Eval Elec" sheetId="74" r:id="rId76"/>
    <sheet name="45) Detail_R&amp;C_Support Elec" sheetId="75" r:id="rId77"/>
    <sheet name="46) Detail_R&amp;C_Supp Crv gas" sheetId="76" r:id="rId78"/>
    <sheet name="47) Detail_R&amp;C_Strat Pln Gas" sheetId="77" r:id="rId79"/>
    <sheet name="48) Detail_R&amp;C_Eval Gas" sheetId="78" r:id="rId80"/>
    <sheet name="49) Detail_R&amp;C_Support Gas" sheetId="79" r:id="rId81"/>
    <sheet name="50) Details_Oth Elec_Net Mtr" sheetId="80" r:id="rId82"/>
    <sheet name="51) Details_Oth Elec_Renew Ed" sheetId="81" r:id="rId83"/>
    <sheet name="52) Details_Oth Elec_CI Load Cr" sheetId="82" r:id="rId84"/>
    <sheet name="53) Details_Oth Elec_Res DR" sheetId="83" r:id="rId85"/>
    <sheet name="54) BEM In-house savings" sheetId="94" r:id="rId86"/>
    <sheet name="55) BEM Contracted savings" sheetId="93" r:id="rId87"/>
  </sheets>
  <externalReferences>
    <externalReference r:id="rId88"/>
    <externalReference r:id="rId89"/>
  </externalReferences>
  <definedNames>
    <definedName name="luOrderNum">[1]luOrder!$A$1:$F$55</definedName>
  </definedNames>
  <calcPr calcId="145621" iterate="1" iterateDelta="0"/>
  <customWorkbookViews>
    <customWorkbookView name="Andy Hemstreet - Personal View" guid="{074EB09C-6289-46D7-9513-012B68BCA7BF}" autoUpdate="1" mergeInterval="15" personalView="1" maximized="1" xWindow="1" yWindow="1" windowWidth="1280" windowHeight="808" tabRatio="907" activeSheetId="2"/>
  </customWorkbookViews>
</workbook>
</file>

<file path=xl/calcChain.xml><?xml version="1.0" encoding="utf-8"?>
<calcChain xmlns="http://schemas.openxmlformats.org/spreadsheetml/2006/main">
  <c r="J53" i="92" l="1"/>
  <c r="J52" i="92"/>
  <c r="J51" i="92"/>
  <c r="J50" i="92"/>
  <c r="J49" i="92"/>
  <c r="I26" i="92"/>
  <c r="H53" i="92"/>
  <c r="H52" i="92"/>
  <c r="H51" i="92"/>
  <c r="H50" i="92"/>
  <c r="H49" i="92"/>
  <c r="H36" i="92"/>
  <c r="G37" i="92"/>
  <c r="G36" i="92"/>
  <c r="J50" i="2"/>
  <c r="J49" i="2"/>
  <c r="J48" i="2"/>
  <c r="J47" i="2"/>
  <c r="J46" i="2"/>
  <c r="H50" i="2"/>
  <c r="H49" i="2"/>
  <c r="H48" i="2"/>
  <c r="H47" i="2"/>
  <c r="H46" i="2"/>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62" i="31"/>
  <c r="S63" i="31"/>
  <c r="U63" i="31" s="1"/>
  <c r="S64" i="31"/>
  <c r="U64" i="31" s="1"/>
  <c r="S65" i="31"/>
  <c r="U65" i="31" s="1"/>
  <c r="S66" i="31"/>
  <c r="U66" i="31" s="1"/>
  <c r="S67" i="31"/>
  <c r="U67" i="31" s="1"/>
  <c r="S68" i="31"/>
  <c r="U68" i="31" s="1"/>
  <c r="S69" i="31"/>
  <c r="U69" i="31" s="1"/>
  <c r="S70" i="31"/>
  <c r="U70" i="31" s="1"/>
  <c r="S71" i="31"/>
  <c r="U71" i="31" s="1"/>
  <c r="S72" i="31"/>
  <c r="U72" i="31" s="1"/>
  <c r="S73" i="31"/>
  <c r="U73" i="31" s="1"/>
  <c r="S74" i="31"/>
  <c r="U74" i="31" s="1"/>
  <c r="S75" i="31"/>
  <c r="U75" i="31" s="1"/>
  <c r="S76" i="31"/>
  <c r="U76" i="31" s="1"/>
  <c r="S77" i="31"/>
  <c r="U77" i="31" s="1"/>
  <c r="S78" i="31"/>
  <c r="U78" i="31" s="1"/>
  <c r="S79" i="31"/>
  <c r="U79" i="31" s="1"/>
  <c r="S80" i="31"/>
  <c r="U80" i="31" s="1"/>
  <c r="S81" i="31"/>
  <c r="U81" i="31" s="1"/>
  <c r="S82" i="31"/>
  <c r="U82" i="31" s="1"/>
  <c r="S83" i="31"/>
  <c r="U83" i="31" s="1"/>
  <c r="S84" i="31"/>
  <c r="U84" i="31" s="1"/>
  <c r="S85" i="31"/>
  <c r="U85" i="31" s="1"/>
  <c r="S86" i="31"/>
  <c r="U86" i="31" s="1"/>
  <c r="S87" i="31"/>
  <c r="U87" i="31" s="1"/>
  <c r="S88" i="31"/>
  <c r="U88" i="31" s="1"/>
  <c r="S89" i="31"/>
  <c r="U89" i="31" s="1"/>
  <c r="S90" i="31"/>
  <c r="U90" i="31" s="1"/>
  <c r="S91" i="31"/>
  <c r="U91" i="31" s="1"/>
  <c r="S92" i="31"/>
  <c r="U92" i="31" s="1"/>
  <c r="S93" i="31"/>
  <c r="U93" i="31" s="1"/>
  <c r="S94" i="31"/>
  <c r="U94" i="31" s="1"/>
  <c r="S95" i="31"/>
  <c r="U95" i="31" s="1"/>
  <c r="S96" i="31"/>
  <c r="U96" i="31" s="1"/>
  <c r="S97" i="31"/>
  <c r="U97" i="31" s="1"/>
  <c r="S98" i="31"/>
  <c r="U98" i="31" s="1"/>
  <c r="S99" i="31"/>
  <c r="U99" i="31" s="1"/>
  <c r="S100" i="31"/>
  <c r="U100" i="31" s="1"/>
  <c r="S101" i="31"/>
  <c r="U101" i="31" s="1"/>
  <c r="S102" i="31"/>
  <c r="U102" i="31" s="1"/>
  <c r="S103" i="31"/>
  <c r="U103" i="31" s="1"/>
  <c r="S62" i="31"/>
  <c r="U62" i="31" s="1"/>
  <c r="T63" i="29"/>
  <c r="T64" i="29"/>
  <c r="T65" i="29"/>
  <c r="T66" i="29"/>
  <c r="T67" i="29"/>
  <c r="T68" i="29"/>
  <c r="T69" i="29"/>
  <c r="T70" i="29"/>
  <c r="T71" i="29"/>
  <c r="T62" i="29"/>
  <c r="S63" i="29"/>
  <c r="U63" i="29" s="1"/>
  <c r="S64" i="29"/>
  <c r="U64" i="29" s="1"/>
  <c r="S65" i="29"/>
  <c r="U65" i="29" s="1"/>
  <c r="S66" i="29"/>
  <c r="U66" i="29" s="1"/>
  <c r="S67" i="29"/>
  <c r="U67" i="29" s="1"/>
  <c r="S68" i="29"/>
  <c r="U68" i="29" s="1"/>
  <c r="S69" i="29"/>
  <c r="U69" i="29" s="1"/>
  <c r="S70" i="29"/>
  <c r="U70" i="29" s="1"/>
  <c r="S71" i="29"/>
  <c r="U71" i="29" s="1"/>
  <c r="S62" i="29"/>
  <c r="U62" i="29" s="1"/>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09" i="5"/>
  <c r="T198" i="5" s="1"/>
  <c r="E52" i="5" s="1"/>
  <c r="S110" i="5"/>
  <c r="U110" i="5" s="1"/>
  <c r="S111" i="5"/>
  <c r="U111" i="5" s="1"/>
  <c r="S112" i="5"/>
  <c r="U112" i="5" s="1"/>
  <c r="S113" i="5"/>
  <c r="U113" i="5" s="1"/>
  <c r="S114" i="5"/>
  <c r="U114" i="5" s="1"/>
  <c r="S115" i="5"/>
  <c r="U115" i="5" s="1"/>
  <c r="S116" i="5"/>
  <c r="U116" i="5" s="1"/>
  <c r="S117" i="5"/>
  <c r="U117" i="5" s="1"/>
  <c r="S118" i="5"/>
  <c r="U118" i="5" s="1"/>
  <c r="S119" i="5"/>
  <c r="U119" i="5" s="1"/>
  <c r="S120" i="5"/>
  <c r="U120" i="5" s="1"/>
  <c r="S121" i="5"/>
  <c r="U121" i="5" s="1"/>
  <c r="S122" i="5"/>
  <c r="U122" i="5" s="1"/>
  <c r="S123" i="5"/>
  <c r="U123" i="5" s="1"/>
  <c r="S124" i="5"/>
  <c r="U124" i="5" s="1"/>
  <c r="S125" i="5"/>
  <c r="U125" i="5" s="1"/>
  <c r="S126" i="5"/>
  <c r="U126" i="5" s="1"/>
  <c r="S127" i="5"/>
  <c r="U127" i="5" s="1"/>
  <c r="S128" i="5"/>
  <c r="U128" i="5" s="1"/>
  <c r="S129" i="5"/>
  <c r="U129" i="5" s="1"/>
  <c r="S130" i="5"/>
  <c r="U130" i="5" s="1"/>
  <c r="S131" i="5"/>
  <c r="U131" i="5" s="1"/>
  <c r="S132" i="5"/>
  <c r="U132" i="5" s="1"/>
  <c r="S133" i="5"/>
  <c r="U133" i="5" s="1"/>
  <c r="S134" i="5"/>
  <c r="U134" i="5" s="1"/>
  <c r="S135" i="5"/>
  <c r="U135" i="5" s="1"/>
  <c r="S136" i="5"/>
  <c r="U136" i="5" s="1"/>
  <c r="S137" i="5"/>
  <c r="U137" i="5" s="1"/>
  <c r="S138" i="5"/>
  <c r="U138" i="5" s="1"/>
  <c r="S139" i="5"/>
  <c r="U139" i="5" s="1"/>
  <c r="S140" i="5"/>
  <c r="U140" i="5" s="1"/>
  <c r="S141" i="5"/>
  <c r="U141" i="5" s="1"/>
  <c r="S142" i="5"/>
  <c r="U142" i="5" s="1"/>
  <c r="S143" i="5"/>
  <c r="U143" i="5" s="1"/>
  <c r="S144" i="5"/>
  <c r="U144" i="5" s="1"/>
  <c r="S145" i="5"/>
  <c r="U145" i="5" s="1"/>
  <c r="S146" i="5"/>
  <c r="U146" i="5" s="1"/>
  <c r="S147" i="5"/>
  <c r="U147" i="5" s="1"/>
  <c r="S148" i="5"/>
  <c r="U148" i="5" s="1"/>
  <c r="S149" i="5"/>
  <c r="U149" i="5" s="1"/>
  <c r="S150" i="5"/>
  <c r="U150" i="5" s="1"/>
  <c r="S151" i="5"/>
  <c r="U151" i="5" s="1"/>
  <c r="S152" i="5"/>
  <c r="U152" i="5" s="1"/>
  <c r="S153" i="5"/>
  <c r="U153" i="5" s="1"/>
  <c r="S154" i="5"/>
  <c r="U154" i="5" s="1"/>
  <c r="S155" i="5"/>
  <c r="U155" i="5" s="1"/>
  <c r="S156" i="5"/>
  <c r="U156" i="5" s="1"/>
  <c r="S157" i="5"/>
  <c r="U157" i="5" s="1"/>
  <c r="S158" i="5"/>
  <c r="U158" i="5" s="1"/>
  <c r="S159" i="5"/>
  <c r="U159" i="5" s="1"/>
  <c r="S160" i="5"/>
  <c r="U160" i="5" s="1"/>
  <c r="S161" i="5"/>
  <c r="U161" i="5" s="1"/>
  <c r="S162" i="5"/>
  <c r="U162" i="5" s="1"/>
  <c r="S163" i="5"/>
  <c r="U163" i="5" s="1"/>
  <c r="S164" i="5"/>
  <c r="U164" i="5" s="1"/>
  <c r="S165" i="5"/>
  <c r="U165" i="5" s="1"/>
  <c r="S166" i="5"/>
  <c r="U166" i="5" s="1"/>
  <c r="S167" i="5"/>
  <c r="U167" i="5" s="1"/>
  <c r="S168" i="5"/>
  <c r="U168" i="5" s="1"/>
  <c r="S169" i="5"/>
  <c r="U169" i="5" s="1"/>
  <c r="S170" i="5"/>
  <c r="U170" i="5" s="1"/>
  <c r="S171" i="5"/>
  <c r="U171" i="5" s="1"/>
  <c r="S172" i="5"/>
  <c r="U172" i="5" s="1"/>
  <c r="S173" i="5"/>
  <c r="U173" i="5" s="1"/>
  <c r="S174" i="5"/>
  <c r="U174" i="5" s="1"/>
  <c r="S175" i="5"/>
  <c r="U175" i="5" s="1"/>
  <c r="S176" i="5"/>
  <c r="U176" i="5" s="1"/>
  <c r="S177" i="5"/>
  <c r="U177" i="5" s="1"/>
  <c r="S178" i="5"/>
  <c r="U178" i="5" s="1"/>
  <c r="S179" i="5"/>
  <c r="U179" i="5" s="1"/>
  <c r="S180" i="5"/>
  <c r="U180" i="5" s="1"/>
  <c r="S181" i="5"/>
  <c r="U181" i="5" s="1"/>
  <c r="S182" i="5"/>
  <c r="U182" i="5" s="1"/>
  <c r="S183" i="5"/>
  <c r="U183" i="5" s="1"/>
  <c r="S184" i="5"/>
  <c r="U184" i="5" s="1"/>
  <c r="S185" i="5"/>
  <c r="U185" i="5" s="1"/>
  <c r="S186" i="5"/>
  <c r="U186" i="5" s="1"/>
  <c r="S187" i="5"/>
  <c r="U187" i="5" s="1"/>
  <c r="S188" i="5"/>
  <c r="U188" i="5" s="1"/>
  <c r="S189" i="5"/>
  <c r="U189" i="5" s="1"/>
  <c r="S190" i="5"/>
  <c r="U190" i="5" s="1"/>
  <c r="S191" i="5"/>
  <c r="U191" i="5" s="1"/>
  <c r="S192" i="5"/>
  <c r="U192" i="5" s="1"/>
  <c r="S193" i="5"/>
  <c r="U193" i="5" s="1"/>
  <c r="S194" i="5"/>
  <c r="U194" i="5" s="1"/>
  <c r="S195" i="5"/>
  <c r="U195" i="5" s="1"/>
  <c r="S196" i="5"/>
  <c r="U196" i="5" s="1"/>
  <c r="S197" i="5"/>
  <c r="U197" i="5" s="1"/>
  <c r="S109" i="5"/>
  <c r="U109" i="5" s="1"/>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2" i="5"/>
  <c r="L13" i="5"/>
  <c r="Q13" i="5" s="1"/>
  <c r="L14" i="5"/>
  <c r="Q14" i="5" s="1"/>
  <c r="L15" i="5"/>
  <c r="Q15" i="5" s="1"/>
  <c r="L16" i="5"/>
  <c r="Q16" i="5" s="1"/>
  <c r="L17" i="5"/>
  <c r="Q17" i="5" s="1"/>
  <c r="L18" i="5"/>
  <c r="Q18" i="5" s="1"/>
  <c r="L19" i="5"/>
  <c r="Q19" i="5" s="1"/>
  <c r="L20" i="5"/>
  <c r="Q20" i="5" s="1"/>
  <c r="L21" i="5"/>
  <c r="Q21" i="5" s="1"/>
  <c r="L22" i="5"/>
  <c r="Q22" i="5" s="1"/>
  <c r="L23" i="5"/>
  <c r="Q23" i="5" s="1"/>
  <c r="L24" i="5"/>
  <c r="Q24" i="5" s="1"/>
  <c r="L25" i="5"/>
  <c r="Q25" i="5" s="1"/>
  <c r="L26" i="5"/>
  <c r="Q26" i="5" s="1"/>
  <c r="L27" i="5"/>
  <c r="Q27" i="5" s="1"/>
  <c r="L28" i="5"/>
  <c r="Q28" i="5" s="1"/>
  <c r="L29" i="5"/>
  <c r="Q29" i="5" s="1"/>
  <c r="L30" i="5"/>
  <c r="Q30" i="5" s="1"/>
  <c r="L31" i="5"/>
  <c r="Q31" i="5" s="1"/>
  <c r="L32" i="5"/>
  <c r="Q32" i="5" s="1"/>
  <c r="L33" i="5"/>
  <c r="Q33" i="5" s="1"/>
  <c r="L34" i="5"/>
  <c r="Q34" i="5" s="1"/>
  <c r="L35" i="5"/>
  <c r="Q35" i="5" s="1"/>
  <c r="L36" i="5"/>
  <c r="Q36" i="5" s="1"/>
  <c r="L37" i="5"/>
  <c r="Q37" i="5" s="1"/>
  <c r="L38" i="5"/>
  <c r="Q38" i="5" s="1"/>
  <c r="L39" i="5"/>
  <c r="Q39" i="5" s="1"/>
  <c r="L40" i="5"/>
  <c r="Q40" i="5" s="1"/>
  <c r="L41" i="5"/>
  <c r="Q41" i="5" s="1"/>
  <c r="L42" i="5"/>
  <c r="Q42" i="5" s="1"/>
  <c r="L43" i="5"/>
  <c r="Q43" i="5" s="1"/>
  <c r="L44" i="5"/>
  <c r="Q44" i="5" s="1"/>
  <c r="L45" i="5"/>
  <c r="Q45" i="5" s="1"/>
  <c r="L46" i="5"/>
  <c r="Q46" i="5" s="1"/>
  <c r="L47" i="5"/>
  <c r="Q47" i="5" s="1"/>
  <c r="L48" i="5"/>
  <c r="Q48" i="5" s="1"/>
  <c r="L49" i="5"/>
  <c r="Q49" i="5" s="1"/>
  <c r="L50" i="5"/>
  <c r="Q50" i="5" s="1"/>
  <c r="L51" i="5"/>
  <c r="Q51" i="5" s="1"/>
  <c r="L52" i="5"/>
  <c r="Q52" i="5" s="1"/>
  <c r="L53" i="5"/>
  <c r="Q53" i="5" s="1"/>
  <c r="L54" i="5"/>
  <c r="Q54" i="5" s="1"/>
  <c r="L55" i="5"/>
  <c r="Q55" i="5" s="1"/>
  <c r="L56" i="5"/>
  <c r="Q56" i="5" s="1"/>
  <c r="L57" i="5"/>
  <c r="Q57" i="5" s="1"/>
  <c r="L58" i="5"/>
  <c r="Q58" i="5" s="1"/>
  <c r="L59" i="5"/>
  <c r="Q59" i="5" s="1"/>
  <c r="L60" i="5"/>
  <c r="Q60" i="5" s="1"/>
  <c r="L61" i="5"/>
  <c r="Q61" i="5" s="1"/>
  <c r="L62" i="5"/>
  <c r="Q62" i="5" s="1"/>
  <c r="L63" i="5"/>
  <c r="Q63" i="5" s="1"/>
  <c r="L64" i="5"/>
  <c r="Q64" i="5" s="1"/>
  <c r="L65" i="5"/>
  <c r="Q65" i="5" s="1"/>
  <c r="L66" i="5"/>
  <c r="Q66" i="5" s="1"/>
  <c r="L67" i="5"/>
  <c r="Q67" i="5" s="1"/>
  <c r="L68" i="5"/>
  <c r="Q68" i="5" s="1"/>
  <c r="L69" i="5"/>
  <c r="Q69" i="5" s="1"/>
  <c r="L70" i="5"/>
  <c r="Q70" i="5" s="1"/>
  <c r="L71" i="5"/>
  <c r="Q71" i="5" s="1"/>
  <c r="L72" i="5"/>
  <c r="Q72" i="5" s="1"/>
  <c r="L73" i="5"/>
  <c r="Q73" i="5" s="1"/>
  <c r="L74" i="5"/>
  <c r="Q74" i="5" s="1"/>
  <c r="L75" i="5"/>
  <c r="Q75" i="5" s="1"/>
  <c r="L76" i="5"/>
  <c r="Q76" i="5" s="1"/>
  <c r="L77" i="5"/>
  <c r="Q77" i="5" s="1"/>
  <c r="L78" i="5"/>
  <c r="Q78" i="5" s="1"/>
  <c r="L79" i="5"/>
  <c r="Q79" i="5" s="1"/>
  <c r="L80" i="5"/>
  <c r="Q80" i="5" s="1"/>
  <c r="L81" i="5"/>
  <c r="Q81" i="5" s="1"/>
  <c r="L82" i="5"/>
  <c r="Q82" i="5" s="1"/>
  <c r="L83" i="5"/>
  <c r="Q83" i="5" s="1"/>
  <c r="L84" i="5"/>
  <c r="Q84" i="5" s="1"/>
  <c r="L85" i="5"/>
  <c r="Q85" i="5" s="1"/>
  <c r="L86" i="5"/>
  <c r="Q86" i="5" s="1"/>
  <c r="L87" i="5"/>
  <c r="Q87" i="5" s="1"/>
  <c r="L88" i="5"/>
  <c r="Q88" i="5" s="1"/>
  <c r="L89" i="5"/>
  <c r="Q89" i="5" s="1"/>
  <c r="L90" i="5"/>
  <c r="Q90" i="5" s="1"/>
  <c r="L91" i="5"/>
  <c r="Q91" i="5" s="1"/>
  <c r="L92" i="5"/>
  <c r="Q92" i="5" s="1"/>
  <c r="L93" i="5"/>
  <c r="Q93" i="5" s="1"/>
  <c r="L94" i="5"/>
  <c r="Q94" i="5" s="1"/>
  <c r="L95" i="5"/>
  <c r="Q95" i="5" s="1"/>
  <c r="L96" i="5"/>
  <c r="Q96" i="5" s="1"/>
  <c r="L97" i="5"/>
  <c r="Q97" i="5" s="1"/>
  <c r="L98" i="5"/>
  <c r="Q98" i="5" s="1"/>
  <c r="L99" i="5"/>
  <c r="Q99" i="5" s="1"/>
  <c r="L100" i="5"/>
  <c r="Q100" i="5" s="1"/>
  <c r="L12" i="5"/>
  <c r="Q12" i="5" s="1"/>
  <c r="E56" i="49"/>
  <c r="E57" i="49"/>
  <c r="E58" i="49"/>
  <c r="E59" i="49"/>
  <c r="E60" i="49"/>
  <c r="E61" i="49"/>
  <c r="E62" i="49"/>
  <c r="E63" i="49"/>
  <c r="E64" i="49"/>
  <c r="E65" i="49"/>
  <c r="E55" i="49"/>
  <c r="E66" i="49" s="1"/>
  <c r="D66" i="49"/>
  <c r="C66" i="49"/>
  <c r="C62" i="47"/>
  <c r="D62" i="47"/>
  <c r="E60" i="47"/>
  <c r="E57" i="47"/>
  <c r="E55" i="47"/>
  <c r="C61" i="43"/>
  <c r="D61" i="43"/>
  <c r="E61" i="43"/>
  <c r="E60" i="43"/>
  <c r="E59" i="43"/>
  <c r="E57" i="43"/>
  <c r="E56" i="43"/>
  <c r="E55" i="43"/>
  <c r="D76" i="42"/>
  <c r="C76" i="42"/>
  <c r="E72" i="42"/>
  <c r="E73" i="42"/>
  <c r="E74" i="42"/>
  <c r="E75" i="42"/>
  <c r="E71" i="42"/>
  <c r="E60" i="42"/>
  <c r="E61" i="42"/>
  <c r="E62" i="42"/>
  <c r="E63" i="42"/>
  <c r="E64" i="42"/>
  <c r="E65" i="42"/>
  <c r="E66" i="42"/>
  <c r="E67" i="42"/>
  <c r="E68" i="42"/>
  <c r="E69" i="42"/>
  <c r="E59" i="42"/>
  <c r="E76" i="42" s="1"/>
  <c r="E51" i="40"/>
  <c r="E48" i="37"/>
  <c r="B54" i="95"/>
  <c r="O4" i="95"/>
  <c r="N4" i="95"/>
  <c r="M4" i="95"/>
  <c r="L4" i="95"/>
  <c r="K4" i="95"/>
  <c r="J4" i="95"/>
  <c r="I4" i="95"/>
  <c r="H4" i="95"/>
  <c r="G4" i="95"/>
  <c r="Q4" i="95" s="1"/>
  <c r="E42" i="40"/>
  <c r="E41" i="40"/>
  <c r="E43" i="40" s="1"/>
  <c r="D43" i="40"/>
  <c r="D48" i="40" s="1"/>
  <c r="C43" i="40"/>
  <c r="C48" i="40" s="1"/>
  <c r="E42" i="54"/>
  <c r="D42" i="54"/>
  <c r="F33" i="54"/>
  <c r="F39" i="54"/>
  <c r="F38" i="54"/>
  <c r="D44" i="63"/>
  <c r="T62" i="26"/>
  <c r="T63" i="26"/>
  <c r="T64" i="26"/>
  <c r="T65" i="26"/>
  <c r="T66" i="26"/>
  <c r="T67" i="26"/>
  <c r="T68" i="26"/>
  <c r="T69" i="26"/>
  <c r="T70" i="26"/>
  <c r="T71" i="26"/>
  <c r="S62" i="26"/>
  <c r="U62" i="26" s="1"/>
  <c r="S63" i="26"/>
  <c r="U63" i="26" s="1"/>
  <c r="S64" i="26"/>
  <c r="U64" i="26" s="1"/>
  <c r="S65" i="26"/>
  <c r="U65" i="26" s="1"/>
  <c r="S66" i="26"/>
  <c r="U66" i="26" s="1"/>
  <c r="S67" i="26"/>
  <c r="U67" i="26" s="1"/>
  <c r="S68" i="26"/>
  <c r="U68" i="26" s="1"/>
  <c r="S69" i="26"/>
  <c r="U69" i="26" s="1"/>
  <c r="S70" i="26"/>
  <c r="U70" i="26" s="1"/>
  <c r="S71" i="26"/>
  <c r="U71" i="26" s="1"/>
  <c r="T63" i="32"/>
  <c r="T64" i="32"/>
  <c r="T65" i="32"/>
  <c r="T66" i="32"/>
  <c r="T67" i="32"/>
  <c r="T68" i="32"/>
  <c r="T69" i="32"/>
  <c r="T70" i="32"/>
  <c r="T71" i="32"/>
  <c r="T72" i="32"/>
  <c r="T73" i="32"/>
  <c r="T74" i="32"/>
  <c r="T75" i="32"/>
  <c r="T76" i="32"/>
  <c r="T77" i="32"/>
  <c r="T78" i="32"/>
  <c r="T79" i="32"/>
  <c r="T80" i="32"/>
  <c r="T81" i="32"/>
  <c r="T82" i="32"/>
  <c r="T83" i="32"/>
  <c r="T84" i="32"/>
  <c r="T85" i="32"/>
  <c r="T86" i="32"/>
  <c r="T87" i="32"/>
  <c r="T88" i="32"/>
  <c r="T89" i="32"/>
  <c r="T90" i="32"/>
  <c r="T91" i="32"/>
  <c r="T92" i="32"/>
  <c r="T93" i="32"/>
  <c r="T94" i="32"/>
  <c r="T95" i="32"/>
  <c r="T96" i="32"/>
  <c r="T97" i="32"/>
  <c r="T98" i="32"/>
  <c r="T99" i="32"/>
  <c r="T100" i="32"/>
  <c r="T101" i="32"/>
  <c r="T102" i="32"/>
  <c r="T103" i="32"/>
  <c r="T62" i="32"/>
  <c r="S63" i="32"/>
  <c r="U63" i="32" s="1"/>
  <c r="S64" i="32"/>
  <c r="U64" i="32" s="1"/>
  <c r="S65" i="32"/>
  <c r="U65" i="32" s="1"/>
  <c r="S66" i="32"/>
  <c r="U66" i="32" s="1"/>
  <c r="S67" i="32"/>
  <c r="U67" i="32" s="1"/>
  <c r="S68" i="32"/>
  <c r="U68" i="32" s="1"/>
  <c r="S69" i="32"/>
  <c r="U69" i="32" s="1"/>
  <c r="S70" i="32"/>
  <c r="U70" i="32" s="1"/>
  <c r="S71" i="32"/>
  <c r="U71" i="32" s="1"/>
  <c r="S72" i="32"/>
  <c r="U72" i="32" s="1"/>
  <c r="S73" i="32"/>
  <c r="U73" i="32" s="1"/>
  <c r="S74" i="32"/>
  <c r="U74" i="32" s="1"/>
  <c r="S75" i="32"/>
  <c r="U75" i="32" s="1"/>
  <c r="S76" i="32"/>
  <c r="U76" i="32" s="1"/>
  <c r="S77" i="32"/>
  <c r="U77" i="32" s="1"/>
  <c r="S78" i="32"/>
  <c r="U78" i="32" s="1"/>
  <c r="S79" i="32"/>
  <c r="U79" i="32" s="1"/>
  <c r="S80" i="32"/>
  <c r="U80" i="32" s="1"/>
  <c r="S81" i="32"/>
  <c r="U81" i="32" s="1"/>
  <c r="S82" i="32"/>
  <c r="U82" i="32" s="1"/>
  <c r="S83" i="32"/>
  <c r="U83" i="32" s="1"/>
  <c r="S84" i="32"/>
  <c r="U84" i="32" s="1"/>
  <c r="S85" i="32"/>
  <c r="U85" i="32" s="1"/>
  <c r="S86" i="32"/>
  <c r="U86" i="32" s="1"/>
  <c r="S87" i="32"/>
  <c r="U87" i="32" s="1"/>
  <c r="S88" i="32"/>
  <c r="U88" i="32" s="1"/>
  <c r="S89" i="32"/>
  <c r="U89" i="32" s="1"/>
  <c r="S90" i="32"/>
  <c r="U90" i="32" s="1"/>
  <c r="S91" i="32"/>
  <c r="U91" i="32" s="1"/>
  <c r="S92" i="32"/>
  <c r="U92" i="32" s="1"/>
  <c r="S93" i="32"/>
  <c r="U93" i="32" s="1"/>
  <c r="S94" i="32"/>
  <c r="U94" i="32" s="1"/>
  <c r="S95" i="32"/>
  <c r="U95" i="32" s="1"/>
  <c r="S96" i="32"/>
  <c r="U96" i="32" s="1"/>
  <c r="S97" i="32"/>
  <c r="U97" i="32" s="1"/>
  <c r="S98" i="32"/>
  <c r="U98" i="32" s="1"/>
  <c r="S99" i="32"/>
  <c r="U99" i="32" s="1"/>
  <c r="S100" i="32"/>
  <c r="U100" i="32" s="1"/>
  <c r="S101" i="32"/>
  <c r="U101" i="32" s="1"/>
  <c r="S102" i="32"/>
  <c r="U102" i="32" s="1"/>
  <c r="S103" i="32"/>
  <c r="U103" i="32" s="1"/>
  <c r="S62" i="32"/>
  <c r="U62" i="32" s="1"/>
  <c r="T103" i="95"/>
  <c r="S103" i="95"/>
  <c r="Q103" i="95"/>
  <c r="P103" i="95"/>
  <c r="T102" i="95"/>
  <c r="S102" i="95"/>
  <c r="Q102" i="95"/>
  <c r="P102" i="95"/>
  <c r="T101" i="95"/>
  <c r="S101" i="95"/>
  <c r="Q101" i="95"/>
  <c r="P101" i="95"/>
  <c r="T100" i="95"/>
  <c r="S100" i="95"/>
  <c r="Q100" i="95"/>
  <c r="P100" i="95"/>
  <c r="T99" i="95"/>
  <c r="S99" i="95"/>
  <c r="Q99" i="95"/>
  <c r="P99" i="95"/>
  <c r="T98" i="95"/>
  <c r="S98" i="95"/>
  <c r="Q98" i="95"/>
  <c r="P98" i="95"/>
  <c r="T97" i="95"/>
  <c r="S97" i="95"/>
  <c r="Q97" i="95"/>
  <c r="P97" i="95"/>
  <c r="T96" i="95"/>
  <c r="S96" i="95"/>
  <c r="Q96" i="95"/>
  <c r="P96" i="95"/>
  <c r="T95" i="95"/>
  <c r="S95" i="95"/>
  <c r="Q95" i="95"/>
  <c r="P95" i="95"/>
  <c r="T94" i="95"/>
  <c r="S94" i="95"/>
  <c r="Q94" i="95"/>
  <c r="P94" i="95"/>
  <c r="T93" i="95"/>
  <c r="S93" i="95"/>
  <c r="Q93" i="95"/>
  <c r="P93" i="95"/>
  <c r="T92" i="95"/>
  <c r="S92" i="95"/>
  <c r="Q92" i="95"/>
  <c r="P92" i="95"/>
  <c r="T91" i="95"/>
  <c r="S91" i="95"/>
  <c r="Q91" i="95"/>
  <c r="P91" i="95"/>
  <c r="T90" i="95"/>
  <c r="S90" i="95"/>
  <c r="Q90" i="95"/>
  <c r="P90" i="95"/>
  <c r="T89" i="95"/>
  <c r="S89" i="95"/>
  <c r="Q89" i="95"/>
  <c r="P89" i="95"/>
  <c r="T88" i="95"/>
  <c r="S88" i="95"/>
  <c r="Q88" i="95"/>
  <c r="P88" i="95"/>
  <c r="T87" i="95"/>
  <c r="S87" i="95"/>
  <c r="Q87" i="95"/>
  <c r="P87" i="95"/>
  <c r="T86" i="95"/>
  <c r="S86" i="95"/>
  <c r="Q86" i="95"/>
  <c r="P86" i="95"/>
  <c r="T85" i="95"/>
  <c r="S85" i="95"/>
  <c r="Q85" i="95"/>
  <c r="P85" i="95"/>
  <c r="T84" i="95"/>
  <c r="S84" i="95"/>
  <c r="Q84" i="95"/>
  <c r="P84" i="95"/>
  <c r="T83" i="95"/>
  <c r="S83" i="95"/>
  <c r="Q83" i="95"/>
  <c r="P83" i="95"/>
  <c r="T82" i="95"/>
  <c r="S82" i="95"/>
  <c r="Q82" i="95"/>
  <c r="P82" i="95"/>
  <c r="T81" i="95"/>
  <c r="S81" i="95"/>
  <c r="Q81" i="95"/>
  <c r="P81" i="95"/>
  <c r="T80" i="95"/>
  <c r="S80" i="95"/>
  <c r="Q80" i="95"/>
  <c r="P80" i="95"/>
  <c r="T79" i="95"/>
  <c r="S79" i="95"/>
  <c r="Q79" i="95"/>
  <c r="P79" i="95"/>
  <c r="T78" i="95"/>
  <c r="S78" i="95"/>
  <c r="Q78" i="95"/>
  <c r="P78" i="95"/>
  <c r="T77" i="95"/>
  <c r="S77" i="95"/>
  <c r="Q77" i="95"/>
  <c r="P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T104" i="95" s="1"/>
  <c r="E52" i="95" s="1"/>
  <c r="S62" i="95"/>
  <c r="S104" i="95" s="1"/>
  <c r="D52" i="95" s="1"/>
  <c r="T54" i="95"/>
  <c r="Q53" i="95"/>
  <c r="P53" i="95"/>
  <c r="O53" i="95"/>
  <c r="U103" i="95" s="1"/>
  <c r="L53" i="95"/>
  <c r="I53" i="95"/>
  <c r="Q52" i="95"/>
  <c r="P52" i="95"/>
  <c r="O52" i="95"/>
  <c r="R52" i="95" s="1"/>
  <c r="L52" i="95"/>
  <c r="I52" i="95"/>
  <c r="Q51" i="95"/>
  <c r="P51" i="95"/>
  <c r="O51" i="95"/>
  <c r="U101" i="95" s="1"/>
  <c r="L51" i="95"/>
  <c r="I51" i="95"/>
  <c r="F51" i="95"/>
  <c r="Q50" i="95"/>
  <c r="P50" i="95"/>
  <c r="O50" i="95"/>
  <c r="R50" i="95" s="1"/>
  <c r="L50" i="95"/>
  <c r="I50" i="95"/>
  <c r="F50" i="95"/>
  <c r="R49" i="95"/>
  <c r="Q49" i="95"/>
  <c r="P49" i="95"/>
  <c r="O49" i="95"/>
  <c r="U99" i="95" s="1"/>
  <c r="L49" i="95"/>
  <c r="I49" i="95"/>
  <c r="F49" i="95"/>
  <c r="Q48" i="95"/>
  <c r="P48" i="95"/>
  <c r="O48" i="95"/>
  <c r="R48" i="95" s="1"/>
  <c r="L48" i="95"/>
  <c r="I48" i="95"/>
  <c r="F48" i="95"/>
  <c r="Q47" i="95"/>
  <c r="P47" i="95"/>
  <c r="O47" i="95"/>
  <c r="U97" i="95" s="1"/>
  <c r="L47" i="95"/>
  <c r="I47" i="95"/>
  <c r="E47" i="95"/>
  <c r="D47" i="95"/>
  <c r="F47" i="95" s="1"/>
  <c r="Q46" i="95"/>
  <c r="P46" i="95"/>
  <c r="O46" i="95"/>
  <c r="R46" i="95" s="1"/>
  <c r="L46" i="95"/>
  <c r="I46" i="95"/>
  <c r="F46" i="95"/>
  <c r="Q45" i="95"/>
  <c r="P45" i="95"/>
  <c r="O45" i="95"/>
  <c r="U95" i="95" s="1"/>
  <c r="L45" i="95"/>
  <c r="I45" i="95"/>
  <c r="F45" i="95"/>
  <c r="Q44" i="95"/>
  <c r="P44" i="95"/>
  <c r="O44" i="95"/>
  <c r="R44" i="95" s="1"/>
  <c r="L44" i="95"/>
  <c r="I44" i="95"/>
  <c r="F44" i="95"/>
  <c r="R43" i="95"/>
  <c r="Q43" i="95"/>
  <c r="P43" i="95"/>
  <c r="O43" i="95"/>
  <c r="U93" i="95" s="1"/>
  <c r="L43" i="95"/>
  <c r="I43" i="95"/>
  <c r="F43" i="95"/>
  <c r="Q42" i="95"/>
  <c r="P42" i="95"/>
  <c r="O42" i="95"/>
  <c r="R42" i="95" s="1"/>
  <c r="L42" i="95"/>
  <c r="I42" i="95"/>
  <c r="E42" i="95"/>
  <c r="D42" i="95"/>
  <c r="R41" i="95"/>
  <c r="Q41" i="95"/>
  <c r="P41" i="95"/>
  <c r="O41" i="95"/>
  <c r="U91" i="95" s="1"/>
  <c r="L41" i="95"/>
  <c r="I41" i="95"/>
  <c r="F41" i="95"/>
  <c r="Q40" i="95"/>
  <c r="P40" i="95"/>
  <c r="O40" i="95"/>
  <c r="R40" i="95" s="1"/>
  <c r="L40" i="95"/>
  <c r="I40" i="95"/>
  <c r="F40" i="95"/>
  <c r="Q39" i="95"/>
  <c r="P39" i="95"/>
  <c r="O39" i="95"/>
  <c r="U89" i="95" s="1"/>
  <c r="L39" i="95"/>
  <c r="I39" i="95"/>
  <c r="F39" i="95"/>
  <c r="Q38" i="95"/>
  <c r="P38" i="95"/>
  <c r="O38" i="95"/>
  <c r="R38" i="95" s="1"/>
  <c r="L38" i="95"/>
  <c r="I38" i="95"/>
  <c r="F38" i="95"/>
  <c r="Q37" i="95"/>
  <c r="P37" i="95"/>
  <c r="O37" i="95"/>
  <c r="U87" i="95" s="1"/>
  <c r="L37" i="95"/>
  <c r="I37" i="95"/>
  <c r="E37" i="95"/>
  <c r="D37" i="95"/>
  <c r="Q36" i="95"/>
  <c r="P36" i="95"/>
  <c r="O36" i="95"/>
  <c r="U86" i="95" s="1"/>
  <c r="L36" i="95"/>
  <c r="I36" i="95"/>
  <c r="F36" i="95"/>
  <c r="Q35" i="95"/>
  <c r="P35" i="95"/>
  <c r="O35" i="95"/>
  <c r="U85" i="95" s="1"/>
  <c r="L35" i="95"/>
  <c r="I35" i="95"/>
  <c r="F35" i="95"/>
  <c r="R34" i="95"/>
  <c r="Q34" i="95"/>
  <c r="P34" i="95"/>
  <c r="O34" i="95"/>
  <c r="U84" i="95" s="1"/>
  <c r="L34" i="95"/>
  <c r="I34" i="95"/>
  <c r="F34" i="95"/>
  <c r="Q33" i="95"/>
  <c r="P33" i="95"/>
  <c r="O33" i="95"/>
  <c r="U83" i="95" s="1"/>
  <c r="L33" i="95"/>
  <c r="I33" i="95"/>
  <c r="F33" i="95"/>
  <c r="Q32" i="95"/>
  <c r="P32" i="95"/>
  <c r="O32" i="95"/>
  <c r="U82" i="95" s="1"/>
  <c r="L32" i="95"/>
  <c r="I32" i="95"/>
  <c r="E32" i="95"/>
  <c r="D32" i="95"/>
  <c r="F32" i="95" s="1"/>
  <c r="Q31" i="95"/>
  <c r="P31" i="95"/>
  <c r="O31" i="95"/>
  <c r="U81" i="95" s="1"/>
  <c r="L31" i="95"/>
  <c r="I31" i="95"/>
  <c r="F31" i="95"/>
  <c r="Q30" i="95"/>
  <c r="P30" i="95"/>
  <c r="O30" i="95"/>
  <c r="U80" i="95" s="1"/>
  <c r="L30" i="95"/>
  <c r="I30" i="95"/>
  <c r="F30" i="95"/>
  <c r="Q29" i="95"/>
  <c r="P29" i="95"/>
  <c r="O29" i="95"/>
  <c r="U79" i="95" s="1"/>
  <c r="L29" i="95"/>
  <c r="I29" i="95"/>
  <c r="F29" i="95"/>
  <c r="R28" i="95"/>
  <c r="Q28" i="95"/>
  <c r="P28" i="95"/>
  <c r="O28" i="95"/>
  <c r="U78" i="95" s="1"/>
  <c r="L28" i="95"/>
  <c r="I28" i="95"/>
  <c r="F28" i="95"/>
  <c r="Q27" i="95"/>
  <c r="P27" i="95"/>
  <c r="O27" i="95"/>
  <c r="U77" i="95" s="1"/>
  <c r="L27" i="95"/>
  <c r="I27" i="95"/>
  <c r="E27" i="95"/>
  <c r="D27" i="95"/>
  <c r="Q26" i="95"/>
  <c r="P26" i="95"/>
  <c r="O26" i="95"/>
  <c r="U76" i="95" s="1"/>
  <c r="Q25" i="95"/>
  <c r="P25" i="95"/>
  <c r="O25" i="95"/>
  <c r="U75" i="95" s="1"/>
  <c r="Q24" i="95"/>
  <c r="P24" i="95"/>
  <c r="O24" i="95"/>
  <c r="U74" i="95" s="1"/>
  <c r="Q23" i="95"/>
  <c r="P23" i="95"/>
  <c r="O23" i="95"/>
  <c r="U73" i="95" s="1"/>
  <c r="Q22" i="95"/>
  <c r="P22" i="95"/>
  <c r="O22" i="95"/>
  <c r="U72" i="95" s="1"/>
  <c r="Q21" i="95"/>
  <c r="P21" i="95"/>
  <c r="O21" i="95"/>
  <c r="U71" i="95" s="1"/>
  <c r="F21" i="95"/>
  <c r="Q20" i="95"/>
  <c r="P20" i="95"/>
  <c r="O20" i="95"/>
  <c r="U70" i="95" s="1"/>
  <c r="F20" i="95"/>
  <c r="Q19" i="95"/>
  <c r="P19" i="95"/>
  <c r="O19" i="95"/>
  <c r="U69" i="95" s="1"/>
  <c r="F19" i="95"/>
  <c r="Q18" i="95"/>
  <c r="P18" i="95"/>
  <c r="O18" i="95"/>
  <c r="U68" i="95" s="1"/>
  <c r="F18" i="95"/>
  <c r="Q17" i="95"/>
  <c r="P17" i="95"/>
  <c r="O17" i="95"/>
  <c r="U67" i="95" s="1"/>
  <c r="E17" i="95"/>
  <c r="E24" i="95" s="1"/>
  <c r="D17" i="95"/>
  <c r="Q16" i="95"/>
  <c r="P16" i="95"/>
  <c r="O16" i="95"/>
  <c r="R16" i="95" s="1"/>
  <c r="F16" i="95"/>
  <c r="Q15" i="95"/>
  <c r="P15" i="95"/>
  <c r="O15" i="95"/>
  <c r="U65" i="95" s="1"/>
  <c r="F15" i="95"/>
  <c r="Q14" i="95"/>
  <c r="P14" i="95"/>
  <c r="O14" i="95"/>
  <c r="R14" i="95" s="1"/>
  <c r="F14" i="95"/>
  <c r="Q13" i="95"/>
  <c r="P13" i="95"/>
  <c r="O13" i="95"/>
  <c r="U63" i="95" s="1"/>
  <c r="F13" i="95"/>
  <c r="Q12" i="95"/>
  <c r="Q54" i="95" s="1"/>
  <c r="R6" i="95" s="1"/>
  <c r="P12" i="95"/>
  <c r="O12" i="95"/>
  <c r="R12" i="95" s="1"/>
  <c r="E12" i="95"/>
  <c r="G6" i="95" s="1"/>
  <c r="D12" i="95"/>
  <c r="P6" i="95"/>
  <c r="N6" i="95"/>
  <c r="M6" i="95"/>
  <c r="L6" i="95"/>
  <c r="K6" i="95"/>
  <c r="J6" i="95"/>
  <c r="H6" i="95"/>
  <c r="P5" i="95"/>
  <c r="P7" i="95" s="1"/>
  <c r="O13" i="4" s="1"/>
  <c r="N5" i="95"/>
  <c r="N7" i="95" s="1"/>
  <c r="M13" i="4" s="1"/>
  <c r="M5" i="95"/>
  <c r="L5" i="95"/>
  <c r="K5" i="95"/>
  <c r="K7" i="95" s="1"/>
  <c r="J13" i="4" s="1"/>
  <c r="J5" i="95"/>
  <c r="J7" i="95" s="1"/>
  <c r="I13" i="4" s="1"/>
  <c r="H5" i="95"/>
  <c r="H7" i="95" s="1"/>
  <c r="G13" i="4" s="1"/>
  <c r="G5" i="95"/>
  <c r="V4" i="95"/>
  <c r="S4" i="95"/>
  <c r="U4" i="95"/>
  <c r="T4" i="95"/>
  <c r="H1" i="95"/>
  <c r="G1" i="95"/>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62" i="14"/>
  <c r="S63" i="14"/>
  <c r="U63" i="14" s="1"/>
  <c r="S64" i="14"/>
  <c r="U64" i="14" s="1"/>
  <c r="S65" i="14"/>
  <c r="U65" i="14" s="1"/>
  <c r="S66" i="14"/>
  <c r="U66" i="14" s="1"/>
  <c r="S67" i="14"/>
  <c r="U67" i="14" s="1"/>
  <c r="S68" i="14"/>
  <c r="U68" i="14" s="1"/>
  <c r="S69" i="14"/>
  <c r="U69" i="14" s="1"/>
  <c r="S70" i="14"/>
  <c r="U70" i="14" s="1"/>
  <c r="S71" i="14"/>
  <c r="U71" i="14" s="1"/>
  <c r="S72" i="14"/>
  <c r="U72" i="14" s="1"/>
  <c r="S73" i="14"/>
  <c r="U73" i="14" s="1"/>
  <c r="S74" i="14"/>
  <c r="U74" i="14" s="1"/>
  <c r="S75" i="14"/>
  <c r="U75" i="14" s="1"/>
  <c r="S76" i="14"/>
  <c r="U76" i="14" s="1"/>
  <c r="S77" i="14"/>
  <c r="U77" i="14" s="1"/>
  <c r="S78" i="14"/>
  <c r="U78" i="14" s="1"/>
  <c r="S79" i="14"/>
  <c r="U79" i="14" s="1"/>
  <c r="S80" i="14"/>
  <c r="U80" i="14" s="1"/>
  <c r="S81" i="14"/>
  <c r="U81" i="14" s="1"/>
  <c r="S82" i="14"/>
  <c r="U82" i="14" s="1"/>
  <c r="S83" i="14"/>
  <c r="U83" i="14" s="1"/>
  <c r="S84" i="14"/>
  <c r="U84" i="14" s="1"/>
  <c r="S85" i="14"/>
  <c r="U85" i="14" s="1"/>
  <c r="S86" i="14"/>
  <c r="U86" i="14" s="1"/>
  <c r="S87" i="14"/>
  <c r="U87" i="14" s="1"/>
  <c r="S88" i="14"/>
  <c r="U88" i="14" s="1"/>
  <c r="S89" i="14"/>
  <c r="U89" i="14" s="1"/>
  <c r="S90" i="14"/>
  <c r="U90" i="14" s="1"/>
  <c r="S91" i="14"/>
  <c r="U91" i="14" s="1"/>
  <c r="S92" i="14"/>
  <c r="U92" i="14" s="1"/>
  <c r="S93" i="14"/>
  <c r="U93" i="14" s="1"/>
  <c r="S94" i="14"/>
  <c r="U94" i="14" s="1"/>
  <c r="S95" i="14"/>
  <c r="U95" i="14" s="1"/>
  <c r="S96" i="14"/>
  <c r="U96" i="14" s="1"/>
  <c r="S97" i="14"/>
  <c r="U97" i="14" s="1"/>
  <c r="S98" i="14"/>
  <c r="U98" i="14" s="1"/>
  <c r="S99" i="14"/>
  <c r="U99" i="14" s="1"/>
  <c r="S100" i="14"/>
  <c r="U100" i="14" s="1"/>
  <c r="S101" i="14"/>
  <c r="U101" i="14" s="1"/>
  <c r="S102" i="14"/>
  <c r="U102" i="14" s="1"/>
  <c r="S103" i="14"/>
  <c r="U103" i="14" s="1"/>
  <c r="S62" i="14"/>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E23" i="51"/>
  <c r="D23" i="51"/>
  <c r="D13" i="51" s="1"/>
  <c r="E16" i="62"/>
  <c r="D16" i="62"/>
  <c r="D13" i="62"/>
  <c r="D25" i="62" s="1"/>
  <c r="F44" i="54"/>
  <c r="F43" i="54"/>
  <c r="D43" i="53"/>
  <c r="E24" i="63"/>
  <c r="E25" i="63"/>
  <c r="E26" i="63"/>
  <c r="D26" i="63"/>
  <c r="D25" i="63"/>
  <c r="D24" i="63"/>
  <c r="E26" i="52"/>
  <c r="E25" i="52"/>
  <c r="E24" i="52"/>
  <c r="D26" i="52"/>
  <c r="D25" i="52"/>
  <c r="D24" i="52"/>
  <c r="D13" i="52"/>
  <c r="O10" i="48"/>
  <c r="O9" i="48"/>
  <c r="O11" i="48"/>
  <c r="Q38" i="3" s="1"/>
  <c r="G33" i="2" s="1"/>
  <c r="N8" i="48"/>
  <c r="E91" i="48"/>
  <c r="E83" i="48"/>
  <c r="E74" i="48"/>
  <c r="E66" i="48"/>
  <c r="E58" i="48"/>
  <c r="E50" i="48"/>
  <c r="E42" i="48"/>
  <c r="E37" i="48"/>
  <c r="E26" i="48"/>
  <c r="E20" i="48"/>
  <c r="E33" i="48" s="1"/>
  <c r="M11" i="48"/>
  <c r="N38" i="3" s="1"/>
  <c r="L10" i="48"/>
  <c r="K10" i="48"/>
  <c r="J10" i="48"/>
  <c r="I10" i="48"/>
  <c r="H10" i="48"/>
  <c r="G10" i="48"/>
  <c r="F10" i="48"/>
  <c r="E10" i="48"/>
  <c r="L9" i="48"/>
  <c r="L11" i="48" s="1"/>
  <c r="M38" i="3" s="1"/>
  <c r="K9" i="48"/>
  <c r="K11" i="48" s="1"/>
  <c r="L38" i="3" s="1"/>
  <c r="J9" i="48"/>
  <c r="J11" i="48" s="1"/>
  <c r="K38" i="3" s="1"/>
  <c r="I9" i="48"/>
  <c r="I11" i="48" s="1"/>
  <c r="J38" i="3" s="1"/>
  <c r="H9" i="48"/>
  <c r="H11" i="48" s="1"/>
  <c r="I38" i="3" s="1"/>
  <c r="G9" i="48"/>
  <c r="G11" i="48" s="1"/>
  <c r="H38" i="3" s="1"/>
  <c r="F9" i="48"/>
  <c r="F11" i="48" s="1"/>
  <c r="G38" i="3" s="1"/>
  <c r="E9" i="48"/>
  <c r="E11" i="48" s="1"/>
  <c r="F38" i="3" s="1"/>
  <c r="P8" i="48"/>
  <c r="E74" i="56"/>
  <c r="E83" i="56"/>
  <c r="E7" i="49"/>
  <c r="E6" i="49"/>
  <c r="E8" i="49" s="1"/>
  <c r="E38" i="49"/>
  <c r="E16" i="49"/>
  <c r="E15" i="49"/>
  <c r="D17" i="49"/>
  <c r="C7" i="49" s="1"/>
  <c r="L7" i="49" s="1"/>
  <c r="E17" i="49"/>
  <c r="E51" i="49" s="1"/>
  <c r="C17" i="49"/>
  <c r="C6" i="49" s="1"/>
  <c r="E50" i="35"/>
  <c r="E51" i="35"/>
  <c r="E52" i="35"/>
  <c r="E53" i="35"/>
  <c r="E54" i="35"/>
  <c r="E56" i="35"/>
  <c r="E57" i="35"/>
  <c r="E58" i="35"/>
  <c r="E59" i="35"/>
  <c r="E49" i="35"/>
  <c r="E19" i="35"/>
  <c r="E13" i="35"/>
  <c r="E14" i="35"/>
  <c r="E38" i="40"/>
  <c r="E16" i="40"/>
  <c r="E48" i="40" s="1"/>
  <c r="C7" i="40"/>
  <c r="C6" i="40"/>
  <c r="F40" i="52"/>
  <c r="F41" i="52"/>
  <c r="F42" i="52"/>
  <c r="F43" i="52"/>
  <c r="F43" i="64"/>
  <c r="F42" i="64"/>
  <c r="D38" i="52"/>
  <c r="F40" i="53"/>
  <c r="F39" i="53"/>
  <c r="F48" i="64"/>
  <c r="F49" i="64"/>
  <c r="F50" i="64"/>
  <c r="F51" i="64"/>
  <c r="F47" i="64"/>
  <c r="E46" i="64"/>
  <c r="M9" i="64" s="1"/>
  <c r="D46" i="64"/>
  <c r="D44" i="52"/>
  <c r="M5" i="52" s="1"/>
  <c r="F48" i="53"/>
  <c r="E43" i="53"/>
  <c r="K29" i="92"/>
  <c r="P6" i="53"/>
  <c r="P5" i="53"/>
  <c r="P7" i="53" s="1"/>
  <c r="O46" i="3" s="1"/>
  <c r="O6" i="53"/>
  <c r="O5" i="53"/>
  <c r="O7" i="53" s="1"/>
  <c r="N46" i="3" s="1"/>
  <c r="F55" i="53"/>
  <c r="F54" i="53"/>
  <c r="F51" i="53"/>
  <c r="F52" i="53"/>
  <c r="F53" i="53"/>
  <c r="F50" i="53"/>
  <c r="E49" i="53"/>
  <c r="N6" i="53" s="1"/>
  <c r="D49" i="53"/>
  <c r="N5" i="53" s="1"/>
  <c r="F45" i="53"/>
  <c r="F46" i="53"/>
  <c r="F47" i="53"/>
  <c r="F44" i="53"/>
  <c r="M6" i="53"/>
  <c r="F41" i="53"/>
  <c r="F42" i="53"/>
  <c r="E38" i="53"/>
  <c r="L6" i="53" s="1"/>
  <c r="D38" i="53"/>
  <c r="L5" i="53" s="1"/>
  <c r="F35" i="53"/>
  <c r="F36" i="53"/>
  <c r="F37" i="53"/>
  <c r="F34" i="53"/>
  <c r="E33" i="53"/>
  <c r="K6" i="53" s="1"/>
  <c r="D33" i="53"/>
  <c r="F30" i="53"/>
  <c r="F31" i="53"/>
  <c r="F32" i="53"/>
  <c r="F29" i="53"/>
  <c r="E28" i="53"/>
  <c r="J6" i="53" s="1"/>
  <c r="D28" i="53"/>
  <c r="J5" i="53" s="1"/>
  <c r="F25" i="53"/>
  <c r="F26" i="53"/>
  <c r="F27" i="53"/>
  <c r="F24" i="53"/>
  <c r="E23" i="53"/>
  <c r="I6" i="53" s="1"/>
  <c r="D23" i="53"/>
  <c r="F23" i="53" s="1"/>
  <c r="F20" i="53"/>
  <c r="F21" i="53"/>
  <c r="F22" i="53"/>
  <c r="F19" i="53"/>
  <c r="E18" i="53"/>
  <c r="H6" i="53" s="1"/>
  <c r="D18" i="53"/>
  <c r="H5" i="53" s="1"/>
  <c r="F15" i="53"/>
  <c r="F16" i="53"/>
  <c r="F17" i="53"/>
  <c r="F14" i="53"/>
  <c r="E13" i="53"/>
  <c r="G6" i="53" s="1"/>
  <c r="D13" i="53"/>
  <c r="P9" i="64"/>
  <c r="P8" i="64"/>
  <c r="O9" i="64"/>
  <c r="O8" i="64"/>
  <c r="O10" i="64" s="1"/>
  <c r="N35" i="4" s="1"/>
  <c r="F58" i="64"/>
  <c r="F57" i="64"/>
  <c r="F54" i="64"/>
  <c r="F55" i="64"/>
  <c r="F56" i="64"/>
  <c r="F53" i="64"/>
  <c r="E52" i="64"/>
  <c r="N9" i="64" s="1"/>
  <c r="D52" i="64"/>
  <c r="N8" i="64" s="1"/>
  <c r="N10" i="64" s="1"/>
  <c r="M35" i="4" s="1"/>
  <c r="F46" i="64"/>
  <c r="F44" i="64"/>
  <c r="F45" i="64"/>
  <c r="E41" i="64"/>
  <c r="L9" i="64" s="1"/>
  <c r="D41" i="64"/>
  <c r="L8" i="64" s="1"/>
  <c r="F38" i="64"/>
  <c r="F39" i="64"/>
  <c r="F40" i="64"/>
  <c r="F37" i="64"/>
  <c r="E36" i="64"/>
  <c r="K9" i="64" s="1"/>
  <c r="D36" i="64"/>
  <c r="K8" i="64" s="1"/>
  <c r="F33" i="64"/>
  <c r="F34" i="64"/>
  <c r="F35" i="64"/>
  <c r="F32" i="64"/>
  <c r="E31" i="64"/>
  <c r="J9" i="64" s="1"/>
  <c r="D31" i="64"/>
  <c r="J8" i="64" s="1"/>
  <c r="F28" i="64"/>
  <c r="F29" i="64"/>
  <c r="F30" i="64"/>
  <c r="F27" i="64"/>
  <c r="E26" i="64"/>
  <c r="I9" i="64" s="1"/>
  <c r="D26" i="64"/>
  <c r="I8" i="64" s="1"/>
  <c r="I10" i="64" s="1"/>
  <c r="H35" i="4" s="1"/>
  <c r="F22" i="64"/>
  <c r="F23" i="64"/>
  <c r="F24" i="64"/>
  <c r="F25" i="64"/>
  <c r="E21" i="64"/>
  <c r="H9" i="64" s="1"/>
  <c r="D21" i="64"/>
  <c r="H8" i="64" s="1"/>
  <c r="H10" i="64" s="1"/>
  <c r="G35" i="4" s="1"/>
  <c r="F18" i="64"/>
  <c r="F19" i="64"/>
  <c r="F20" i="64"/>
  <c r="F17" i="64"/>
  <c r="E16" i="64"/>
  <c r="G9" i="64" s="1"/>
  <c r="D16" i="64"/>
  <c r="G8" i="64" s="1"/>
  <c r="D49" i="63"/>
  <c r="M5" i="63"/>
  <c r="E38" i="63"/>
  <c r="L6" i="63" s="1"/>
  <c r="D38" i="63"/>
  <c r="L5" i="63" s="1"/>
  <c r="P6" i="63"/>
  <c r="P5" i="63"/>
  <c r="O6" i="63"/>
  <c r="O5" i="63"/>
  <c r="D18" i="63"/>
  <c r="H5" i="63" s="1"/>
  <c r="F51" i="63"/>
  <c r="F52" i="63"/>
  <c r="F53" i="63"/>
  <c r="F50" i="63"/>
  <c r="E49" i="63"/>
  <c r="N5" i="63"/>
  <c r="F46" i="63"/>
  <c r="F47" i="63"/>
  <c r="F48" i="63"/>
  <c r="F45" i="63"/>
  <c r="E44" i="63"/>
  <c r="M6" i="63" s="1"/>
  <c r="F41" i="63"/>
  <c r="F42" i="63"/>
  <c r="F43" i="63"/>
  <c r="F39" i="63"/>
  <c r="F35" i="63"/>
  <c r="F36" i="63"/>
  <c r="F37" i="63"/>
  <c r="F34" i="63"/>
  <c r="E33" i="63"/>
  <c r="K6" i="63" s="1"/>
  <c r="D33" i="63"/>
  <c r="K5" i="63" s="1"/>
  <c r="F30" i="63"/>
  <c r="F31" i="63"/>
  <c r="F32" i="63"/>
  <c r="F29" i="63"/>
  <c r="E28" i="63"/>
  <c r="J6" i="63" s="1"/>
  <c r="D28" i="63"/>
  <c r="F25" i="63"/>
  <c r="F26" i="63"/>
  <c r="F27" i="63"/>
  <c r="E23" i="63"/>
  <c r="I6" i="63" s="1"/>
  <c r="D23" i="63"/>
  <c r="I5" i="63" s="1"/>
  <c r="F20" i="63"/>
  <c r="F21" i="63"/>
  <c r="F22" i="63"/>
  <c r="F19" i="63"/>
  <c r="E18" i="63"/>
  <c r="H6" i="63" s="1"/>
  <c r="E13" i="63"/>
  <c r="G6" i="63" s="1"/>
  <c r="D13" i="63"/>
  <c r="G5" i="63" s="1"/>
  <c r="F15" i="63"/>
  <c r="F16" i="63"/>
  <c r="F17" i="63"/>
  <c r="F14" i="63"/>
  <c r="I104" i="14"/>
  <c r="D49" i="52"/>
  <c r="F46" i="52"/>
  <c r="E38" i="52"/>
  <c r="O7" i="52"/>
  <c r="P7" i="52"/>
  <c r="F51" i="52"/>
  <c r="F52" i="52"/>
  <c r="F53" i="52"/>
  <c r="F50" i="52"/>
  <c r="F47" i="52"/>
  <c r="F48" i="52"/>
  <c r="F45" i="52"/>
  <c r="F39" i="52"/>
  <c r="F35" i="52"/>
  <c r="F36" i="52"/>
  <c r="F37" i="52"/>
  <c r="F34" i="52"/>
  <c r="F30" i="52"/>
  <c r="F31" i="52"/>
  <c r="F32" i="52"/>
  <c r="F55" i="52"/>
  <c r="F54" i="52"/>
  <c r="D33" i="52"/>
  <c r="K5" i="52" s="1"/>
  <c r="F29" i="52"/>
  <c r="F25" i="52"/>
  <c r="F26" i="52"/>
  <c r="F27" i="52"/>
  <c r="F20" i="52"/>
  <c r="F21" i="52"/>
  <c r="F22" i="52"/>
  <c r="F19" i="52"/>
  <c r="F24" i="52"/>
  <c r="E49" i="52"/>
  <c r="N6" i="52" s="1"/>
  <c r="E44" i="52"/>
  <c r="M6" i="52" s="1"/>
  <c r="E33" i="52"/>
  <c r="K6" i="52" s="1"/>
  <c r="E28" i="52"/>
  <c r="J6" i="52" s="1"/>
  <c r="D28" i="52"/>
  <c r="J5" i="52" s="1"/>
  <c r="E23" i="52"/>
  <c r="I6" i="52" s="1"/>
  <c r="D18" i="52"/>
  <c r="E18" i="52"/>
  <c r="H6" i="52" s="1"/>
  <c r="F15" i="52"/>
  <c r="F16" i="52"/>
  <c r="F17" i="52"/>
  <c r="F14" i="52"/>
  <c r="E13" i="52"/>
  <c r="G6" i="52" s="1"/>
  <c r="G5" i="52"/>
  <c r="E56" i="47"/>
  <c r="E58" i="47"/>
  <c r="E59" i="47"/>
  <c r="E61" i="47"/>
  <c r="E14" i="47"/>
  <c r="E43" i="47"/>
  <c r="E44" i="47"/>
  <c r="E45" i="47"/>
  <c r="E46" i="47"/>
  <c r="E47" i="47"/>
  <c r="E42" i="47"/>
  <c r="D48" i="47"/>
  <c r="C48" i="47"/>
  <c r="D38" i="47"/>
  <c r="C38" i="47"/>
  <c r="E31" i="47"/>
  <c r="E34" i="47" s="1"/>
  <c r="E36" i="47"/>
  <c r="D26" i="47"/>
  <c r="G7" i="47" s="1"/>
  <c r="E32" i="47"/>
  <c r="E33" i="47"/>
  <c r="D34" i="47"/>
  <c r="C34" i="47"/>
  <c r="E28" i="47"/>
  <c r="E23" i="47"/>
  <c r="E25" i="47"/>
  <c r="E19" i="47"/>
  <c r="E18" i="47"/>
  <c r="C15" i="47"/>
  <c r="D15" i="47"/>
  <c r="E39" i="46"/>
  <c r="D39" i="46"/>
  <c r="C39" i="46"/>
  <c r="E35" i="46"/>
  <c r="E33" i="46"/>
  <c r="C31" i="46"/>
  <c r="D31" i="46"/>
  <c r="E29" i="46"/>
  <c r="E30" i="46"/>
  <c r="E28" i="46"/>
  <c r="E31" i="46" s="1"/>
  <c r="E25" i="46"/>
  <c r="E20" i="46"/>
  <c r="E21" i="46"/>
  <c r="E22" i="46"/>
  <c r="E19" i="46"/>
  <c r="D23" i="46"/>
  <c r="D42" i="46" s="1"/>
  <c r="C23" i="46"/>
  <c r="C42" i="46" s="1"/>
  <c r="E16" i="46"/>
  <c r="E12" i="46"/>
  <c r="E15" i="46"/>
  <c r="E40" i="45"/>
  <c r="E41" i="45"/>
  <c r="E42" i="45"/>
  <c r="E43" i="45"/>
  <c r="E44" i="45"/>
  <c r="E39" i="45"/>
  <c r="D45" i="45"/>
  <c r="C45" i="45"/>
  <c r="D35" i="45"/>
  <c r="C35" i="45"/>
  <c r="E33" i="45"/>
  <c r="E25" i="45"/>
  <c r="E20" i="45"/>
  <c r="E21" i="45"/>
  <c r="E22" i="45"/>
  <c r="E19" i="45"/>
  <c r="D23" i="45"/>
  <c r="C23" i="45"/>
  <c r="E16" i="45"/>
  <c r="E15" i="45"/>
  <c r="E12" i="45"/>
  <c r="D16" i="44"/>
  <c r="C49" i="43"/>
  <c r="E14" i="43"/>
  <c r="E13" i="43"/>
  <c r="E15" i="43" s="1"/>
  <c r="E44" i="42"/>
  <c r="E45" i="42"/>
  <c r="E46" i="42"/>
  <c r="E47" i="42"/>
  <c r="E48" i="42"/>
  <c r="E49" i="42"/>
  <c r="E50" i="42"/>
  <c r="E51" i="42"/>
  <c r="E43" i="42"/>
  <c r="E52" i="42" s="1"/>
  <c r="D52" i="42"/>
  <c r="C52" i="42"/>
  <c r="D39" i="42"/>
  <c r="C39" i="42"/>
  <c r="E33" i="42"/>
  <c r="E34" i="42"/>
  <c r="E32" i="42"/>
  <c r="E35" i="42" s="1"/>
  <c r="D35" i="42"/>
  <c r="C35" i="42"/>
  <c r="E24" i="42"/>
  <c r="E25" i="42"/>
  <c r="E26" i="42"/>
  <c r="E23" i="42"/>
  <c r="D27" i="42"/>
  <c r="C27" i="42"/>
  <c r="E14" i="42"/>
  <c r="E13" i="42"/>
  <c r="E15" i="42"/>
  <c r="D15" i="42"/>
  <c r="C15" i="42"/>
  <c r="D31" i="41"/>
  <c r="C31" i="41"/>
  <c r="C42" i="41" s="1"/>
  <c r="D42" i="41"/>
  <c r="E46" i="38"/>
  <c r="E39" i="38"/>
  <c r="E40" i="38"/>
  <c r="E38" i="38"/>
  <c r="E41" i="38" s="1"/>
  <c r="D41" i="38"/>
  <c r="C41" i="38"/>
  <c r="D35" i="38"/>
  <c r="C35" i="38"/>
  <c r="E33" i="38"/>
  <c r="E29" i="38"/>
  <c r="E30" i="38"/>
  <c r="E28" i="38"/>
  <c r="E31" i="38"/>
  <c r="D31" i="38"/>
  <c r="I7" i="38" s="1"/>
  <c r="C31" i="38"/>
  <c r="E20" i="38"/>
  <c r="E21" i="38"/>
  <c r="E22" i="38"/>
  <c r="E19" i="38"/>
  <c r="D23" i="38"/>
  <c r="C23" i="38"/>
  <c r="E16" i="38"/>
  <c r="E15" i="38"/>
  <c r="E12" i="38"/>
  <c r="D43" i="37"/>
  <c r="D35" i="37"/>
  <c r="C35" i="37"/>
  <c r="E15" i="37"/>
  <c r="D35" i="36"/>
  <c r="C35" i="36"/>
  <c r="E33" i="36"/>
  <c r="D75" i="35"/>
  <c r="M7" i="35" s="1"/>
  <c r="G24" i="92" s="1"/>
  <c r="D15" i="35"/>
  <c r="D60" i="35"/>
  <c r="H7" i="35" s="1"/>
  <c r="C41" i="35"/>
  <c r="D41" i="35" s="1"/>
  <c r="D24" i="35"/>
  <c r="D43" i="35"/>
  <c r="D45" i="35" s="1"/>
  <c r="E7" i="35" s="1"/>
  <c r="E84" i="83"/>
  <c r="E75" i="83"/>
  <c r="E67" i="83"/>
  <c r="E59" i="83"/>
  <c r="E51" i="83"/>
  <c r="E43" i="83"/>
  <c r="E38" i="83"/>
  <c r="E27" i="83"/>
  <c r="E21" i="83"/>
  <c r="M11" i="83"/>
  <c r="L11" i="83"/>
  <c r="K11" i="83"/>
  <c r="J11" i="83"/>
  <c r="I11" i="83"/>
  <c r="H11" i="83"/>
  <c r="F11" i="83"/>
  <c r="E11" i="83"/>
  <c r="M10" i="83"/>
  <c r="L10" i="83"/>
  <c r="K10" i="83"/>
  <c r="J10" i="83"/>
  <c r="I10" i="83"/>
  <c r="H10" i="83"/>
  <c r="F10" i="83"/>
  <c r="E10" i="83"/>
  <c r="G10" i="83" s="1"/>
  <c r="O9" i="83"/>
  <c r="E84" i="82"/>
  <c r="E75" i="82"/>
  <c r="E67" i="82"/>
  <c r="E59" i="82"/>
  <c r="E51" i="82"/>
  <c r="E43" i="82"/>
  <c r="E38" i="82"/>
  <c r="E27" i="82"/>
  <c r="E21" i="82"/>
  <c r="M11" i="82"/>
  <c r="L11" i="82"/>
  <c r="K11" i="82"/>
  <c r="J11" i="82"/>
  <c r="I11" i="82"/>
  <c r="H11" i="82"/>
  <c r="F11" i="82"/>
  <c r="F12" i="82" s="1"/>
  <c r="E12" i="82" s="1"/>
  <c r="E11" i="82"/>
  <c r="G11" i="82" s="1"/>
  <c r="M10" i="82"/>
  <c r="L10" i="82"/>
  <c r="K10" i="82"/>
  <c r="J10" i="82"/>
  <c r="I10" i="82"/>
  <c r="H10" i="82"/>
  <c r="F10" i="82"/>
  <c r="E10" i="82"/>
  <c r="G10" i="82" s="1"/>
  <c r="O9" i="82"/>
  <c r="E94" i="81"/>
  <c r="E84" i="81"/>
  <c r="E75" i="81"/>
  <c r="E67" i="81"/>
  <c r="E59" i="81"/>
  <c r="E51" i="81"/>
  <c r="E43" i="81"/>
  <c r="E38" i="81"/>
  <c r="C37" i="81"/>
  <c r="B37" i="81"/>
  <c r="E27" i="81"/>
  <c r="E21" i="81"/>
  <c r="M11" i="81"/>
  <c r="L11" i="81"/>
  <c r="K11" i="81"/>
  <c r="J11" i="81"/>
  <c r="I11" i="81"/>
  <c r="H11" i="81"/>
  <c r="F11" i="81"/>
  <c r="E11" i="81"/>
  <c r="M10" i="81"/>
  <c r="L10" i="81"/>
  <c r="K10" i="81"/>
  <c r="J10" i="81"/>
  <c r="I10" i="81"/>
  <c r="H10" i="81"/>
  <c r="F10" i="81"/>
  <c r="E10" i="81"/>
  <c r="G10" i="81" s="1"/>
  <c r="O9" i="81"/>
  <c r="E85" i="80"/>
  <c r="E76" i="80"/>
  <c r="E68" i="80"/>
  <c r="E61" i="80"/>
  <c r="E53" i="80"/>
  <c r="E45" i="80"/>
  <c r="E40" i="80"/>
  <c r="C39" i="80"/>
  <c r="B39" i="80"/>
  <c r="E29" i="80"/>
  <c r="E21" i="80"/>
  <c r="M11" i="80"/>
  <c r="L11" i="80"/>
  <c r="K11" i="80"/>
  <c r="J11" i="80"/>
  <c r="I11" i="80"/>
  <c r="H11" i="80"/>
  <c r="F11" i="80"/>
  <c r="E11" i="80"/>
  <c r="M10" i="80"/>
  <c r="L10" i="80"/>
  <c r="K10" i="80"/>
  <c r="J10" i="80"/>
  <c r="I10" i="80"/>
  <c r="H10" i="80"/>
  <c r="E10" i="80"/>
  <c r="E12" i="80" s="1"/>
  <c r="O9" i="80"/>
  <c r="E83" i="79"/>
  <c r="E74" i="79"/>
  <c r="E66" i="79"/>
  <c r="E58" i="79"/>
  <c r="E50" i="79"/>
  <c r="E42" i="79"/>
  <c r="E37" i="79"/>
  <c r="E26" i="79"/>
  <c r="E20" i="79"/>
  <c r="M11" i="79"/>
  <c r="L10" i="79"/>
  <c r="K10" i="79"/>
  <c r="J10" i="79"/>
  <c r="I10" i="79"/>
  <c r="H10" i="79"/>
  <c r="G10" i="79"/>
  <c r="F10" i="79"/>
  <c r="E10" i="79"/>
  <c r="L9" i="79"/>
  <c r="K9" i="79"/>
  <c r="J9" i="79"/>
  <c r="I9" i="79"/>
  <c r="H9" i="79"/>
  <c r="G9" i="79"/>
  <c r="F9" i="79"/>
  <c r="E9" i="79"/>
  <c r="N9" i="79" s="1"/>
  <c r="J68" i="92" s="1"/>
  <c r="O8" i="79"/>
  <c r="E83" i="78"/>
  <c r="E74" i="78"/>
  <c r="E66" i="78"/>
  <c r="E58" i="78"/>
  <c r="E50" i="78"/>
  <c r="E42" i="78"/>
  <c r="E37" i="78"/>
  <c r="E26" i="78"/>
  <c r="E20" i="78"/>
  <c r="M11" i="78"/>
  <c r="L10" i="78"/>
  <c r="K10" i="78"/>
  <c r="J10" i="78"/>
  <c r="I10" i="78"/>
  <c r="H10" i="78"/>
  <c r="G10" i="78"/>
  <c r="F10" i="78"/>
  <c r="E10" i="78"/>
  <c r="L9" i="78"/>
  <c r="K9" i="78"/>
  <c r="J9" i="78"/>
  <c r="I9" i="78"/>
  <c r="H9" i="78"/>
  <c r="G9" i="78"/>
  <c r="F9" i="78"/>
  <c r="E9" i="78"/>
  <c r="N9" i="78" s="1"/>
  <c r="O8" i="78"/>
  <c r="E82" i="77"/>
  <c r="E73" i="77"/>
  <c r="E67" i="77"/>
  <c r="E59" i="77"/>
  <c r="E51" i="77"/>
  <c r="E43" i="77"/>
  <c r="E38" i="77"/>
  <c r="E27" i="77"/>
  <c r="E21" i="77"/>
  <c r="E34" i="77" s="1"/>
  <c r="M12" i="77"/>
  <c r="L11" i="77"/>
  <c r="K11" i="77"/>
  <c r="J11" i="77"/>
  <c r="I11" i="77"/>
  <c r="H11" i="77"/>
  <c r="G11" i="77"/>
  <c r="F11" i="77"/>
  <c r="E11" i="77"/>
  <c r="L10" i="77"/>
  <c r="K10" i="77"/>
  <c r="J10" i="77"/>
  <c r="I10" i="77"/>
  <c r="H10" i="77"/>
  <c r="G10" i="77"/>
  <c r="F10" i="77"/>
  <c r="E10" i="77"/>
  <c r="N10" i="77" s="1"/>
  <c r="J66" i="92" s="1"/>
  <c r="O9" i="77"/>
  <c r="E83" i="76"/>
  <c r="E74" i="76"/>
  <c r="E66" i="76"/>
  <c r="E58" i="76"/>
  <c r="E50" i="76"/>
  <c r="E42" i="76"/>
  <c r="E37" i="76"/>
  <c r="E26" i="76"/>
  <c r="E20" i="76"/>
  <c r="M11" i="76"/>
  <c r="L10" i="76"/>
  <c r="K10" i="76"/>
  <c r="J10" i="76" s="1"/>
  <c r="I10" i="76"/>
  <c r="H10" i="76"/>
  <c r="G10" i="76"/>
  <c r="F10" i="76"/>
  <c r="E10" i="76"/>
  <c r="L9" i="76"/>
  <c r="K9" i="76"/>
  <c r="J9" i="76"/>
  <c r="I9" i="76"/>
  <c r="H9" i="76"/>
  <c r="G9" i="76"/>
  <c r="F9" i="76"/>
  <c r="E9" i="76"/>
  <c r="O8" i="76"/>
  <c r="E83" i="75"/>
  <c r="E74" i="75"/>
  <c r="E66" i="75"/>
  <c r="E58" i="75"/>
  <c r="E50" i="75"/>
  <c r="E42" i="75"/>
  <c r="E37" i="75"/>
  <c r="E26" i="75"/>
  <c r="E20" i="75"/>
  <c r="M11" i="75"/>
  <c r="L10" i="75"/>
  <c r="K10" i="75"/>
  <c r="J10" i="75"/>
  <c r="I10" i="75"/>
  <c r="H10" i="75"/>
  <c r="G10" i="75"/>
  <c r="F10" i="75"/>
  <c r="E10" i="75"/>
  <c r="L9" i="75"/>
  <c r="K9" i="75"/>
  <c r="J9" i="75"/>
  <c r="I9" i="75"/>
  <c r="H9" i="75"/>
  <c r="G9" i="75"/>
  <c r="F9" i="75"/>
  <c r="E9" i="75"/>
  <c r="N9" i="75" s="1"/>
  <c r="H68" i="92" s="1"/>
  <c r="O8" i="75"/>
  <c r="E83" i="74"/>
  <c r="E74" i="74"/>
  <c r="E66" i="74"/>
  <c r="E58" i="74"/>
  <c r="E50" i="74"/>
  <c r="E42" i="74"/>
  <c r="E37" i="74"/>
  <c r="E26" i="74"/>
  <c r="E20" i="74"/>
  <c r="E33" i="74" s="1"/>
  <c r="M11" i="74"/>
  <c r="L10" i="74"/>
  <c r="K10" i="74"/>
  <c r="J10" i="74"/>
  <c r="I10" i="74"/>
  <c r="H10" i="74"/>
  <c r="G10" i="74"/>
  <c r="F10" i="74"/>
  <c r="E10" i="74"/>
  <c r="L9" i="74"/>
  <c r="K9" i="74"/>
  <c r="J9" i="74"/>
  <c r="I9" i="74"/>
  <c r="H9" i="74"/>
  <c r="G9" i="74"/>
  <c r="F9" i="74"/>
  <c r="E9" i="74"/>
  <c r="N9" i="74" s="1"/>
  <c r="O8" i="74"/>
  <c r="E81" i="73"/>
  <c r="E72" i="73"/>
  <c r="E66" i="73"/>
  <c r="E58" i="73"/>
  <c r="E50" i="73"/>
  <c r="E42" i="73"/>
  <c r="E37" i="73"/>
  <c r="E26" i="73"/>
  <c r="E20" i="73"/>
  <c r="E33" i="73" s="1"/>
  <c r="M11" i="73"/>
  <c r="L10" i="73"/>
  <c r="K10" i="73"/>
  <c r="J10" i="73"/>
  <c r="I10" i="73"/>
  <c r="H10" i="73"/>
  <c r="G10" i="73"/>
  <c r="F10" i="73"/>
  <c r="E10" i="73"/>
  <c r="L9" i="73"/>
  <c r="K9" i="73"/>
  <c r="J9" i="73"/>
  <c r="I9" i="73"/>
  <c r="H9" i="73"/>
  <c r="G9" i="73"/>
  <c r="F9" i="73"/>
  <c r="E9" i="73"/>
  <c r="N9" i="73" s="1"/>
  <c r="H66" i="92" s="1"/>
  <c r="O8" i="73"/>
  <c r="E84" i="72"/>
  <c r="E75" i="72"/>
  <c r="E67" i="72"/>
  <c r="E59" i="72"/>
  <c r="E51" i="72"/>
  <c r="E43" i="72"/>
  <c r="E38" i="72"/>
  <c r="E27" i="72"/>
  <c r="E21" i="72"/>
  <c r="M11" i="72"/>
  <c r="L10" i="72"/>
  <c r="K10" i="72"/>
  <c r="J10" i="72"/>
  <c r="I10" i="72"/>
  <c r="H10" i="72"/>
  <c r="G10" i="72"/>
  <c r="F10" i="72"/>
  <c r="E10" i="72"/>
  <c r="L9" i="72"/>
  <c r="K9" i="72"/>
  <c r="J9" i="72"/>
  <c r="I9" i="72"/>
  <c r="H9" i="72"/>
  <c r="G9" i="72"/>
  <c r="F9" i="72"/>
  <c r="E9" i="72"/>
  <c r="E11" i="72" s="1"/>
  <c r="F57" i="3" s="1"/>
  <c r="O8" i="72"/>
  <c r="E87" i="71"/>
  <c r="E78" i="71"/>
  <c r="E67" i="71"/>
  <c r="E59" i="71"/>
  <c r="E51" i="71"/>
  <c r="E43" i="71"/>
  <c r="E38" i="71"/>
  <c r="E27" i="71"/>
  <c r="E21" i="71"/>
  <c r="E34" i="71" s="1"/>
  <c r="M12" i="71"/>
  <c r="L11" i="71"/>
  <c r="K11" i="71"/>
  <c r="J11" i="71"/>
  <c r="I11" i="71"/>
  <c r="H11" i="71"/>
  <c r="G11" i="71"/>
  <c r="F11" i="71"/>
  <c r="E11" i="71"/>
  <c r="L10" i="71"/>
  <c r="K10" i="71"/>
  <c r="J10" i="71"/>
  <c r="I10" i="71"/>
  <c r="H10" i="71"/>
  <c r="G10" i="71"/>
  <c r="F10" i="71"/>
  <c r="E10" i="71"/>
  <c r="N10" i="71" s="1"/>
  <c r="J61" i="92" s="1"/>
  <c r="O9" i="71"/>
  <c r="E83" i="70"/>
  <c r="L10" i="70"/>
  <c r="N10" i="70" s="1"/>
  <c r="L9" i="70"/>
  <c r="N9" i="70" s="1"/>
  <c r="E84" i="69"/>
  <c r="E75" i="69"/>
  <c r="E67" i="69"/>
  <c r="E59" i="69"/>
  <c r="E51" i="69"/>
  <c r="E43" i="69"/>
  <c r="E38" i="69"/>
  <c r="E27" i="69"/>
  <c r="E21" i="69"/>
  <c r="M12" i="69"/>
  <c r="L11" i="69"/>
  <c r="K11" i="69"/>
  <c r="J11" i="69"/>
  <c r="I11" i="69"/>
  <c r="H11" i="69"/>
  <c r="G11" i="69"/>
  <c r="F11" i="69"/>
  <c r="E11" i="69"/>
  <c r="L10" i="69"/>
  <c r="K10" i="69"/>
  <c r="J10" i="69"/>
  <c r="I10" i="69"/>
  <c r="H10" i="69"/>
  <c r="G10" i="69"/>
  <c r="F10" i="69"/>
  <c r="E10" i="69"/>
  <c r="N10" i="69" s="1"/>
  <c r="J59" i="92" s="1"/>
  <c r="O9" i="69"/>
  <c r="E83" i="68"/>
  <c r="E74" i="68"/>
  <c r="E66" i="68"/>
  <c r="E58" i="68"/>
  <c r="E50" i="68"/>
  <c r="E42" i="68"/>
  <c r="E37" i="68"/>
  <c r="E26" i="68"/>
  <c r="E20" i="68"/>
  <c r="M11" i="68"/>
  <c r="L10" i="68"/>
  <c r="K10" i="68"/>
  <c r="J10" i="68"/>
  <c r="I10" i="68"/>
  <c r="H10" i="68"/>
  <c r="G10" i="68"/>
  <c r="F10" i="68"/>
  <c r="E10" i="68"/>
  <c r="L9" i="68"/>
  <c r="K9" i="68"/>
  <c r="J9" i="68"/>
  <c r="I9" i="68"/>
  <c r="I11" i="68" s="1"/>
  <c r="H11" i="68" s="1"/>
  <c r="H9" i="68"/>
  <c r="G9" i="68"/>
  <c r="F9" i="68"/>
  <c r="E9" i="68"/>
  <c r="N9" i="68" s="1"/>
  <c r="J54" i="92" s="1"/>
  <c r="O8" i="68"/>
  <c r="E83" i="67"/>
  <c r="E74" i="67"/>
  <c r="E66" i="67"/>
  <c r="E58" i="67"/>
  <c r="E50" i="67"/>
  <c r="E42" i="67"/>
  <c r="E37" i="67"/>
  <c r="E26" i="67"/>
  <c r="E20" i="67"/>
  <c r="M11" i="67"/>
  <c r="L10" i="67"/>
  <c r="K10" i="67"/>
  <c r="J10" i="67"/>
  <c r="I10" i="67"/>
  <c r="H10" i="67"/>
  <c r="G10" i="67"/>
  <c r="F10" i="67"/>
  <c r="E10" i="67"/>
  <c r="L9" i="67"/>
  <c r="K9" i="67"/>
  <c r="J9" i="67"/>
  <c r="I9" i="67"/>
  <c r="H9" i="67"/>
  <c r="G9" i="67"/>
  <c r="F9" i="67"/>
  <c r="E9" i="67"/>
  <c r="N9" i="67" s="1"/>
  <c r="O8" i="67"/>
  <c r="F49" i="65"/>
  <c r="F48" i="65"/>
  <c r="F47" i="65" s="1"/>
  <c r="E47" i="65"/>
  <c r="D47" i="65"/>
  <c r="F46" i="65"/>
  <c r="F45" i="65"/>
  <c r="F44" i="65"/>
  <c r="F43" i="65"/>
  <c r="E42" i="65"/>
  <c r="D42" i="65"/>
  <c r="M5" i="65" s="1"/>
  <c r="F41" i="65"/>
  <c r="F40" i="65"/>
  <c r="F39" i="65"/>
  <c r="F38" i="65"/>
  <c r="E37" i="65"/>
  <c r="D37" i="65"/>
  <c r="F36" i="65"/>
  <c r="F35" i="65"/>
  <c r="F34" i="65"/>
  <c r="F33" i="65"/>
  <c r="E32" i="65"/>
  <c r="D32" i="65"/>
  <c r="F32" i="65" s="1"/>
  <c r="E26" i="65"/>
  <c r="D26" i="65"/>
  <c r="F26" i="65" s="1"/>
  <c r="E25" i="65"/>
  <c r="D25" i="65"/>
  <c r="F25" i="65" s="1"/>
  <c r="E24" i="65"/>
  <c r="D24" i="65"/>
  <c r="F24" i="65" s="1"/>
  <c r="E23" i="65"/>
  <c r="D23" i="65"/>
  <c r="E22" i="65"/>
  <c r="D22" i="65"/>
  <c r="F21" i="65"/>
  <c r="F20" i="65"/>
  <c r="F19" i="65"/>
  <c r="F18" i="65"/>
  <c r="F17" i="65" s="1"/>
  <c r="E17" i="65"/>
  <c r="D17" i="65"/>
  <c r="F16" i="65"/>
  <c r="F15" i="65"/>
  <c r="F14" i="65"/>
  <c r="F13" i="65"/>
  <c r="F12" i="65" s="1"/>
  <c r="E12" i="65"/>
  <c r="D12" i="65"/>
  <c r="P6" i="65"/>
  <c r="O6" i="65"/>
  <c r="N6" i="65" s="1"/>
  <c r="M6" i="65"/>
  <c r="L6" i="65"/>
  <c r="K6" i="65"/>
  <c r="J6" i="65"/>
  <c r="P5" i="65"/>
  <c r="P7" i="65" s="1"/>
  <c r="O5" i="65"/>
  <c r="N5" i="65" s="1"/>
  <c r="N7" i="65" s="1"/>
  <c r="L5" i="65"/>
  <c r="L7" i="65" s="1"/>
  <c r="K5" i="65"/>
  <c r="J5" i="65"/>
  <c r="J7" i="65" s="1"/>
  <c r="H5" i="65"/>
  <c r="F53" i="62"/>
  <c r="F52" i="62"/>
  <c r="F51" i="62"/>
  <c r="F50" i="62"/>
  <c r="F49" i="62" s="1"/>
  <c r="E49" i="62"/>
  <c r="D49" i="62"/>
  <c r="F48" i="62"/>
  <c r="F47" i="62"/>
  <c r="F46" i="62"/>
  <c r="F45" i="62"/>
  <c r="F44" i="62" s="1"/>
  <c r="E44" i="62"/>
  <c r="D44" i="62"/>
  <c r="F43" i="62"/>
  <c r="F42" i="62"/>
  <c r="F41" i="62"/>
  <c r="F40" i="62"/>
  <c r="E39" i="62"/>
  <c r="D39" i="62"/>
  <c r="F38" i="62"/>
  <c r="F37" i="62"/>
  <c r="F36" i="62"/>
  <c r="F35" i="62"/>
  <c r="F34" i="62" s="1"/>
  <c r="E34" i="62"/>
  <c r="D34" i="62"/>
  <c r="F33" i="62"/>
  <c r="F32" i="62"/>
  <c r="F31" i="62"/>
  <c r="F30" i="62"/>
  <c r="F29" i="62" s="1"/>
  <c r="E29" i="62"/>
  <c r="D29" i="62"/>
  <c r="F28" i="62"/>
  <c r="F27" i="62"/>
  <c r="E26" i="62"/>
  <c r="D26" i="62"/>
  <c r="F26" i="62" s="1"/>
  <c r="F23" i="62"/>
  <c r="F22" i="62"/>
  <c r="F21" i="62"/>
  <c r="F20" i="62"/>
  <c r="E19" i="62"/>
  <c r="D19" i="62"/>
  <c r="F18" i="62"/>
  <c r="F17" i="62"/>
  <c r="F16" i="62"/>
  <c r="F15" i="62"/>
  <c r="F14" i="62"/>
  <c r="E13" i="62"/>
  <c r="P6" i="62"/>
  <c r="O6" i="62"/>
  <c r="N6" i="62"/>
  <c r="M6" i="62" s="1"/>
  <c r="L6" i="62"/>
  <c r="K6" i="62" s="1"/>
  <c r="J6" i="62"/>
  <c r="H6" i="62"/>
  <c r="G6" i="62"/>
  <c r="P5" i="62"/>
  <c r="O5" i="62"/>
  <c r="N5" i="62"/>
  <c r="M5" i="62"/>
  <c r="L5" i="62"/>
  <c r="K5" i="62"/>
  <c r="J5" i="62"/>
  <c r="H5" i="62"/>
  <c r="H7" i="62" s="1"/>
  <c r="G5" i="62"/>
  <c r="E86" i="60"/>
  <c r="E77" i="60"/>
  <c r="E66" i="60"/>
  <c r="E58" i="60"/>
  <c r="E50" i="60"/>
  <c r="E42" i="60"/>
  <c r="E37" i="60"/>
  <c r="E26" i="60"/>
  <c r="E20" i="60"/>
  <c r="E33" i="60" s="1"/>
  <c r="M11" i="60"/>
  <c r="L10" i="60"/>
  <c r="K10" i="60"/>
  <c r="J10" i="60"/>
  <c r="I10" i="60"/>
  <c r="H10" i="60"/>
  <c r="G10" i="60"/>
  <c r="F10" i="60"/>
  <c r="E10" i="60"/>
  <c r="L9" i="60"/>
  <c r="K9" i="60"/>
  <c r="J9" i="60"/>
  <c r="I9" i="60"/>
  <c r="H9" i="60"/>
  <c r="G9" i="60"/>
  <c r="F9" i="60"/>
  <c r="E9" i="60"/>
  <c r="N9" i="60" s="1"/>
  <c r="H61" i="92" s="1"/>
  <c r="O8" i="60"/>
  <c r="E83" i="59"/>
  <c r="L10" i="59"/>
  <c r="N10" i="59" s="1"/>
  <c r="L9" i="59"/>
  <c r="N9" i="59" s="1"/>
  <c r="E83" i="58"/>
  <c r="E74" i="58"/>
  <c r="E66" i="58"/>
  <c r="E58" i="58"/>
  <c r="E50" i="58"/>
  <c r="E42" i="58"/>
  <c r="E37" i="58"/>
  <c r="E27" i="58"/>
  <c r="E21" i="58"/>
  <c r="M11" i="58"/>
  <c r="L10" i="58"/>
  <c r="K10" i="58"/>
  <c r="J10" i="58"/>
  <c r="I10" i="58"/>
  <c r="H10" i="58"/>
  <c r="G10" i="58"/>
  <c r="F10" i="58"/>
  <c r="E10" i="58"/>
  <c r="L9" i="58"/>
  <c r="K9" i="58"/>
  <c r="J9" i="58"/>
  <c r="I9" i="58"/>
  <c r="H9" i="58"/>
  <c r="G9" i="58"/>
  <c r="F9" i="58"/>
  <c r="E9" i="58"/>
  <c r="O8" i="58"/>
  <c r="E83" i="57"/>
  <c r="E74" i="57"/>
  <c r="E66" i="57"/>
  <c r="E58" i="57"/>
  <c r="E50" i="57"/>
  <c r="E42" i="57"/>
  <c r="E37" i="57"/>
  <c r="E26" i="57"/>
  <c r="E20" i="57"/>
  <c r="M11" i="57"/>
  <c r="L10" i="57"/>
  <c r="K10" i="57"/>
  <c r="J10" i="57"/>
  <c r="I10" i="57"/>
  <c r="H10" i="57"/>
  <c r="G10" i="57"/>
  <c r="F10" i="57"/>
  <c r="E10" i="57"/>
  <c r="L9" i="57"/>
  <c r="K9" i="57"/>
  <c r="J9" i="57"/>
  <c r="I9" i="57"/>
  <c r="I11" i="57" s="1"/>
  <c r="H11" i="57" s="1"/>
  <c r="H9" i="57"/>
  <c r="G9" i="57"/>
  <c r="F9" i="57"/>
  <c r="E9" i="57"/>
  <c r="N9" i="57" s="1"/>
  <c r="H54" i="92" s="1"/>
  <c r="O8" i="57"/>
  <c r="E66" i="56"/>
  <c r="E58" i="56"/>
  <c r="E50" i="56"/>
  <c r="E42" i="56"/>
  <c r="E37" i="56"/>
  <c r="E26" i="56"/>
  <c r="E20" i="56"/>
  <c r="M11" i="56"/>
  <c r="L10" i="56"/>
  <c r="K10" i="56"/>
  <c r="J10" i="56"/>
  <c r="I10" i="56"/>
  <c r="H10" i="56"/>
  <c r="G10" i="56"/>
  <c r="F10" i="56"/>
  <c r="E10" i="56"/>
  <c r="L9" i="56"/>
  <c r="K9" i="56"/>
  <c r="J9" i="56"/>
  <c r="I9" i="56"/>
  <c r="H9" i="56"/>
  <c r="G9" i="56"/>
  <c r="F9" i="56"/>
  <c r="E9" i="56"/>
  <c r="O8" i="56"/>
  <c r="F48" i="54"/>
  <c r="E47" i="54"/>
  <c r="D47" i="54"/>
  <c r="F47" i="54" s="1"/>
  <c r="E37" i="54"/>
  <c r="L6" i="54" s="1"/>
  <c r="D37" i="54"/>
  <c r="L5" i="54" s="1"/>
  <c r="E32" i="54"/>
  <c r="K6" i="54" s="1"/>
  <c r="D32" i="54"/>
  <c r="K5" i="54" s="1"/>
  <c r="F27" i="54"/>
  <c r="E26" i="54"/>
  <c r="D26" i="54"/>
  <c r="E25" i="54"/>
  <c r="D25" i="54"/>
  <c r="E24" i="54"/>
  <c r="D24" i="54"/>
  <c r="E23" i="54"/>
  <c r="D23" i="54"/>
  <c r="D22" i="54" s="1"/>
  <c r="E22" i="54"/>
  <c r="F17" i="54"/>
  <c r="F16" i="54"/>
  <c r="F15" i="54"/>
  <c r="F14" i="54"/>
  <c r="F13" i="54"/>
  <c r="E12" i="54"/>
  <c r="G6" i="54" s="1"/>
  <c r="D12" i="54"/>
  <c r="P7" i="54"/>
  <c r="H7" i="54"/>
  <c r="O6" i="54"/>
  <c r="N6" i="54"/>
  <c r="M6" i="54"/>
  <c r="J6" i="54"/>
  <c r="I6" i="54" s="1"/>
  <c r="O5" i="54"/>
  <c r="O7" i="54" s="1"/>
  <c r="N5" i="54"/>
  <c r="N7" i="54" s="1"/>
  <c r="M5" i="54"/>
  <c r="J5" i="54"/>
  <c r="J7" i="54" s="1"/>
  <c r="F53" i="51"/>
  <c r="F52" i="51"/>
  <c r="F51" i="51"/>
  <c r="F50" i="51"/>
  <c r="E49" i="51"/>
  <c r="D49" i="51"/>
  <c r="F49" i="51" s="1"/>
  <c r="F48" i="51"/>
  <c r="F47" i="51"/>
  <c r="F46" i="51"/>
  <c r="F45" i="51"/>
  <c r="E44" i="51"/>
  <c r="D44" i="51"/>
  <c r="F44" i="51" s="1"/>
  <c r="F43" i="51"/>
  <c r="F42" i="51"/>
  <c r="F41" i="51"/>
  <c r="F40" i="51"/>
  <c r="E39" i="51"/>
  <c r="D39" i="51"/>
  <c r="F39" i="51" s="1"/>
  <c r="F23" i="51"/>
  <c r="F19" i="51"/>
  <c r="F18" i="51"/>
  <c r="F17" i="51"/>
  <c r="F16" i="51"/>
  <c r="F15" i="51"/>
  <c r="F14" i="51"/>
  <c r="E13" i="51"/>
  <c r="G6" i="51" s="1"/>
  <c r="P6" i="51"/>
  <c r="O6" i="51"/>
  <c r="N6" i="51"/>
  <c r="M6" i="51" s="1"/>
  <c r="L6" i="51"/>
  <c r="K6" i="51"/>
  <c r="J6" i="51"/>
  <c r="H6" i="51"/>
  <c r="P5" i="51"/>
  <c r="O5" i="51"/>
  <c r="N5" i="51"/>
  <c r="M5" i="51"/>
  <c r="M7" i="51" s="1"/>
  <c r="L5" i="51"/>
  <c r="K5" i="51"/>
  <c r="J5" i="51"/>
  <c r="H5" i="51"/>
  <c r="K7" i="47"/>
  <c r="J7" i="47"/>
  <c r="I7" i="47"/>
  <c r="H7" i="47"/>
  <c r="F7" i="47"/>
  <c r="E7" i="47"/>
  <c r="D7" i="47"/>
  <c r="C7" i="47"/>
  <c r="K6" i="47"/>
  <c r="K8" i="47" s="1"/>
  <c r="N28" i="4" s="1"/>
  <c r="J6" i="47"/>
  <c r="J8" i="47" s="1"/>
  <c r="M28" i="4" s="1"/>
  <c r="I6" i="47"/>
  <c r="I8" i="47" s="1"/>
  <c r="L28" i="4" s="1"/>
  <c r="H6" i="47"/>
  <c r="H8" i="47" s="1"/>
  <c r="K28" i="4" s="1"/>
  <c r="F6" i="47"/>
  <c r="F8" i="47" s="1"/>
  <c r="I28" i="4" s="1"/>
  <c r="E6" i="47"/>
  <c r="E8" i="47" s="1"/>
  <c r="H28" i="4" s="1"/>
  <c r="D6" i="47"/>
  <c r="D8" i="47" s="1"/>
  <c r="G28" i="4" s="1"/>
  <c r="C6" i="47"/>
  <c r="K7" i="46"/>
  <c r="J7" i="46"/>
  <c r="I7" i="46"/>
  <c r="H7" i="46"/>
  <c r="G7" i="46"/>
  <c r="F7" i="46"/>
  <c r="E7" i="46"/>
  <c r="D7" i="46"/>
  <c r="C7" i="46"/>
  <c r="L7" i="46" s="1"/>
  <c r="K6" i="46"/>
  <c r="K8" i="46" s="1"/>
  <c r="N27" i="4" s="1"/>
  <c r="J6" i="46"/>
  <c r="J8" i="46" s="1"/>
  <c r="M27" i="4" s="1"/>
  <c r="I6" i="46"/>
  <c r="I8" i="46" s="1"/>
  <c r="L27" i="4" s="1"/>
  <c r="H6" i="46"/>
  <c r="H8" i="46" s="1"/>
  <c r="K27" i="4" s="1"/>
  <c r="G6" i="46"/>
  <c r="G8" i="46" s="1"/>
  <c r="J27" i="4" s="1"/>
  <c r="F6" i="46"/>
  <c r="F8" i="46" s="1"/>
  <c r="I27" i="4" s="1"/>
  <c r="E6" i="46"/>
  <c r="E8" i="46" s="1"/>
  <c r="H27" i="4" s="1"/>
  <c r="D6" i="46"/>
  <c r="D8" i="46" s="1"/>
  <c r="G27" i="4" s="1"/>
  <c r="C6" i="46"/>
  <c r="L6" i="46" s="1"/>
  <c r="J31" i="92" s="1"/>
  <c r="M9" i="45"/>
  <c r="K7" i="45"/>
  <c r="J7" i="45"/>
  <c r="I7" i="45"/>
  <c r="H7" i="45"/>
  <c r="G7" i="45"/>
  <c r="F7" i="45"/>
  <c r="E7" i="45"/>
  <c r="D7" i="45"/>
  <c r="C7" i="45"/>
  <c r="L7" i="45" s="1"/>
  <c r="K6" i="45"/>
  <c r="K8" i="45" s="1"/>
  <c r="N26" i="4" s="1"/>
  <c r="J6" i="45"/>
  <c r="J8" i="45" s="1"/>
  <c r="M26" i="4" s="1"/>
  <c r="I6" i="45"/>
  <c r="I8" i="45" s="1"/>
  <c r="L26" i="4" s="1"/>
  <c r="H6" i="45"/>
  <c r="H8" i="45" s="1"/>
  <c r="K26" i="4" s="1"/>
  <c r="G6" i="45"/>
  <c r="G8" i="45" s="1"/>
  <c r="J26" i="4" s="1"/>
  <c r="F6" i="45"/>
  <c r="F8" i="45" s="1"/>
  <c r="I26" i="4" s="1"/>
  <c r="E6" i="45"/>
  <c r="E8" i="45" s="1"/>
  <c r="H26" i="4" s="1"/>
  <c r="D6" i="45"/>
  <c r="D8" i="45" s="1"/>
  <c r="G26" i="4" s="1"/>
  <c r="C6" i="45"/>
  <c r="D43" i="44"/>
  <c r="C43" i="44"/>
  <c r="E42" i="44"/>
  <c r="E41" i="44"/>
  <c r="E40" i="44"/>
  <c r="E39" i="44"/>
  <c r="E38" i="44"/>
  <c r="E33" i="44"/>
  <c r="D31" i="44"/>
  <c r="C31" i="44"/>
  <c r="E31" i="44" s="1"/>
  <c r="E30" i="44"/>
  <c r="E29" i="44"/>
  <c r="E28" i="44"/>
  <c r="E25" i="44"/>
  <c r="D23" i="44"/>
  <c r="C23" i="44"/>
  <c r="E23" i="44" s="1"/>
  <c r="E22" i="44"/>
  <c r="E21" i="44"/>
  <c r="E20" i="44"/>
  <c r="E19" i="44"/>
  <c r="E12" i="44"/>
  <c r="M7" i="44"/>
  <c r="K7" i="44"/>
  <c r="J7" i="44"/>
  <c r="I7" i="44"/>
  <c r="H7" i="44"/>
  <c r="G7" i="44"/>
  <c r="F7" i="44"/>
  <c r="M6" i="44"/>
  <c r="I27" i="92" s="1"/>
  <c r="K6" i="44"/>
  <c r="J6" i="44"/>
  <c r="I6" i="44"/>
  <c r="H6" i="44"/>
  <c r="G6" i="44"/>
  <c r="F6" i="44"/>
  <c r="D6" i="44"/>
  <c r="C6" i="44"/>
  <c r="M7" i="43"/>
  <c r="D49" i="43"/>
  <c r="E49" i="43" s="1"/>
  <c r="E48" i="43"/>
  <c r="E36" i="43"/>
  <c r="D34" i="43"/>
  <c r="C34" i="43"/>
  <c r="E34" i="43" s="1"/>
  <c r="E28" i="43"/>
  <c r="D26" i="43"/>
  <c r="C26" i="43"/>
  <c r="D15" i="43"/>
  <c r="K7" i="43" s="1"/>
  <c r="C15" i="43"/>
  <c r="J7" i="43"/>
  <c r="I7" i="43"/>
  <c r="H7" i="43"/>
  <c r="G7" i="43"/>
  <c r="F7" i="43"/>
  <c r="M6" i="43"/>
  <c r="I24" i="92" s="1"/>
  <c r="J6" i="43"/>
  <c r="J8" i="43" s="1"/>
  <c r="I6" i="43"/>
  <c r="I8" i="43" s="1"/>
  <c r="H6" i="43"/>
  <c r="G6" i="43"/>
  <c r="G8" i="43" s="1"/>
  <c r="F6" i="43"/>
  <c r="C6" i="43"/>
  <c r="D54" i="42"/>
  <c r="C54" i="42"/>
  <c r="E37" i="42"/>
  <c r="E29" i="42"/>
  <c r="E20" i="42"/>
  <c r="E19" i="42"/>
  <c r="M7" i="42"/>
  <c r="K7" i="42"/>
  <c r="J7" i="42"/>
  <c r="I7" i="42"/>
  <c r="H7" i="42"/>
  <c r="G7" i="42"/>
  <c r="F7" i="42"/>
  <c r="E7" i="42"/>
  <c r="D7" i="42"/>
  <c r="C7" i="42"/>
  <c r="M6" i="42"/>
  <c r="K6" i="42"/>
  <c r="K8" i="42" s="1"/>
  <c r="N34" i="3" s="1"/>
  <c r="J6" i="42"/>
  <c r="J8" i="42" s="1"/>
  <c r="I6" i="42"/>
  <c r="H6" i="42"/>
  <c r="H8" i="42" s="1"/>
  <c r="K34" i="3" s="1"/>
  <c r="G6" i="42"/>
  <c r="G8" i="42" s="1"/>
  <c r="J34" i="3" s="1"/>
  <c r="F6" i="42"/>
  <c r="F8" i="42" s="1"/>
  <c r="E6" i="42"/>
  <c r="E8" i="42" s="1"/>
  <c r="H34" i="3" s="1"/>
  <c r="D6" i="42"/>
  <c r="D8" i="42" s="1"/>
  <c r="G34" i="3" s="1"/>
  <c r="C6" i="42"/>
  <c r="L6" i="42" s="1"/>
  <c r="H32" i="92" s="1"/>
  <c r="E39" i="41"/>
  <c r="E38" i="41"/>
  <c r="E35" i="41"/>
  <c r="E33" i="41"/>
  <c r="E30" i="41"/>
  <c r="E29" i="41"/>
  <c r="E28" i="41"/>
  <c r="E31" i="41" s="1"/>
  <c r="E25" i="41"/>
  <c r="E23" i="41"/>
  <c r="E22" i="41"/>
  <c r="E21" i="41"/>
  <c r="E20" i="41"/>
  <c r="E19" i="41"/>
  <c r="E16" i="41"/>
  <c r="E15" i="41"/>
  <c r="K7" i="41"/>
  <c r="J7" i="41"/>
  <c r="I7" i="41"/>
  <c r="H7" i="41"/>
  <c r="G7" i="41"/>
  <c r="F7" i="41"/>
  <c r="E7" i="41"/>
  <c r="D7" i="41"/>
  <c r="C7" i="41"/>
  <c r="L7" i="41" s="1"/>
  <c r="K6" i="41"/>
  <c r="K8" i="41" s="1"/>
  <c r="N33" i="3" s="1"/>
  <c r="J6" i="41"/>
  <c r="J8" i="41" s="1"/>
  <c r="M33" i="3" s="1"/>
  <c r="I6" i="41"/>
  <c r="I8" i="41" s="1"/>
  <c r="L33" i="3" s="1"/>
  <c r="H6" i="41"/>
  <c r="H8" i="41" s="1"/>
  <c r="K33" i="3" s="1"/>
  <c r="G6" i="41"/>
  <c r="G8" i="41" s="1"/>
  <c r="J33" i="3" s="1"/>
  <c r="F6" i="41"/>
  <c r="F8" i="41" s="1"/>
  <c r="I33" i="3" s="1"/>
  <c r="E6" i="41"/>
  <c r="E8" i="41" s="1"/>
  <c r="H33" i="3" s="1"/>
  <c r="D6" i="41"/>
  <c r="D8" i="41" s="1"/>
  <c r="G33" i="3" s="1"/>
  <c r="C6" i="41"/>
  <c r="C8" i="41" s="1"/>
  <c r="F33" i="3" s="1"/>
  <c r="M7" i="40"/>
  <c r="K7" i="40"/>
  <c r="J7" i="40"/>
  <c r="I7" i="40"/>
  <c r="H7" i="40"/>
  <c r="G7" i="40"/>
  <c r="F7" i="40"/>
  <c r="E7" i="40"/>
  <c r="D7" i="40"/>
  <c r="L7" i="40" s="1"/>
  <c r="M6" i="40"/>
  <c r="K6" i="40"/>
  <c r="K8" i="40" s="1"/>
  <c r="N32" i="3" s="1"/>
  <c r="J6" i="40"/>
  <c r="J8" i="40" s="1"/>
  <c r="M32" i="3" s="1"/>
  <c r="I6" i="40"/>
  <c r="I8" i="40" s="1"/>
  <c r="L32" i="3" s="1"/>
  <c r="H6" i="40"/>
  <c r="H8" i="40" s="1"/>
  <c r="K32" i="3" s="1"/>
  <c r="G6" i="40"/>
  <c r="G8" i="40" s="1"/>
  <c r="J32" i="3" s="1"/>
  <c r="F6" i="40"/>
  <c r="F8" i="40" s="1"/>
  <c r="I32" i="3" s="1"/>
  <c r="E6" i="40"/>
  <c r="E8" i="40" s="1"/>
  <c r="H32" i="3" s="1"/>
  <c r="D6" i="40"/>
  <c r="D8" i="40" s="1"/>
  <c r="G32" i="3" s="1"/>
  <c r="C8" i="40"/>
  <c r="F32" i="3" s="1"/>
  <c r="M7" i="38"/>
  <c r="K7" i="38"/>
  <c r="J7" i="38"/>
  <c r="H7" i="38"/>
  <c r="G7" i="38"/>
  <c r="F7" i="38"/>
  <c r="E7" i="38"/>
  <c r="D7" i="38"/>
  <c r="C7" i="38"/>
  <c r="M6" i="38"/>
  <c r="K6" i="38"/>
  <c r="K8" i="38" s="1"/>
  <c r="N30" i="3" s="1"/>
  <c r="J6" i="38"/>
  <c r="J8" i="38" s="1"/>
  <c r="M30" i="3" s="1"/>
  <c r="I6" i="38"/>
  <c r="H6" i="38"/>
  <c r="H8" i="38" s="1"/>
  <c r="K30" i="3" s="1"/>
  <c r="G6" i="38"/>
  <c r="G8" i="38" s="1"/>
  <c r="J30" i="3" s="1"/>
  <c r="F6" i="38"/>
  <c r="F8" i="38" s="1"/>
  <c r="I30" i="3" s="1"/>
  <c r="E6" i="38"/>
  <c r="E8" i="38" s="1"/>
  <c r="H30" i="3" s="1"/>
  <c r="D6" i="38"/>
  <c r="D8" i="38" s="1"/>
  <c r="G30" i="3" s="1"/>
  <c r="C6" i="38"/>
  <c r="C8" i="38" s="1"/>
  <c r="F30" i="3" s="1"/>
  <c r="C43" i="37"/>
  <c r="E35" i="37"/>
  <c r="E33" i="37"/>
  <c r="D31" i="37"/>
  <c r="C31" i="37"/>
  <c r="E25" i="37"/>
  <c r="D23" i="37"/>
  <c r="D45" i="37" s="1"/>
  <c r="C23" i="37"/>
  <c r="E23" i="37" s="1"/>
  <c r="E16" i="37"/>
  <c r="E12" i="37"/>
  <c r="M7" i="37"/>
  <c r="K7" i="37"/>
  <c r="J7" i="37"/>
  <c r="I7" i="37"/>
  <c r="H7" i="37"/>
  <c r="G7" i="37"/>
  <c r="F7" i="37"/>
  <c r="E7" i="37"/>
  <c r="D7" i="37"/>
  <c r="C7" i="37"/>
  <c r="M6" i="37"/>
  <c r="G27" i="92" s="1"/>
  <c r="K6" i="37"/>
  <c r="J6" i="37"/>
  <c r="I6" i="37"/>
  <c r="H6" i="37"/>
  <c r="G6" i="37"/>
  <c r="F6" i="37"/>
  <c r="E6" i="37"/>
  <c r="D6" i="37"/>
  <c r="C6" i="37"/>
  <c r="C8" i="37" s="1"/>
  <c r="D46" i="36"/>
  <c r="C46" i="36"/>
  <c r="E45" i="36"/>
  <c r="E44" i="36"/>
  <c r="E43" i="36"/>
  <c r="E42" i="36"/>
  <c r="E41" i="36"/>
  <c r="E40" i="36"/>
  <c r="E39" i="36"/>
  <c r="E46" i="36" s="1"/>
  <c r="D31" i="36"/>
  <c r="C31" i="36"/>
  <c r="E30" i="36"/>
  <c r="E29" i="36"/>
  <c r="E28" i="36"/>
  <c r="E25" i="36"/>
  <c r="D23" i="36"/>
  <c r="C23" i="36"/>
  <c r="E22" i="36"/>
  <c r="E21" i="36"/>
  <c r="E20" i="36"/>
  <c r="E19" i="36"/>
  <c r="E23" i="36" s="1"/>
  <c r="E16" i="36"/>
  <c r="E15" i="36"/>
  <c r="M7" i="36"/>
  <c r="K7" i="36"/>
  <c r="J7" i="36"/>
  <c r="I7" i="36"/>
  <c r="H7" i="36"/>
  <c r="G7" i="36"/>
  <c r="F7" i="36"/>
  <c r="D7" i="36"/>
  <c r="C7" i="36"/>
  <c r="M6" i="36"/>
  <c r="K6" i="36"/>
  <c r="K8" i="36" s="1"/>
  <c r="J6" i="36"/>
  <c r="I6" i="36"/>
  <c r="I8" i="36" s="1"/>
  <c r="L28" i="3" s="1"/>
  <c r="H6" i="36"/>
  <c r="H8" i="36" s="1"/>
  <c r="K28" i="3" s="1"/>
  <c r="G6" i="36"/>
  <c r="G8" i="36" s="1"/>
  <c r="J28" i="3" s="1"/>
  <c r="F6" i="36"/>
  <c r="F8" i="36" s="1"/>
  <c r="E6" i="36"/>
  <c r="D6" i="36"/>
  <c r="C6" i="36"/>
  <c r="C75" i="35"/>
  <c r="C60" i="35"/>
  <c r="E60" i="35" s="1"/>
  <c r="D39" i="35"/>
  <c r="C39" i="35"/>
  <c r="E39" i="35" s="1"/>
  <c r="E33" i="35"/>
  <c r="D31" i="35"/>
  <c r="C31" i="35"/>
  <c r="C15" i="35"/>
  <c r="J7" i="35"/>
  <c r="I7" i="35"/>
  <c r="G7" i="35"/>
  <c r="M6" i="35"/>
  <c r="J6" i="35"/>
  <c r="G6" i="35"/>
  <c r="F6" i="35"/>
  <c r="D6" i="35"/>
  <c r="I104" i="34"/>
  <c r="T103" i="34"/>
  <c r="S103" i="34"/>
  <c r="Q103" i="34"/>
  <c r="P103" i="34"/>
  <c r="T102" i="34"/>
  <c r="S102" i="34"/>
  <c r="Q102" i="34"/>
  <c r="P102" i="34"/>
  <c r="T101" i="34"/>
  <c r="S101" i="34"/>
  <c r="Q101" i="34"/>
  <c r="P101" i="34"/>
  <c r="T100" i="34"/>
  <c r="S100" i="34"/>
  <c r="Q100" i="34"/>
  <c r="P100" i="34"/>
  <c r="T99" i="34"/>
  <c r="S99" i="34"/>
  <c r="Q99" i="34"/>
  <c r="P99" i="34"/>
  <c r="T98" i="34"/>
  <c r="S98" i="34"/>
  <c r="Q98" i="34"/>
  <c r="P98" i="34"/>
  <c r="T97" i="34"/>
  <c r="S97" i="34"/>
  <c r="Q97" i="34"/>
  <c r="P97" i="34"/>
  <c r="T96" i="34"/>
  <c r="S96" i="34"/>
  <c r="Q96" i="34"/>
  <c r="P96" i="34"/>
  <c r="T95" i="34"/>
  <c r="S95" i="34"/>
  <c r="Q95" i="34"/>
  <c r="P95" i="34"/>
  <c r="T94" i="34"/>
  <c r="S94" i="34"/>
  <c r="Q94" i="34"/>
  <c r="P94" i="34"/>
  <c r="T93" i="34"/>
  <c r="S93" i="34"/>
  <c r="Q93" i="34"/>
  <c r="P93" i="34"/>
  <c r="T92" i="34"/>
  <c r="S92" i="34"/>
  <c r="Q92" i="34"/>
  <c r="P92" i="34"/>
  <c r="T91" i="34"/>
  <c r="S91" i="34"/>
  <c r="Q91" i="34"/>
  <c r="P91" i="34"/>
  <c r="T90" i="34"/>
  <c r="S90" i="34"/>
  <c r="Q90" i="34"/>
  <c r="P90" i="34"/>
  <c r="T89" i="34"/>
  <c r="S89" i="34"/>
  <c r="Q89" i="34"/>
  <c r="P89" i="34"/>
  <c r="T88" i="34"/>
  <c r="S88" i="34"/>
  <c r="Q88" i="34"/>
  <c r="P88" i="34"/>
  <c r="T87" i="34"/>
  <c r="S87" i="34"/>
  <c r="Q87" i="34"/>
  <c r="P87" i="34"/>
  <c r="T86" i="34"/>
  <c r="S86" i="34"/>
  <c r="Q86" i="34"/>
  <c r="P86" i="34"/>
  <c r="T85" i="34"/>
  <c r="S85" i="34"/>
  <c r="Q85" i="34"/>
  <c r="P85" i="34"/>
  <c r="T84" i="34"/>
  <c r="S84" i="34"/>
  <c r="Q84" i="34"/>
  <c r="P84" i="34"/>
  <c r="T83" i="34"/>
  <c r="S83" i="34"/>
  <c r="Q83" i="34"/>
  <c r="P83" i="34"/>
  <c r="T82" i="34"/>
  <c r="S82" i="34"/>
  <c r="Q82" i="34"/>
  <c r="P82" i="34"/>
  <c r="T81" i="34"/>
  <c r="S81" i="34"/>
  <c r="Q81" i="34"/>
  <c r="P81" i="34"/>
  <c r="T80" i="34"/>
  <c r="S80" i="34"/>
  <c r="Q80" i="34"/>
  <c r="P80" i="34"/>
  <c r="T79" i="34"/>
  <c r="S79" i="34"/>
  <c r="Q79" i="34"/>
  <c r="P79" i="34"/>
  <c r="T78" i="34"/>
  <c r="S78" i="34"/>
  <c r="Q78" i="34"/>
  <c r="P78" i="34"/>
  <c r="T77" i="34"/>
  <c r="S77" i="34"/>
  <c r="Q77" i="34"/>
  <c r="P77" i="34"/>
  <c r="T76" i="34"/>
  <c r="S76" i="34"/>
  <c r="Q76" i="34"/>
  <c r="P76" i="34"/>
  <c r="T75" i="34"/>
  <c r="S75" i="34"/>
  <c r="Q75" i="34"/>
  <c r="P75" i="34"/>
  <c r="T74" i="34"/>
  <c r="S74" i="34"/>
  <c r="Q74" i="34"/>
  <c r="P74" i="34"/>
  <c r="T73" i="34"/>
  <c r="S73" i="34"/>
  <c r="Q73" i="34"/>
  <c r="P73" i="34"/>
  <c r="T72" i="34"/>
  <c r="S72" i="34"/>
  <c r="Q72" i="34"/>
  <c r="P72" i="34"/>
  <c r="T71" i="34"/>
  <c r="S71" i="34"/>
  <c r="Q71" i="34"/>
  <c r="P71" i="34"/>
  <c r="T70" i="34"/>
  <c r="S70" i="34"/>
  <c r="Q70" i="34"/>
  <c r="P70" i="34"/>
  <c r="T69" i="34"/>
  <c r="S69" i="34"/>
  <c r="Q69" i="34"/>
  <c r="P69" i="34"/>
  <c r="T68" i="34"/>
  <c r="S68" i="34"/>
  <c r="Q68" i="34"/>
  <c r="P68" i="34"/>
  <c r="T67" i="34"/>
  <c r="S67" i="34"/>
  <c r="Q67" i="34"/>
  <c r="P67" i="34"/>
  <c r="T66" i="34"/>
  <c r="S66" i="34"/>
  <c r="Q66" i="34"/>
  <c r="P66" i="34"/>
  <c r="T65" i="34"/>
  <c r="S65" i="34"/>
  <c r="Q65" i="34"/>
  <c r="P65" i="34"/>
  <c r="T64" i="34"/>
  <c r="S64" i="34"/>
  <c r="Q64" i="34"/>
  <c r="P64" i="34"/>
  <c r="T63" i="34"/>
  <c r="S63" i="34"/>
  <c r="T62" i="34"/>
  <c r="S62" i="34"/>
  <c r="Q104" i="34"/>
  <c r="P104" i="34"/>
  <c r="T54" i="34"/>
  <c r="B54" i="34"/>
  <c r="R53" i="34"/>
  <c r="Q53" i="34"/>
  <c r="P53" i="34"/>
  <c r="O53" i="34"/>
  <c r="L53" i="34"/>
  <c r="I53" i="34"/>
  <c r="Q52" i="34"/>
  <c r="P52" i="34"/>
  <c r="O52" i="34"/>
  <c r="U102" i="34" s="1"/>
  <c r="L52" i="34"/>
  <c r="I52" i="34"/>
  <c r="Q51" i="34"/>
  <c r="P51" i="34"/>
  <c r="O51" i="34"/>
  <c r="R51" i="34" s="1"/>
  <c r="L51" i="34"/>
  <c r="I51" i="34"/>
  <c r="F51" i="34"/>
  <c r="Q50" i="34"/>
  <c r="P50" i="34"/>
  <c r="O50" i="34"/>
  <c r="U100" i="34" s="1"/>
  <c r="L50" i="34"/>
  <c r="I50" i="34"/>
  <c r="F50" i="34"/>
  <c r="R49" i="34"/>
  <c r="Q49" i="34"/>
  <c r="P49" i="34"/>
  <c r="O49" i="34"/>
  <c r="L49" i="34"/>
  <c r="I49" i="34"/>
  <c r="F49" i="34"/>
  <c r="R48" i="34" s="1"/>
  <c r="Q48" i="34"/>
  <c r="P48" i="34"/>
  <c r="O48" i="34"/>
  <c r="U98" i="34" s="1"/>
  <c r="L48" i="34"/>
  <c r="I48" i="34"/>
  <c r="F48" i="34"/>
  <c r="Q47" i="34"/>
  <c r="P47" i="34"/>
  <c r="O47" i="34"/>
  <c r="R47" i="34" s="1"/>
  <c r="L47" i="34"/>
  <c r="I47" i="34"/>
  <c r="E47" i="34"/>
  <c r="D47" i="34"/>
  <c r="R46" i="34" s="1"/>
  <c r="Q46" i="34"/>
  <c r="P46" i="34"/>
  <c r="O46" i="34"/>
  <c r="U96" i="34" s="1"/>
  <c r="L46" i="34"/>
  <c r="I46" i="34"/>
  <c r="F46" i="34"/>
  <c r="Q45" i="34"/>
  <c r="P45" i="34"/>
  <c r="O45" i="34"/>
  <c r="R45" i="34" s="1"/>
  <c r="L45" i="34"/>
  <c r="I45" i="34"/>
  <c r="F45" i="34"/>
  <c r="Q44" i="34"/>
  <c r="P44" i="34"/>
  <c r="O44" i="34"/>
  <c r="U94" i="34" s="1"/>
  <c r="L44" i="34"/>
  <c r="I44" i="34"/>
  <c r="F44" i="34"/>
  <c r="R43" i="34"/>
  <c r="Q43" i="34"/>
  <c r="P43" i="34"/>
  <c r="O43" i="34"/>
  <c r="L43" i="34"/>
  <c r="I43" i="34"/>
  <c r="F43" i="34"/>
  <c r="R42" i="34" s="1"/>
  <c r="Q42" i="34"/>
  <c r="P42" i="34"/>
  <c r="O42" i="34"/>
  <c r="U92" i="34" s="1"/>
  <c r="L42" i="34"/>
  <c r="I42" i="34"/>
  <c r="E42" i="34"/>
  <c r="D42" i="34"/>
  <c r="R41" i="34"/>
  <c r="Q41" i="34"/>
  <c r="P41" i="34"/>
  <c r="O41" i="34"/>
  <c r="L41" i="34"/>
  <c r="I41" i="34"/>
  <c r="F41" i="34"/>
  <c r="R40" i="34" s="1"/>
  <c r="Q40" i="34"/>
  <c r="P40" i="34"/>
  <c r="O40" i="34"/>
  <c r="U90" i="34" s="1"/>
  <c r="L40" i="34"/>
  <c r="I40" i="34"/>
  <c r="F40" i="34"/>
  <c r="Q39" i="34"/>
  <c r="P39" i="34"/>
  <c r="O39" i="34"/>
  <c r="R39" i="34" s="1"/>
  <c r="L39" i="34"/>
  <c r="I39" i="34"/>
  <c r="F39" i="34"/>
  <c r="Q38" i="34"/>
  <c r="P38" i="34"/>
  <c r="O38" i="34"/>
  <c r="U88" i="34" s="1"/>
  <c r="L38" i="34"/>
  <c r="I38" i="34"/>
  <c r="F38" i="34"/>
  <c r="R37" i="34"/>
  <c r="Q37" i="34"/>
  <c r="P37" i="34"/>
  <c r="O37" i="34"/>
  <c r="L37" i="34"/>
  <c r="I37" i="34"/>
  <c r="E37" i="34"/>
  <c r="D37" i="34"/>
  <c r="Q36" i="34"/>
  <c r="P36" i="34"/>
  <c r="O36" i="34"/>
  <c r="U86" i="34" s="1"/>
  <c r="L36" i="34"/>
  <c r="I36" i="34"/>
  <c r="F36" i="34"/>
  <c r="R35" i="34"/>
  <c r="Q35" i="34"/>
  <c r="P35" i="34"/>
  <c r="O35" i="34"/>
  <c r="L35" i="34"/>
  <c r="I35" i="34"/>
  <c r="F35" i="34"/>
  <c r="R34" i="34" s="1"/>
  <c r="Q34" i="34"/>
  <c r="P34" i="34"/>
  <c r="O34" i="34"/>
  <c r="U84" i="34" s="1"/>
  <c r="L34" i="34"/>
  <c r="I34" i="34"/>
  <c r="F34" i="34"/>
  <c r="Q33" i="34"/>
  <c r="P33" i="34"/>
  <c r="O33" i="34"/>
  <c r="R33" i="34" s="1"/>
  <c r="L33" i="34"/>
  <c r="I33" i="34"/>
  <c r="F33" i="34"/>
  <c r="Q32" i="34"/>
  <c r="P32" i="34"/>
  <c r="O32" i="34"/>
  <c r="U82" i="34" s="1"/>
  <c r="L32" i="34"/>
  <c r="I32" i="34"/>
  <c r="E32" i="34"/>
  <c r="D32" i="34"/>
  <c r="Q31" i="34"/>
  <c r="P31" i="34"/>
  <c r="O31" i="34"/>
  <c r="R31" i="34" s="1"/>
  <c r="L31" i="34"/>
  <c r="I31" i="34"/>
  <c r="F31" i="34"/>
  <c r="R30" i="34"/>
  <c r="Q30" i="34"/>
  <c r="P30" i="34"/>
  <c r="O30" i="34"/>
  <c r="L30" i="34"/>
  <c r="I30" i="34"/>
  <c r="F30" i="34"/>
  <c r="Q29" i="34"/>
  <c r="P29" i="34"/>
  <c r="O29" i="34"/>
  <c r="R29" i="34" s="1"/>
  <c r="L29" i="34"/>
  <c r="I29" i="34"/>
  <c r="F29" i="34"/>
  <c r="R28" i="34"/>
  <c r="Q28" i="34"/>
  <c r="P28" i="34"/>
  <c r="O28" i="34"/>
  <c r="L28" i="34"/>
  <c r="I28" i="34"/>
  <c r="F28" i="34"/>
  <c r="Q27" i="34"/>
  <c r="P27" i="34"/>
  <c r="O27" i="34"/>
  <c r="R27" i="34" s="1"/>
  <c r="L27" i="34"/>
  <c r="I27" i="34"/>
  <c r="E27" i="34"/>
  <c r="D27" i="34"/>
  <c r="Q26" i="34"/>
  <c r="P26" i="34"/>
  <c r="O26" i="34"/>
  <c r="R26" i="34" s="1"/>
  <c r="L26" i="34"/>
  <c r="I26" i="34"/>
  <c r="Q25" i="34"/>
  <c r="P25" i="34"/>
  <c r="O25" i="34"/>
  <c r="R25" i="34" s="1"/>
  <c r="L25" i="34"/>
  <c r="I25" i="34"/>
  <c r="Q24" i="34"/>
  <c r="P24" i="34"/>
  <c r="O24" i="34"/>
  <c r="R24" i="34" s="1"/>
  <c r="L24" i="34"/>
  <c r="I24" i="34"/>
  <c r="Q23" i="34"/>
  <c r="P23" i="34"/>
  <c r="O23" i="34"/>
  <c r="R23" i="34" s="1"/>
  <c r="L23" i="34"/>
  <c r="I23" i="34"/>
  <c r="Q22" i="34"/>
  <c r="P22" i="34"/>
  <c r="O22" i="34"/>
  <c r="R22" i="34" s="1"/>
  <c r="L22" i="34"/>
  <c r="I22" i="34"/>
  <c r="Q21" i="34"/>
  <c r="P21" i="34"/>
  <c r="O21" i="34"/>
  <c r="R21" i="34" s="1"/>
  <c r="L21" i="34"/>
  <c r="I21" i="34"/>
  <c r="F21" i="34"/>
  <c r="R20" i="34"/>
  <c r="Q20" i="34"/>
  <c r="P20" i="34"/>
  <c r="O20" i="34"/>
  <c r="L20" i="34"/>
  <c r="I20" i="34"/>
  <c r="F20" i="34"/>
  <c r="Q19" i="34"/>
  <c r="P19" i="34"/>
  <c r="O19" i="34"/>
  <c r="R19" i="34" s="1"/>
  <c r="L19" i="34"/>
  <c r="I19" i="34"/>
  <c r="F19" i="34"/>
  <c r="R18" i="34"/>
  <c r="Q18" i="34"/>
  <c r="P18" i="34"/>
  <c r="O18" i="34"/>
  <c r="L18" i="34"/>
  <c r="I18" i="34"/>
  <c r="F18" i="34"/>
  <c r="Q17" i="34"/>
  <c r="P17" i="34"/>
  <c r="O17" i="34"/>
  <c r="R17" i="34" s="1"/>
  <c r="L17" i="34"/>
  <c r="I17" i="34"/>
  <c r="E17" i="34"/>
  <c r="D17" i="34"/>
  <c r="F17" i="34" s="1"/>
  <c r="R16" i="34"/>
  <c r="Q16" i="34"/>
  <c r="P16" i="34"/>
  <c r="O16" i="34"/>
  <c r="L16" i="34"/>
  <c r="I16" i="34"/>
  <c r="F16" i="34"/>
  <c r="Q15" i="34"/>
  <c r="P15" i="34"/>
  <c r="O15" i="34"/>
  <c r="R15" i="34" s="1"/>
  <c r="L15" i="34"/>
  <c r="I15" i="34"/>
  <c r="F15" i="34"/>
  <c r="R14" i="34"/>
  <c r="Q14" i="34"/>
  <c r="P14" i="34"/>
  <c r="O14" i="34"/>
  <c r="L14" i="34"/>
  <c r="I14" i="34"/>
  <c r="F14" i="34"/>
  <c r="Q13" i="34"/>
  <c r="P13" i="34"/>
  <c r="O13" i="34"/>
  <c r="R13" i="34" s="1"/>
  <c r="L13" i="34"/>
  <c r="I13" i="34"/>
  <c r="F13" i="34"/>
  <c r="R12" i="34"/>
  <c r="Q12" i="34"/>
  <c r="P12" i="34"/>
  <c r="O12" i="34"/>
  <c r="G104" i="34" s="1"/>
  <c r="U103" i="34" s="1"/>
  <c r="L12" i="34"/>
  <c r="I12" i="34"/>
  <c r="E12" i="34"/>
  <c r="D12" i="34"/>
  <c r="D23" i="34" s="1"/>
  <c r="P6" i="34"/>
  <c r="N6" i="34"/>
  <c r="M6" i="34"/>
  <c r="L6" i="34"/>
  <c r="K6" i="34"/>
  <c r="J6" i="34"/>
  <c r="H6" i="34"/>
  <c r="G6" i="34"/>
  <c r="P5" i="34"/>
  <c r="N5" i="34"/>
  <c r="M5" i="34"/>
  <c r="L5" i="34"/>
  <c r="L7" i="34" s="1"/>
  <c r="K5" i="34"/>
  <c r="J5" i="34"/>
  <c r="H5" i="34"/>
  <c r="G5" i="34"/>
  <c r="R4" i="34"/>
  <c r="Q4" i="34"/>
  <c r="P4" i="34"/>
  <c r="O4" i="34"/>
  <c r="N4" i="34"/>
  <c r="M4" i="34"/>
  <c r="L4" i="34"/>
  <c r="K4" i="34"/>
  <c r="J4" i="34"/>
  <c r="I4" i="34"/>
  <c r="H4" i="34"/>
  <c r="G4" i="34"/>
  <c r="H1" i="34"/>
  <c r="G1" i="34"/>
  <c r="I104" i="33"/>
  <c r="T103" i="33"/>
  <c r="S103" i="33"/>
  <c r="Q103" i="33"/>
  <c r="P103" i="33"/>
  <c r="T102" i="33"/>
  <c r="S102" i="33"/>
  <c r="Q102" i="33"/>
  <c r="P102" i="33"/>
  <c r="T101" i="33"/>
  <c r="S101" i="33"/>
  <c r="Q101" i="33"/>
  <c r="P101" i="33"/>
  <c r="T100" i="33"/>
  <c r="S100" i="33"/>
  <c r="Q100" i="33"/>
  <c r="P100" i="33"/>
  <c r="T99" i="33"/>
  <c r="S99" i="33"/>
  <c r="Q99" i="33"/>
  <c r="P99" i="33"/>
  <c r="T98" i="33"/>
  <c r="S98" i="33"/>
  <c r="Q98" i="33"/>
  <c r="P98" i="33"/>
  <c r="T97" i="33"/>
  <c r="S97" i="33"/>
  <c r="Q97" i="33"/>
  <c r="P97" i="33"/>
  <c r="T96" i="33"/>
  <c r="S96" i="33"/>
  <c r="Q96" i="33"/>
  <c r="P96" i="33"/>
  <c r="T95" i="33"/>
  <c r="S95" i="33"/>
  <c r="Q95" i="33"/>
  <c r="P95" i="33"/>
  <c r="T94" i="33"/>
  <c r="S94" i="33"/>
  <c r="Q94" i="33"/>
  <c r="P94" i="33"/>
  <c r="T93" i="33"/>
  <c r="S93" i="33"/>
  <c r="Q93" i="33"/>
  <c r="P93" i="33"/>
  <c r="T92" i="33"/>
  <c r="S92" i="33"/>
  <c r="Q92" i="33"/>
  <c r="P92" i="33"/>
  <c r="T91" i="33"/>
  <c r="S91" i="33"/>
  <c r="Q91" i="33"/>
  <c r="P91" i="33"/>
  <c r="T90" i="33"/>
  <c r="S90" i="33"/>
  <c r="Q90" i="33"/>
  <c r="P90" i="33"/>
  <c r="T89" i="33"/>
  <c r="S89" i="33"/>
  <c r="Q89" i="33"/>
  <c r="P89" i="33"/>
  <c r="T88" i="33"/>
  <c r="S88" i="33"/>
  <c r="Q88" i="33"/>
  <c r="P88" i="33"/>
  <c r="T87" i="33"/>
  <c r="S87" i="33"/>
  <c r="Q87" i="33"/>
  <c r="P87" i="33"/>
  <c r="T86" i="33"/>
  <c r="S86" i="33"/>
  <c r="Q86" i="33"/>
  <c r="P86" i="33"/>
  <c r="T85" i="33"/>
  <c r="S85" i="33"/>
  <c r="Q85" i="33"/>
  <c r="P85" i="33"/>
  <c r="T84" i="33"/>
  <c r="S84" i="33"/>
  <c r="Q84" i="33"/>
  <c r="P84" i="33"/>
  <c r="T83" i="33"/>
  <c r="S83" i="33"/>
  <c r="Q83" i="33"/>
  <c r="P83" i="33"/>
  <c r="T82" i="33"/>
  <c r="S82" i="33"/>
  <c r="Q82" i="33"/>
  <c r="P82" i="33"/>
  <c r="T81" i="33"/>
  <c r="S81" i="33"/>
  <c r="Q81" i="33"/>
  <c r="P81" i="33"/>
  <c r="T80" i="33"/>
  <c r="S80" i="33"/>
  <c r="Q80" i="33"/>
  <c r="P80" i="33"/>
  <c r="T79" i="33"/>
  <c r="S79" i="33"/>
  <c r="Q79" i="33"/>
  <c r="P79" i="33"/>
  <c r="T78" i="33"/>
  <c r="S78" i="33"/>
  <c r="Q78" i="33"/>
  <c r="P78" i="33"/>
  <c r="T77" i="33"/>
  <c r="S77" i="33"/>
  <c r="Q77" i="33"/>
  <c r="P77" i="33"/>
  <c r="T76" i="33"/>
  <c r="S76" i="33"/>
  <c r="Q76" i="33"/>
  <c r="P76" i="33"/>
  <c r="T75" i="33"/>
  <c r="S75" i="33"/>
  <c r="Q75" i="33"/>
  <c r="P75" i="33"/>
  <c r="T74" i="33"/>
  <c r="S74" i="33"/>
  <c r="Q74" i="33"/>
  <c r="P74" i="33"/>
  <c r="T73" i="33"/>
  <c r="S73" i="33"/>
  <c r="Q73" i="33"/>
  <c r="P73" i="33"/>
  <c r="T72" i="33"/>
  <c r="S72" i="33"/>
  <c r="Q72" i="33"/>
  <c r="P72" i="33"/>
  <c r="T71" i="33"/>
  <c r="S71" i="33"/>
  <c r="Q71" i="33"/>
  <c r="P71" i="33"/>
  <c r="T70" i="33"/>
  <c r="S70" i="33"/>
  <c r="Q70" i="33"/>
  <c r="P70" i="33"/>
  <c r="T69" i="33"/>
  <c r="S69" i="33"/>
  <c r="Q69" i="33"/>
  <c r="P69" i="33"/>
  <c r="T68" i="33"/>
  <c r="S68" i="33"/>
  <c r="Q68" i="33"/>
  <c r="P68" i="33"/>
  <c r="T67" i="33"/>
  <c r="S67" i="33"/>
  <c r="Q67" i="33"/>
  <c r="P67" i="33"/>
  <c r="T66" i="33"/>
  <c r="S66" i="33"/>
  <c r="Q66" i="33"/>
  <c r="P66" i="33"/>
  <c r="T65" i="33"/>
  <c r="S65" i="33"/>
  <c r="Q65" i="33"/>
  <c r="P65" i="33"/>
  <c r="T64" i="33"/>
  <c r="S64" i="33"/>
  <c r="Q64" i="33"/>
  <c r="P64" i="33"/>
  <c r="T63" i="33"/>
  <c r="S63" i="33"/>
  <c r="Q63" i="33"/>
  <c r="P63" i="33"/>
  <c r="T62" i="33"/>
  <c r="S62" i="33"/>
  <c r="Q62" i="33"/>
  <c r="P62" i="33"/>
  <c r="T54" i="33"/>
  <c r="B54" i="33"/>
  <c r="R53" i="33"/>
  <c r="Q53" i="33"/>
  <c r="P53" i="33"/>
  <c r="O53" i="33"/>
  <c r="L53" i="33"/>
  <c r="I53" i="33"/>
  <c r="Q52" i="33"/>
  <c r="P52" i="33"/>
  <c r="O52" i="33"/>
  <c r="U102" i="33" s="1"/>
  <c r="L52" i="33"/>
  <c r="I52" i="33"/>
  <c r="R51" i="33"/>
  <c r="Q51" i="33"/>
  <c r="P51" i="33"/>
  <c r="O51" i="33"/>
  <c r="L51" i="33"/>
  <c r="I51" i="33"/>
  <c r="F51" i="33"/>
  <c r="R50" i="33" s="1"/>
  <c r="Q50" i="33"/>
  <c r="P50" i="33"/>
  <c r="O50" i="33"/>
  <c r="U100" i="33" s="1"/>
  <c r="L50" i="33"/>
  <c r="I50" i="33"/>
  <c r="F50" i="33"/>
  <c r="Q49" i="33"/>
  <c r="P49" i="33"/>
  <c r="O49" i="33"/>
  <c r="R49" i="33" s="1"/>
  <c r="L49" i="33"/>
  <c r="I49" i="33"/>
  <c r="F49" i="33"/>
  <c r="Q48" i="33"/>
  <c r="P48" i="33"/>
  <c r="O48" i="33"/>
  <c r="U98" i="33" s="1"/>
  <c r="L48" i="33"/>
  <c r="I48" i="33"/>
  <c r="F48" i="33"/>
  <c r="R47" i="33"/>
  <c r="Q47" i="33"/>
  <c r="P47" i="33"/>
  <c r="O47" i="33"/>
  <c r="L47" i="33"/>
  <c r="I47" i="33"/>
  <c r="E47" i="33"/>
  <c r="N6" i="33" s="1"/>
  <c r="D47" i="33"/>
  <c r="Q46" i="33"/>
  <c r="P46" i="33"/>
  <c r="O46" i="33"/>
  <c r="U96" i="33" s="1"/>
  <c r="L46" i="33"/>
  <c r="I46" i="33"/>
  <c r="F46" i="33"/>
  <c r="R45" i="33"/>
  <c r="Q45" i="33"/>
  <c r="P45" i="33"/>
  <c r="O45" i="33"/>
  <c r="L45" i="33"/>
  <c r="I45" i="33"/>
  <c r="F45" i="33"/>
  <c r="R44" i="33" s="1"/>
  <c r="Q44" i="33"/>
  <c r="P44" i="33"/>
  <c r="O44" i="33"/>
  <c r="U94" i="33" s="1"/>
  <c r="L44" i="33"/>
  <c r="I44" i="33"/>
  <c r="F44" i="33"/>
  <c r="Q43" i="33"/>
  <c r="P43" i="33"/>
  <c r="O43" i="33"/>
  <c r="R43" i="33" s="1"/>
  <c r="L43" i="33"/>
  <c r="I43" i="33"/>
  <c r="F43" i="33"/>
  <c r="Q42" i="33"/>
  <c r="P42" i="33"/>
  <c r="O42" i="33"/>
  <c r="U92" i="33" s="1"/>
  <c r="L42" i="33"/>
  <c r="I42" i="33"/>
  <c r="E42" i="33"/>
  <c r="D42" i="33"/>
  <c r="Q41" i="33"/>
  <c r="P41" i="33"/>
  <c r="O41" i="33"/>
  <c r="R41" i="33" s="1"/>
  <c r="L41" i="33"/>
  <c r="I41" i="33"/>
  <c r="F41" i="33"/>
  <c r="Q40" i="33"/>
  <c r="P40" i="33"/>
  <c r="O40" i="33"/>
  <c r="U90" i="33" s="1"/>
  <c r="L40" i="33"/>
  <c r="I40" i="33"/>
  <c r="F40" i="33"/>
  <c r="R39" i="33"/>
  <c r="Q39" i="33"/>
  <c r="P39" i="33"/>
  <c r="O39" i="33"/>
  <c r="L39" i="33"/>
  <c r="I39" i="33"/>
  <c r="F39" i="33"/>
  <c r="R38" i="33" s="1"/>
  <c r="Q38" i="33"/>
  <c r="P38" i="33"/>
  <c r="O38" i="33"/>
  <c r="U88" i="33" s="1"/>
  <c r="L38" i="33"/>
  <c r="I38" i="33"/>
  <c r="F38" i="33"/>
  <c r="Q37" i="33"/>
  <c r="P37" i="33"/>
  <c r="O37" i="33"/>
  <c r="R37" i="33" s="1"/>
  <c r="L37" i="33"/>
  <c r="I37" i="33"/>
  <c r="E37" i="33"/>
  <c r="D37" i="33"/>
  <c r="Q36" i="33"/>
  <c r="P36" i="33"/>
  <c r="O36" i="33"/>
  <c r="U86" i="33" s="1"/>
  <c r="L36" i="33"/>
  <c r="I36" i="33"/>
  <c r="F36" i="33"/>
  <c r="Q35" i="33"/>
  <c r="P35" i="33"/>
  <c r="O35" i="33"/>
  <c r="R35" i="33" s="1"/>
  <c r="L35" i="33"/>
  <c r="I35" i="33"/>
  <c r="F35" i="33"/>
  <c r="Q34" i="33"/>
  <c r="P34" i="33"/>
  <c r="O34" i="33"/>
  <c r="U84" i="33" s="1"/>
  <c r="L34" i="33"/>
  <c r="I34" i="33"/>
  <c r="F34" i="33"/>
  <c r="R33" i="33"/>
  <c r="Q33" i="33"/>
  <c r="P33" i="33"/>
  <c r="O33" i="33"/>
  <c r="L33" i="33"/>
  <c r="I33" i="33"/>
  <c r="F33" i="33"/>
  <c r="R32" i="33" s="1"/>
  <c r="Q32" i="33"/>
  <c r="P32" i="33"/>
  <c r="O32" i="33"/>
  <c r="U82" i="33" s="1"/>
  <c r="L32" i="33"/>
  <c r="I32" i="33"/>
  <c r="E32" i="33"/>
  <c r="D32" i="33"/>
  <c r="R31" i="33"/>
  <c r="Q31" i="33"/>
  <c r="P31" i="33"/>
  <c r="O31" i="33"/>
  <c r="L31" i="33"/>
  <c r="I31" i="33"/>
  <c r="F31" i="33"/>
  <c r="Q30" i="33"/>
  <c r="P30" i="33"/>
  <c r="O30" i="33"/>
  <c r="R30" i="33" s="1"/>
  <c r="L30" i="33"/>
  <c r="I30" i="33"/>
  <c r="F30" i="33"/>
  <c r="R29" i="33"/>
  <c r="Q29" i="33"/>
  <c r="P29" i="33"/>
  <c r="O29" i="33"/>
  <c r="L29" i="33"/>
  <c r="I29" i="33"/>
  <c r="F29" i="33"/>
  <c r="Q28" i="33"/>
  <c r="P28" i="33"/>
  <c r="O28" i="33"/>
  <c r="R28" i="33" s="1"/>
  <c r="L28" i="33"/>
  <c r="I28" i="33"/>
  <c r="F28" i="33"/>
  <c r="R27" i="33"/>
  <c r="Q27" i="33"/>
  <c r="P27" i="33"/>
  <c r="O27" i="33"/>
  <c r="L27" i="33"/>
  <c r="I27" i="33"/>
  <c r="E27" i="33"/>
  <c r="J6" i="33" s="1"/>
  <c r="D27" i="33"/>
  <c r="R26" i="33"/>
  <c r="Q26" i="33"/>
  <c r="P26" i="33"/>
  <c r="O26" i="33"/>
  <c r="L26" i="33"/>
  <c r="I26" i="33"/>
  <c r="R25" i="33"/>
  <c r="Q25" i="33"/>
  <c r="P25" i="33"/>
  <c r="O25" i="33"/>
  <c r="L25" i="33"/>
  <c r="I25" i="33"/>
  <c r="R24" i="33"/>
  <c r="Q24" i="33"/>
  <c r="P24" i="33"/>
  <c r="O24" i="33"/>
  <c r="L24" i="33"/>
  <c r="I24" i="33"/>
  <c r="R23" i="33"/>
  <c r="Q23" i="33"/>
  <c r="P23" i="33"/>
  <c r="O23" i="33"/>
  <c r="L23" i="33"/>
  <c r="I23" i="33"/>
  <c r="R22" i="33"/>
  <c r="Q22" i="33"/>
  <c r="P22" i="33"/>
  <c r="O22" i="33"/>
  <c r="L22" i="33"/>
  <c r="I22" i="33"/>
  <c r="R21" i="33"/>
  <c r="Q21" i="33"/>
  <c r="P21" i="33"/>
  <c r="O21" i="33"/>
  <c r="L21" i="33"/>
  <c r="I21" i="33"/>
  <c r="F21" i="33"/>
  <c r="Q20" i="33"/>
  <c r="P20" i="33"/>
  <c r="O20" i="33"/>
  <c r="R20" i="33" s="1"/>
  <c r="L20" i="33"/>
  <c r="I20" i="33"/>
  <c r="F20" i="33"/>
  <c r="R19" i="33"/>
  <c r="Q19" i="33"/>
  <c r="P19" i="33"/>
  <c r="O19" i="33"/>
  <c r="L19" i="33"/>
  <c r="I19" i="33"/>
  <c r="F19" i="33"/>
  <c r="Q18" i="33"/>
  <c r="P18" i="33"/>
  <c r="O18" i="33"/>
  <c r="R18" i="33" s="1"/>
  <c r="L18" i="33"/>
  <c r="I18" i="33"/>
  <c r="F18" i="33"/>
  <c r="R17" i="33"/>
  <c r="Q17" i="33"/>
  <c r="P17" i="33"/>
  <c r="O17" i="33"/>
  <c r="L17" i="33"/>
  <c r="I17" i="33"/>
  <c r="E17" i="33"/>
  <c r="D17" i="33"/>
  <c r="H5" i="33" s="1"/>
  <c r="Q16" i="33"/>
  <c r="P16" i="33"/>
  <c r="O16" i="33"/>
  <c r="R16" i="33" s="1"/>
  <c r="L16" i="33"/>
  <c r="I16" i="33"/>
  <c r="F16" i="33"/>
  <c r="R15" i="33"/>
  <c r="Q15" i="33"/>
  <c r="P15" i="33"/>
  <c r="O15" i="33"/>
  <c r="L15" i="33"/>
  <c r="I15" i="33"/>
  <c r="F15" i="33"/>
  <c r="Q14" i="33"/>
  <c r="P14" i="33"/>
  <c r="O14" i="33"/>
  <c r="R14" i="33" s="1"/>
  <c r="L14" i="33"/>
  <c r="I14" i="33"/>
  <c r="F14" i="33"/>
  <c r="R13" i="33"/>
  <c r="Q13" i="33"/>
  <c r="P13" i="33"/>
  <c r="O13" i="33"/>
  <c r="L13" i="33"/>
  <c r="I13" i="33"/>
  <c r="F13" i="33"/>
  <c r="Q12" i="33"/>
  <c r="P12" i="33"/>
  <c r="O12" i="33"/>
  <c r="L12" i="33"/>
  <c r="I12" i="33"/>
  <c r="E12" i="33"/>
  <c r="D12" i="33"/>
  <c r="D23" i="33" s="1"/>
  <c r="P6" i="33"/>
  <c r="M6" i="33"/>
  <c r="L6" i="33"/>
  <c r="K6" i="33"/>
  <c r="H6" i="33"/>
  <c r="P5" i="33"/>
  <c r="N5" i="33"/>
  <c r="M5" i="33"/>
  <c r="K5" i="33"/>
  <c r="J5" i="33"/>
  <c r="G5" i="33"/>
  <c r="R4" i="33"/>
  <c r="Q4" i="33"/>
  <c r="P4" i="33"/>
  <c r="O4" i="33"/>
  <c r="N4" i="33"/>
  <c r="M4" i="33"/>
  <c r="L4" i="33"/>
  <c r="K4" i="33"/>
  <c r="J4" i="33"/>
  <c r="I4" i="33"/>
  <c r="H4" i="33"/>
  <c r="G4" i="33"/>
  <c r="H1" i="33"/>
  <c r="G1" i="33"/>
  <c r="T104" i="32"/>
  <c r="S104" i="32"/>
  <c r="I104" i="32"/>
  <c r="Q103" i="32"/>
  <c r="P103" i="32"/>
  <c r="Q102" i="32"/>
  <c r="P102" i="32"/>
  <c r="Q101" i="32"/>
  <c r="P101" i="32"/>
  <c r="Q100" i="32"/>
  <c r="P100" i="32"/>
  <c r="Q99" i="32"/>
  <c r="P99" i="32"/>
  <c r="Q98" i="32"/>
  <c r="P98" i="32"/>
  <c r="Q97" i="32"/>
  <c r="P97" i="32"/>
  <c r="Q96" i="32"/>
  <c r="P96" i="32"/>
  <c r="Q95" i="32"/>
  <c r="P95" i="32"/>
  <c r="Q94" i="32"/>
  <c r="P94" i="32"/>
  <c r="Q93" i="32"/>
  <c r="P93" i="32"/>
  <c r="Q92" i="32"/>
  <c r="P92" i="32"/>
  <c r="Q91" i="32"/>
  <c r="P91" i="32"/>
  <c r="Q90" i="32"/>
  <c r="P90" i="32"/>
  <c r="Q89" i="32"/>
  <c r="P89" i="32"/>
  <c r="Q88" i="32"/>
  <c r="P88" i="32"/>
  <c r="Q87" i="32"/>
  <c r="P87" i="32"/>
  <c r="Q86" i="32"/>
  <c r="P86" i="32"/>
  <c r="Q85" i="32"/>
  <c r="P85" i="32"/>
  <c r="Q84" i="32"/>
  <c r="P84" i="32"/>
  <c r="Q83" i="32"/>
  <c r="P83" i="32"/>
  <c r="Q82" i="32"/>
  <c r="P82" i="32"/>
  <c r="Q81" i="32"/>
  <c r="Q104" i="32" s="1"/>
  <c r="P81" i="32"/>
  <c r="P104" i="32" s="1"/>
  <c r="T54" i="32"/>
  <c r="B54" i="32"/>
  <c r="R53" i="32"/>
  <c r="Q53" i="32"/>
  <c r="P53" i="32"/>
  <c r="O53" i="32"/>
  <c r="L53" i="32"/>
  <c r="I53" i="32"/>
  <c r="R52" i="32"/>
  <c r="Q52" i="32"/>
  <c r="P52" i="32"/>
  <c r="O52" i="32"/>
  <c r="L52" i="32"/>
  <c r="I52" i="32"/>
  <c r="D52" i="32"/>
  <c r="Q51" i="32"/>
  <c r="P51" i="32"/>
  <c r="O51" i="32"/>
  <c r="R51" i="32" s="1"/>
  <c r="L51" i="32"/>
  <c r="I51" i="32"/>
  <c r="F51" i="32"/>
  <c r="R50" i="32"/>
  <c r="Q50" i="32"/>
  <c r="P50" i="32"/>
  <c r="O50" i="32"/>
  <c r="L50" i="32"/>
  <c r="I50" i="32"/>
  <c r="F50" i="32"/>
  <c r="Q49" i="32"/>
  <c r="P49" i="32"/>
  <c r="O49" i="32"/>
  <c r="R49" i="32" s="1"/>
  <c r="L49" i="32"/>
  <c r="I49" i="32"/>
  <c r="F49" i="32"/>
  <c r="R48" i="32"/>
  <c r="Q48" i="32"/>
  <c r="P48" i="32"/>
  <c r="O48" i="32"/>
  <c r="L48" i="32"/>
  <c r="I48" i="32"/>
  <c r="F48" i="32"/>
  <c r="Q47" i="32"/>
  <c r="P47" i="32"/>
  <c r="O47" i="32"/>
  <c r="R47" i="32" s="1"/>
  <c r="L47" i="32"/>
  <c r="I47" i="32"/>
  <c r="E47" i="32"/>
  <c r="D47" i="32"/>
  <c r="R46" i="32"/>
  <c r="Q46" i="32"/>
  <c r="P46" i="32"/>
  <c r="O46" i="32"/>
  <c r="L46" i="32"/>
  <c r="I46" i="32"/>
  <c r="F46" i="32"/>
  <c r="Q45" i="32"/>
  <c r="P45" i="32"/>
  <c r="O45" i="32"/>
  <c r="R45" i="32" s="1"/>
  <c r="L45" i="32"/>
  <c r="I45" i="32"/>
  <c r="F45" i="32"/>
  <c r="R44" i="32"/>
  <c r="Q44" i="32"/>
  <c r="P44" i="32"/>
  <c r="O44" i="32"/>
  <c r="L44" i="32"/>
  <c r="I44" i="32"/>
  <c r="F44" i="32"/>
  <c r="Q43" i="32"/>
  <c r="P43" i="32"/>
  <c r="O43" i="32"/>
  <c r="R43" i="32" s="1"/>
  <c r="L43" i="32"/>
  <c r="I43" i="32"/>
  <c r="F43" i="32"/>
  <c r="R42" i="32"/>
  <c r="Q42" i="32"/>
  <c r="P42" i="32"/>
  <c r="O42" i="32"/>
  <c r="L42" i="32"/>
  <c r="I42" i="32"/>
  <c r="E42" i="32"/>
  <c r="M6" i="32" s="1"/>
  <c r="D42" i="32"/>
  <c r="R41" i="32"/>
  <c r="Q41" i="32"/>
  <c r="P41" i="32"/>
  <c r="O41" i="32"/>
  <c r="L41" i="32"/>
  <c r="I41" i="32"/>
  <c r="F41" i="32"/>
  <c r="Q40" i="32"/>
  <c r="P40" i="32"/>
  <c r="O40" i="32"/>
  <c r="R40" i="32" s="1"/>
  <c r="L40" i="32"/>
  <c r="I40" i="32"/>
  <c r="F40" i="32"/>
  <c r="R39" i="32"/>
  <c r="Q39" i="32"/>
  <c r="P39" i="32"/>
  <c r="O39" i="32"/>
  <c r="L39" i="32"/>
  <c r="I39" i="32"/>
  <c r="F39" i="32"/>
  <c r="Q38" i="32"/>
  <c r="P38" i="32"/>
  <c r="O38" i="32"/>
  <c r="R38" i="32" s="1"/>
  <c r="L38" i="32"/>
  <c r="I38" i="32"/>
  <c r="F38" i="32"/>
  <c r="R37" i="32"/>
  <c r="Q37" i="32"/>
  <c r="P37" i="32"/>
  <c r="O37" i="32"/>
  <c r="L37" i="32"/>
  <c r="I37" i="32"/>
  <c r="E37" i="32"/>
  <c r="D37" i="32"/>
  <c r="L5" i="32" s="1"/>
  <c r="Q36" i="32"/>
  <c r="P36" i="32"/>
  <c r="O36" i="32"/>
  <c r="R36" i="32" s="1"/>
  <c r="L36" i="32"/>
  <c r="I36" i="32"/>
  <c r="F36" i="32"/>
  <c r="R35" i="32"/>
  <c r="Q35" i="32"/>
  <c r="P35" i="32"/>
  <c r="O35" i="32"/>
  <c r="L35" i="32"/>
  <c r="I35" i="32"/>
  <c r="F35" i="32"/>
  <c r="Q34" i="32"/>
  <c r="P34" i="32"/>
  <c r="O34" i="32"/>
  <c r="R34" i="32" s="1"/>
  <c r="L34" i="32"/>
  <c r="I34" i="32"/>
  <c r="F34" i="32"/>
  <c r="R33" i="32"/>
  <c r="Q33" i="32"/>
  <c r="P33" i="32"/>
  <c r="O33" i="32"/>
  <c r="L33" i="32"/>
  <c r="I33" i="32"/>
  <c r="F33" i="32"/>
  <c r="Q32" i="32"/>
  <c r="P32" i="32"/>
  <c r="O32" i="32"/>
  <c r="R32" i="32" s="1"/>
  <c r="L32" i="32"/>
  <c r="I32" i="32"/>
  <c r="E32" i="32"/>
  <c r="D32" i="32"/>
  <c r="Q31" i="32"/>
  <c r="P31" i="32"/>
  <c r="O31" i="32"/>
  <c r="R31" i="32" s="1"/>
  <c r="L31" i="32"/>
  <c r="I31" i="32"/>
  <c r="F31" i="32"/>
  <c r="R30" i="32"/>
  <c r="Q30" i="32"/>
  <c r="P30" i="32"/>
  <c r="O30" i="32"/>
  <c r="L30" i="32"/>
  <c r="I30" i="32"/>
  <c r="F30" i="32"/>
  <c r="Q29" i="32"/>
  <c r="P29" i="32"/>
  <c r="O29" i="32"/>
  <c r="R29" i="32" s="1"/>
  <c r="L29" i="32"/>
  <c r="I29" i="32"/>
  <c r="F29" i="32"/>
  <c r="Q28" i="32"/>
  <c r="P28" i="32"/>
  <c r="O28" i="32"/>
  <c r="L28" i="32"/>
  <c r="I28" i="32"/>
  <c r="F28" i="32"/>
  <c r="R27" i="32"/>
  <c r="Q27" i="32"/>
  <c r="P27" i="32"/>
  <c r="O27" i="32"/>
  <c r="L27" i="32"/>
  <c r="I27" i="32"/>
  <c r="E27" i="32"/>
  <c r="D27" i="32"/>
  <c r="Q26" i="32"/>
  <c r="P26" i="32"/>
  <c r="O26" i="32"/>
  <c r="L26" i="32"/>
  <c r="I26" i="32"/>
  <c r="Q25" i="32"/>
  <c r="P25" i="32"/>
  <c r="O25" i="32"/>
  <c r="L25" i="32"/>
  <c r="I25" i="32"/>
  <c r="R24" i="32" s="1"/>
  <c r="Q24" i="32"/>
  <c r="P24" i="32"/>
  <c r="O24" i="32"/>
  <c r="L24" i="32"/>
  <c r="I24" i="32"/>
  <c r="Q23" i="32"/>
  <c r="P23" i="32"/>
  <c r="O23" i="32"/>
  <c r="R23" i="32" s="1"/>
  <c r="Q22" i="32"/>
  <c r="P22" i="32"/>
  <c r="O22" i="32"/>
  <c r="Q21" i="32"/>
  <c r="P21" i="32"/>
  <c r="O21" i="32"/>
  <c r="R21" i="32" s="1"/>
  <c r="F21" i="32"/>
  <c r="Q20" i="32"/>
  <c r="P20" i="32"/>
  <c r="O20" i="32"/>
  <c r="F20" i="32"/>
  <c r="Q19" i="32"/>
  <c r="P19" i="32"/>
  <c r="O19" i="32"/>
  <c r="R19" i="32" s="1"/>
  <c r="F19" i="32"/>
  <c r="Q18" i="32"/>
  <c r="P18" i="32"/>
  <c r="O18" i="32"/>
  <c r="F18" i="32"/>
  <c r="Q17" i="32"/>
  <c r="P17" i="32"/>
  <c r="O17" i="32"/>
  <c r="E17" i="32"/>
  <c r="H6" i="32" s="1"/>
  <c r="D17" i="32"/>
  <c r="F17" i="32" s="1"/>
  <c r="Q16" i="32"/>
  <c r="P16" i="32"/>
  <c r="O16" i="32"/>
  <c r="F16" i="32"/>
  <c r="Q15" i="32"/>
  <c r="P15" i="32"/>
  <c r="O15" i="32"/>
  <c r="F15" i="32"/>
  <c r="Q14" i="32"/>
  <c r="P14" i="32"/>
  <c r="O14" i="32"/>
  <c r="F14" i="32"/>
  <c r="Q13" i="32"/>
  <c r="P13" i="32"/>
  <c r="O13" i="32"/>
  <c r="R13" i="32" s="1"/>
  <c r="F13" i="32"/>
  <c r="Q12" i="32"/>
  <c r="P12" i="32"/>
  <c r="O12" i="32"/>
  <c r="G104" i="32" s="1"/>
  <c r="E12" i="32"/>
  <c r="D12" i="32"/>
  <c r="P6" i="32"/>
  <c r="N6" i="32"/>
  <c r="L6" i="32"/>
  <c r="K6" i="32"/>
  <c r="J6" i="32"/>
  <c r="G6" i="32"/>
  <c r="P5" i="32"/>
  <c r="O5" i="32"/>
  <c r="N5" i="32"/>
  <c r="M5" i="32"/>
  <c r="K5" i="32"/>
  <c r="K7" i="32" s="1"/>
  <c r="H5" i="32"/>
  <c r="H7" i="32" s="1"/>
  <c r="Q4" i="32"/>
  <c r="U4" i="32" s="1"/>
  <c r="P4" i="32"/>
  <c r="O4" i="32"/>
  <c r="N4" i="32"/>
  <c r="M4" i="32"/>
  <c r="L4" i="32"/>
  <c r="K4" i="32"/>
  <c r="J4" i="32"/>
  <c r="I4" i="32"/>
  <c r="H4" i="32"/>
  <c r="G4" i="32"/>
  <c r="H1" i="32"/>
  <c r="G1" i="32"/>
  <c r="U104" i="31"/>
  <c r="T104" i="31"/>
  <c r="S104" i="31"/>
  <c r="I104" i="31"/>
  <c r="H104" i="31"/>
  <c r="Q103" i="31"/>
  <c r="P103" i="31"/>
  <c r="Q102" i="31"/>
  <c r="P102" i="31"/>
  <c r="Q101" i="31"/>
  <c r="P101" i="31"/>
  <c r="Q100" i="31"/>
  <c r="P100" i="31"/>
  <c r="Q99" i="31"/>
  <c r="P99" i="31"/>
  <c r="Q98" i="31"/>
  <c r="P98" i="31"/>
  <c r="Q97" i="31"/>
  <c r="P97" i="31"/>
  <c r="Q96" i="31"/>
  <c r="P96" i="31"/>
  <c r="Q95" i="31"/>
  <c r="P95" i="31"/>
  <c r="Q94" i="31"/>
  <c r="P94" i="31"/>
  <c r="Q93" i="31"/>
  <c r="P93" i="31"/>
  <c r="Q92" i="31"/>
  <c r="P92" i="31"/>
  <c r="Q91" i="31"/>
  <c r="P91" i="31"/>
  <c r="Q90" i="31"/>
  <c r="P90" i="31"/>
  <c r="Q89" i="31"/>
  <c r="Q104" i="31" s="1"/>
  <c r="P89" i="31"/>
  <c r="P104" i="31" s="1"/>
  <c r="T54" i="31"/>
  <c r="B54" i="31"/>
  <c r="Q4" i="31" s="1"/>
  <c r="Q53" i="31"/>
  <c r="P53" i="31"/>
  <c r="O53" i="31"/>
  <c r="R53" i="31" s="1"/>
  <c r="L53" i="31"/>
  <c r="I53" i="31"/>
  <c r="Q52" i="31"/>
  <c r="P52" i="31"/>
  <c r="O52" i="31"/>
  <c r="R52" i="31" s="1"/>
  <c r="L52" i="31"/>
  <c r="I52" i="31"/>
  <c r="F52" i="31"/>
  <c r="R51" i="31"/>
  <c r="Q51" i="31"/>
  <c r="P51" i="31"/>
  <c r="O51" i="31"/>
  <c r="L51" i="31"/>
  <c r="I51" i="31"/>
  <c r="F51" i="31"/>
  <c r="Q50" i="31"/>
  <c r="P50" i="31"/>
  <c r="O50" i="31"/>
  <c r="R50" i="31" s="1"/>
  <c r="L50" i="31"/>
  <c r="I50" i="31"/>
  <c r="F50" i="31"/>
  <c r="R49" i="31"/>
  <c r="Q49" i="31"/>
  <c r="P49" i="31"/>
  <c r="O49" i="31"/>
  <c r="L49" i="31"/>
  <c r="I49" i="31"/>
  <c r="F49" i="31"/>
  <c r="Q48" i="31"/>
  <c r="P48" i="31"/>
  <c r="O48" i="31"/>
  <c r="R48" i="31" s="1"/>
  <c r="L48" i="31"/>
  <c r="I48" i="31"/>
  <c r="F48" i="31"/>
  <c r="R47" i="31"/>
  <c r="Q47" i="31"/>
  <c r="P47" i="31"/>
  <c r="O47" i="31"/>
  <c r="L47" i="31"/>
  <c r="I47" i="31"/>
  <c r="E47" i="31"/>
  <c r="N6" i="31" s="1"/>
  <c r="D47" i="31"/>
  <c r="R46" i="31"/>
  <c r="Q46" i="31"/>
  <c r="P46" i="31"/>
  <c r="O46" i="31"/>
  <c r="L46" i="31"/>
  <c r="I46" i="31"/>
  <c r="F46" i="31"/>
  <c r="Q45" i="31"/>
  <c r="P45" i="31"/>
  <c r="O45" i="31"/>
  <c r="R45" i="31" s="1"/>
  <c r="L45" i="31"/>
  <c r="I45" i="31"/>
  <c r="F45" i="31"/>
  <c r="R44" i="31"/>
  <c r="Q44" i="31"/>
  <c r="P44" i="31"/>
  <c r="O44" i="31"/>
  <c r="L44" i="31"/>
  <c r="I44" i="31"/>
  <c r="F44" i="31"/>
  <c r="Q43" i="31"/>
  <c r="P43" i="31"/>
  <c r="O43" i="31"/>
  <c r="R43" i="31" s="1"/>
  <c r="L43" i="31"/>
  <c r="I43" i="31"/>
  <c r="F43" i="31"/>
  <c r="R42" i="31"/>
  <c r="Q42" i="31"/>
  <c r="P42" i="31"/>
  <c r="O42" i="31"/>
  <c r="L42" i="31"/>
  <c r="I42" i="31"/>
  <c r="E42" i="31"/>
  <c r="M6" i="31" s="1"/>
  <c r="D42" i="31"/>
  <c r="R41" i="31"/>
  <c r="Q41" i="31"/>
  <c r="P41" i="31"/>
  <c r="O41" i="31"/>
  <c r="L41" i="31"/>
  <c r="I41" i="31"/>
  <c r="F41" i="31"/>
  <c r="Q40" i="31"/>
  <c r="P40" i="31"/>
  <c r="O40" i="31"/>
  <c r="R40" i="31" s="1"/>
  <c r="L40" i="31"/>
  <c r="I40" i="31"/>
  <c r="F40" i="31"/>
  <c r="R39" i="31"/>
  <c r="Q39" i="31"/>
  <c r="P39" i="31"/>
  <c r="O39" i="31"/>
  <c r="L39" i="31"/>
  <c r="I39" i="31"/>
  <c r="F39" i="31"/>
  <c r="Q38" i="31"/>
  <c r="P38" i="31"/>
  <c r="O38" i="31"/>
  <c r="R38" i="31" s="1"/>
  <c r="L38" i="31"/>
  <c r="I38" i="31"/>
  <c r="F38" i="31"/>
  <c r="R37" i="31"/>
  <c r="Q37" i="31"/>
  <c r="P37" i="31"/>
  <c r="O37" i="31"/>
  <c r="L37" i="31"/>
  <c r="I37" i="31"/>
  <c r="E37" i="31"/>
  <c r="D37" i="31"/>
  <c r="R36" i="31"/>
  <c r="Q36" i="31"/>
  <c r="P36" i="31"/>
  <c r="O36" i="31"/>
  <c r="L36" i="31"/>
  <c r="I36" i="31"/>
  <c r="F36" i="31"/>
  <c r="R35" i="31" s="1"/>
  <c r="Q35" i="31"/>
  <c r="P35" i="31"/>
  <c r="O35" i="31"/>
  <c r="L35" i="31"/>
  <c r="I35" i="31"/>
  <c r="F35" i="31"/>
  <c r="Q34" i="31"/>
  <c r="P34" i="31"/>
  <c r="O34" i="31"/>
  <c r="R34" i="31" s="1"/>
  <c r="L34" i="31"/>
  <c r="I34" i="31"/>
  <c r="F34" i="31"/>
  <c r="Q33" i="31"/>
  <c r="P33" i="31"/>
  <c r="O33" i="31"/>
  <c r="L33" i="31"/>
  <c r="I33" i="31"/>
  <c r="F33" i="31"/>
  <c r="R32" i="31"/>
  <c r="Q32" i="31"/>
  <c r="P32" i="31"/>
  <c r="O32" i="31"/>
  <c r="L32" i="31"/>
  <c r="I32" i="31"/>
  <c r="E32" i="31"/>
  <c r="K6" i="31" s="1"/>
  <c r="D32" i="31"/>
  <c r="Q31" i="31"/>
  <c r="P31" i="31"/>
  <c r="O31" i="31"/>
  <c r="L31" i="31"/>
  <c r="I31" i="31"/>
  <c r="F31" i="31"/>
  <c r="Q30" i="31"/>
  <c r="P30" i="31"/>
  <c r="O30" i="31"/>
  <c r="L30" i="31"/>
  <c r="I30" i="31"/>
  <c r="F30" i="31"/>
  <c r="Q29" i="31"/>
  <c r="P29" i="31"/>
  <c r="O29" i="31"/>
  <c r="L29" i="31"/>
  <c r="I29" i="31"/>
  <c r="F29" i="31"/>
  <c r="R28" i="31"/>
  <c r="Q28" i="31"/>
  <c r="P28" i="31"/>
  <c r="O28" i="31"/>
  <c r="L28" i="31"/>
  <c r="I28" i="31"/>
  <c r="F28" i="31"/>
  <c r="R27" i="31" s="1"/>
  <c r="Q27" i="31"/>
  <c r="P27" i="31"/>
  <c r="O27" i="31"/>
  <c r="L27" i="31"/>
  <c r="I27" i="31"/>
  <c r="E27" i="31"/>
  <c r="D27" i="31"/>
  <c r="Q26" i="31"/>
  <c r="P26" i="31"/>
  <c r="O26" i="31"/>
  <c r="L26" i="31"/>
  <c r="I26" i="31"/>
  <c r="R25" i="31" s="1"/>
  <c r="Q25" i="31"/>
  <c r="P25" i="31"/>
  <c r="O25" i="31"/>
  <c r="L25" i="31"/>
  <c r="I25" i="31"/>
  <c r="Q24" i="31"/>
  <c r="P24" i="31"/>
  <c r="O24" i="31"/>
  <c r="L24" i="31"/>
  <c r="I24" i="31"/>
  <c r="Q23" i="31"/>
  <c r="P23" i="31"/>
  <c r="O23" i="31"/>
  <c r="L23" i="31"/>
  <c r="I23" i="31"/>
  <c r="Q22" i="31"/>
  <c r="P22" i="31"/>
  <c r="O22" i="31"/>
  <c r="L22" i="31"/>
  <c r="I22" i="31"/>
  <c r="Q21" i="31"/>
  <c r="P21" i="31"/>
  <c r="O21" i="31"/>
  <c r="L21" i="31"/>
  <c r="I21" i="31"/>
  <c r="F21" i="31"/>
  <c r="Q20" i="31"/>
  <c r="P20" i="31"/>
  <c r="O20" i="31"/>
  <c r="L20" i="31"/>
  <c r="I20" i="31"/>
  <c r="F20" i="31"/>
  <c r="Q19" i="31"/>
  <c r="P19" i="31"/>
  <c r="O19" i="31"/>
  <c r="L19" i="31"/>
  <c r="I19" i="31"/>
  <c r="F19" i="31"/>
  <c r="Q18" i="31"/>
  <c r="P18" i="31"/>
  <c r="O18" i="31"/>
  <c r="L18" i="31"/>
  <c r="I18" i="31"/>
  <c r="F18" i="31"/>
  <c r="Q17" i="31"/>
  <c r="P17" i="31"/>
  <c r="O17" i="31"/>
  <c r="G104" i="31" s="1"/>
  <c r="L17" i="31"/>
  <c r="I17" i="31"/>
  <c r="E17" i="31"/>
  <c r="D17" i="31"/>
  <c r="Q16" i="31"/>
  <c r="P16" i="31"/>
  <c r="O16" i="31"/>
  <c r="L16" i="31"/>
  <c r="I16" i="31"/>
  <c r="F16" i="31"/>
  <c r="R15" i="31" s="1"/>
  <c r="Q15" i="31"/>
  <c r="P15" i="31"/>
  <c r="O15" i="31"/>
  <c r="L15" i="31"/>
  <c r="I15" i="31"/>
  <c r="F15" i="31"/>
  <c r="R14" i="31" s="1"/>
  <c r="Q14" i="31"/>
  <c r="P14" i="31"/>
  <c r="O14" i="31"/>
  <c r="L14" i="31"/>
  <c r="I14" i="31"/>
  <c r="F14" i="31"/>
  <c r="R13" i="31" s="1"/>
  <c r="Q13" i="31"/>
  <c r="P13" i="31"/>
  <c r="O13" i="31"/>
  <c r="L13" i="31"/>
  <c r="I13" i="31"/>
  <c r="F13" i="31"/>
  <c r="R12" i="31" s="1"/>
  <c r="Q12" i="31"/>
  <c r="P12" i="31"/>
  <c r="O12" i="31"/>
  <c r="L12" i="31"/>
  <c r="I12" i="31"/>
  <c r="E12" i="31"/>
  <c r="E23" i="31" s="1"/>
  <c r="D12" i="31"/>
  <c r="P6" i="31"/>
  <c r="L6" i="31"/>
  <c r="J6" i="31"/>
  <c r="H6" i="31"/>
  <c r="P5" i="31"/>
  <c r="N5" i="31"/>
  <c r="M5" i="31"/>
  <c r="L5" i="31"/>
  <c r="K5" i="31"/>
  <c r="J5" i="31"/>
  <c r="G5" i="31"/>
  <c r="R4" i="31"/>
  <c r="P4" i="31"/>
  <c r="O4" i="31"/>
  <c r="N4" i="31"/>
  <c r="M4" i="31"/>
  <c r="L4" i="31"/>
  <c r="K4" i="31"/>
  <c r="J4" i="31"/>
  <c r="I4" i="31"/>
  <c r="H4" i="31"/>
  <c r="G4" i="31"/>
  <c r="H1" i="31"/>
  <c r="G1" i="31"/>
  <c r="I104" i="30"/>
  <c r="T103" i="30"/>
  <c r="S103" i="30"/>
  <c r="Q103" i="30"/>
  <c r="P103" i="30"/>
  <c r="T102" i="30"/>
  <c r="S102" i="30"/>
  <c r="Q102" i="30"/>
  <c r="P102" i="30"/>
  <c r="T101" i="30"/>
  <c r="S101" i="30"/>
  <c r="Q101" i="30"/>
  <c r="P101" i="30"/>
  <c r="T100" i="30"/>
  <c r="S100" i="30"/>
  <c r="Q100" i="30"/>
  <c r="P100" i="30"/>
  <c r="T99" i="30"/>
  <c r="S99" i="30"/>
  <c r="Q99" i="30"/>
  <c r="P99" i="30"/>
  <c r="T98" i="30"/>
  <c r="S98" i="30"/>
  <c r="Q98" i="30"/>
  <c r="P98" i="30"/>
  <c r="T97" i="30"/>
  <c r="S97" i="30"/>
  <c r="Q97" i="30"/>
  <c r="P97" i="30"/>
  <c r="T96" i="30"/>
  <c r="S96" i="30"/>
  <c r="Q96" i="30"/>
  <c r="P96" i="30"/>
  <c r="T95" i="30"/>
  <c r="S95" i="30"/>
  <c r="Q95" i="30"/>
  <c r="P95" i="30"/>
  <c r="T94" i="30"/>
  <c r="S94" i="30"/>
  <c r="Q94" i="30"/>
  <c r="P94" i="30"/>
  <c r="T93" i="30"/>
  <c r="S93" i="30"/>
  <c r="Q93" i="30"/>
  <c r="P93" i="30"/>
  <c r="T92" i="30"/>
  <c r="S92" i="30"/>
  <c r="Q92" i="30"/>
  <c r="P92" i="30"/>
  <c r="T91" i="30"/>
  <c r="S91" i="30"/>
  <c r="Q91" i="30"/>
  <c r="P91" i="30"/>
  <c r="T90" i="30"/>
  <c r="S90" i="30"/>
  <c r="Q90" i="30"/>
  <c r="P90" i="30"/>
  <c r="T89" i="30"/>
  <c r="S89" i="30"/>
  <c r="Q89" i="30"/>
  <c r="P89" i="30"/>
  <c r="T88" i="30"/>
  <c r="S88" i="30"/>
  <c r="Q88" i="30"/>
  <c r="P88" i="30"/>
  <c r="T87" i="30"/>
  <c r="S87" i="30"/>
  <c r="Q87" i="30"/>
  <c r="P87" i="30"/>
  <c r="T86" i="30"/>
  <c r="S86" i="30"/>
  <c r="Q86" i="30"/>
  <c r="P86" i="30"/>
  <c r="T85" i="30"/>
  <c r="S85" i="30"/>
  <c r="Q85" i="30"/>
  <c r="P85" i="30"/>
  <c r="T84" i="30"/>
  <c r="S84" i="30"/>
  <c r="Q84" i="30"/>
  <c r="P84" i="30"/>
  <c r="T83" i="30"/>
  <c r="S83" i="30"/>
  <c r="Q83" i="30"/>
  <c r="P83" i="30"/>
  <c r="T82" i="30"/>
  <c r="S82" i="30"/>
  <c r="Q82" i="30"/>
  <c r="P82" i="30"/>
  <c r="T81" i="30"/>
  <c r="S81" i="30"/>
  <c r="Q81" i="30"/>
  <c r="P81" i="30"/>
  <c r="T80" i="30"/>
  <c r="S80" i="30"/>
  <c r="Q80" i="30"/>
  <c r="P80" i="30"/>
  <c r="T79" i="30"/>
  <c r="S79" i="30"/>
  <c r="Q79" i="30"/>
  <c r="P79" i="30"/>
  <c r="T78" i="30"/>
  <c r="S78" i="30"/>
  <c r="Q78" i="30"/>
  <c r="P78" i="30"/>
  <c r="T77" i="30"/>
  <c r="S77" i="30"/>
  <c r="Q77" i="30"/>
  <c r="P77" i="30"/>
  <c r="T76" i="30"/>
  <c r="S76" i="30"/>
  <c r="Q76" i="30"/>
  <c r="P76" i="30"/>
  <c r="T75" i="30"/>
  <c r="S75" i="30"/>
  <c r="Q75" i="30"/>
  <c r="P75" i="30"/>
  <c r="T74" i="30"/>
  <c r="S74" i="30"/>
  <c r="Q74" i="30"/>
  <c r="P74" i="30"/>
  <c r="T73" i="30"/>
  <c r="S73" i="30"/>
  <c r="Q73" i="30"/>
  <c r="P73" i="30"/>
  <c r="T72" i="30"/>
  <c r="S72" i="30"/>
  <c r="Q72" i="30"/>
  <c r="P72" i="30"/>
  <c r="T71" i="30"/>
  <c r="S71" i="30"/>
  <c r="Q71" i="30"/>
  <c r="P71" i="30"/>
  <c r="T70" i="30"/>
  <c r="S70" i="30"/>
  <c r="Q70" i="30"/>
  <c r="P70" i="30"/>
  <c r="T69" i="30"/>
  <c r="S69" i="30"/>
  <c r="Q69" i="30"/>
  <c r="P69" i="30"/>
  <c r="T68" i="30"/>
  <c r="S68" i="30"/>
  <c r="Q68" i="30"/>
  <c r="P68" i="30"/>
  <c r="T67" i="30"/>
  <c r="S67" i="30"/>
  <c r="Q67" i="30"/>
  <c r="P67" i="30"/>
  <c r="T66" i="30"/>
  <c r="S66" i="30"/>
  <c r="Q66" i="30"/>
  <c r="P66" i="30"/>
  <c r="T65" i="30"/>
  <c r="S65" i="30"/>
  <c r="Q65" i="30"/>
  <c r="P65" i="30"/>
  <c r="T64" i="30"/>
  <c r="S64" i="30"/>
  <c r="Q64" i="30"/>
  <c r="P64" i="30"/>
  <c r="T63" i="30"/>
  <c r="S63" i="30"/>
  <c r="Q63" i="30"/>
  <c r="P63" i="30"/>
  <c r="T62" i="30"/>
  <c r="S62" i="30"/>
  <c r="T54" i="30"/>
  <c r="B54" i="30"/>
  <c r="Q53" i="30"/>
  <c r="P53" i="30"/>
  <c r="O53" i="30"/>
  <c r="R53" i="30" s="1"/>
  <c r="L53" i="30"/>
  <c r="I53" i="30"/>
  <c r="R52" i="30" s="1"/>
  <c r="Q52" i="30"/>
  <c r="P52" i="30"/>
  <c r="O52" i="30"/>
  <c r="U102" i="30" s="1"/>
  <c r="L52" i="30"/>
  <c r="I52" i="30"/>
  <c r="Q51" i="30"/>
  <c r="P51" i="30"/>
  <c r="O51" i="30"/>
  <c r="R51" i="30" s="1"/>
  <c r="L51" i="30"/>
  <c r="I51" i="30"/>
  <c r="F51" i="30"/>
  <c r="Q50" i="30"/>
  <c r="P50" i="30"/>
  <c r="O50" i="30"/>
  <c r="U100" i="30" s="1"/>
  <c r="L50" i="30"/>
  <c r="I50" i="30"/>
  <c r="F50" i="30"/>
  <c r="R49" i="30"/>
  <c r="Q49" i="30"/>
  <c r="P49" i="30"/>
  <c r="O49" i="30"/>
  <c r="L49" i="30"/>
  <c r="I49" i="30"/>
  <c r="F49" i="30"/>
  <c r="R48" i="30" s="1"/>
  <c r="Q48" i="30"/>
  <c r="P48" i="30"/>
  <c r="O48" i="30"/>
  <c r="U98" i="30" s="1"/>
  <c r="L48" i="30"/>
  <c r="I48" i="30"/>
  <c r="F48" i="30"/>
  <c r="Q47" i="30"/>
  <c r="P47" i="30"/>
  <c r="O47" i="30"/>
  <c r="R47" i="30" s="1"/>
  <c r="L47" i="30"/>
  <c r="I47" i="30"/>
  <c r="E47" i="30"/>
  <c r="D47" i="30"/>
  <c r="R46" i="30" s="1"/>
  <c r="Q46" i="30"/>
  <c r="P46" i="30"/>
  <c r="O46" i="30"/>
  <c r="U96" i="30" s="1"/>
  <c r="L46" i="30"/>
  <c r="I46" i="30"/>
  <c r="F46" i="30"/>
  <c r="Q45" i="30"/>
  <c r="P45" i="30"/>
  <c r="O45" i="30"/>
  <c r="R45" i="30" s="1"/>
  <c r="L45" i="30"/>
  <c r="I45" i="30"/>
  <c r="F45" i="30"/>
  <c r="Q44" i="30"/>
  <c r="P44" i="30"/>
  <c r="O44" i="30"/>
  <c r="U94" i="30" s="1"/>
  <c r="L44" i="30"/>
  <c r="I44" i="30"/>
  <c r="F44" i="30"/>
  <c r="R43" i="30"/>
  <c r="Q43" i="30"/>
  <c r="P43" i="30"/>
  <c r="O43" i="30"/>
  <c r="L43" i="30"/>
  <c r="I43" i="30"/>
  <c r="F43" i="30"/>
  <c r="R42" i="30" s="1"/>
  <c r="Q42" i="30"/>
  <c r="P42" i="30"/>
  <c r="O42" i="30"/>
  <c r="U92" i="30" s="1"/>
  <c r="L42" i="30"/>
  <c r="I42" i="30"/>
  <c r="E42" i="30"/>
  <c r="D42" i="30"/>
  <c r="R41" i="30"/>
  <c r="Q41" i="30"/>
  <c r="P41" i="30"/>
  <c r="O41" i="30"/>
  <c r="L41" i="30"/>
  <c r="I41" i="30"/>
  <c r="F41" i="30"/>
  <c r="R40" i="30" s="1"/>
  <c r="Q40" i="30"/>
  <c r="P40" i="30"/>
  <c r="O40" i="30"/>
  <c r="U90" i="30" s="1"/>
  <c r="L40" i="30"/>
  <c r="I40" i="30"/>
  <c r="F40" i="30"/>
  <c r="Q39" i="30"/>
  <c r="P39" i="30"/>
  <c r="O39" i="30"/>
  <c r="R39" i="30" s="1"/>
  <c r="L39" i="30"/>
  <c r="I39" i="30"/>
  <c r="F39" i="30"/>
  <c r="Q38" i="30"/>
  <c r="P38" i="30"/>
  <c r="O38" i="30"/>
  <c r="U88" i="30" s="1"/>
  <c r="L38" i="30"/>
  <c r="I38" i="30"/>
  <c r="F38" i="30"/>
  <c r="R37" i="30"/>
  <c r="Q37" i="30"/>
  <c r="P37" i="30"/>
  <c r="O37" i="30"/>
  <c r="L37" i="30"/>
  <c r="I37" i="30"/>
  <c r="E37" i="30"/>
  <c r="D37" i="30"/>
  <c r="Q36" i="30"/>
  <c r="P36" i="30"/>
  <c r="O36" i="30"/>
  <c r="U86" i="30" s="1"/>
  <c r="L36" i="30"/>
  <c r="I36" i="30"/>
  <c r="F36" i="30"/>
  <c r="R35" i="30"/>
  <c r="Q35" i="30"/>
  <c r="P35" i="30"/>
  <c r="O35" i="30"/>
  <c r="L35" i="30"/>
  <c r="I35" i="30"/>
  <c r="F35" i="30"/>
  <c r="R34" i="30" s="1"/>
  <c r="Q34" i="30"/>
  <c r="P34" i="30"/>
  <c r="O34" i="30"/>
  <c r="U84" i="30" s="1"/>
  <c r="L34" i="30"/>
  <c r="I34" i="30"/>
  <c r="F34" i="30"/>
  <c r="Q33" i="30"/>
  <c r="P33" i="30"/>
  <c r="O33" i="30"/>
  <c r="R33" i="30" s="1"/>
  <c r="L33" i="30"/>
  <c r="I33" i="30"/>
  <c r="F33" i="30"/>
  <c r="Q32" i="30"/>
  <c r="P32" i="30"/>
  <c r="O32" i="30"/>
  <c r="U82" i="30" s="1"/>
  <c r="L32" i="30"/>
  <c r="I32" i="30"/>
  <c r="E32" i="30"/>
  <c r="D32" i="30"/>
  <c r="Q31" i="30"/>
  <c r="P31" i="30"/>
  <c r="O31" i="30"/>
  <c r="R31" i="30" s="1"/>
  <c r="L31" i="30"/>
  <c r="I31" i="30"/>
  <c r="F31" i="30"/>
  <c r="R30" i="30"/>
  <c r="Q30" i="30"/>
  <c r="P30" i="30"/>
  <c r="O30" i="30"/>
  <c r="L30" i="30"/>
  <c r="I30" i="30"/>
  <c r="F30" i="30"/>
  <c r="Q29" i="30"/>
  <c r="P29" i="30"/>
  <c r="O29" i="30"/>
  <c r="R29" i="30" s="1"/>
  <c r="L29" i="30"/>
  <c r="I29" i="30"/>
  <c r="F29" i="30"/>
  <c r="R28" i="30"/>
  <c r="Q28" i="30"/>
  <c r="P28" i="30"/>
  <c r="O28" i="30"/>
  <c r="L28" i="30"/>
  <c r="I28" i="30"/>
  <c r="F28" i="30"/>
  <c r="Q27" i="30"/>
  <c r="P27" i="30"/>
  <c r="O27" i="30"/>
  <c r="R27" i="30" s="1"/>
  <c r="L27" i="30"/>
  <c r="I27" i="30"/>
  <c r="E27" i="30"/>
  <c r="D27" i="30"/>
  <c r="Q26" i="30"/>
  <c r="P26" i="30"/>
  <c r="O26" i="30"/>
  <c r="R26" i="30" s="1"/>
  <c r="L26" i="30"/>
  <c r="I26" i="30"/>
  <c r="Q25" i="30"/>
  <c r="P25" i="30"/>
  <c r="O25" i="30"/>
  <c r="R25" i="30" s="1"/>
  <c r="L25" i="30"/>
  <c r="I25" i="30"/>
  <c r="Q24" i="30"/>
  <c r="P24" i="30"/>
  <c r="O24" i="30"/>
  <c r="R24" i="30" s="1"/>
  <c r="L24" i="30"/>
  <c r="I24" i="30"/>
  <c r="Q23" i="30"/>
  <c r="P23" i="30"/>
  <c r="O23" i="30"/>
  <c r="R23" i="30" s="1"/>
  <c r="L23" i="30"/>
  <c r="I23" i="30"/>
  <c r="Q22" i="30"/>
  <c r="P22" i="30"/>
  <c r="O22" i="30"/>
  <c r="R22" i="30" s="1"/>
  <c r="L22" i="30"/>
  <c r="I22" i="30"/>
  <c r="Q21" i="30"/>
  <c r="P21" i="30"/>
  <c r="O21" i="30"/>
  <c r="R21" i="30" s="1"/>
  <c r="L21" i="30"/>
  <c r="I21" i="30"/>
  <c r="F21" i="30"/>
  <c r="R20" i="30"/>
  <c r="Q20" i="30"/>
  <c r="P20" i="30"/>
  <c r="O20" i="30"/>
  <c r="L20" i="30"/>
  <c r="I20" i="30"/>
  <c r="F20" i="30"/>
  <c r="Q19" i="30"/>
  <c r="P19" i="30"/>
  <c r="O19" i="30"/>
  <c r="R19" i="30" s="1"/>
  <c r="L19" i="30"/>
  <c r="I19" i="30"/>
  <c r="F19" i="30"/>
  <c r="R18" i="30"/>
  <c r="Q18" i="30"/>
  <c r="P18" i="30"/>
  <c r="O18" i="30"/>
  <c r="L18" i="30"/>
  <c r="I18" i="30"/>
  <c r="F18" i="30"/>
  <c r="Q17" i="30"/>
  <c r="P17" i="30"/>
  <c r="O17" i="30"/>
  <c r="R17" i="30" s="1"/>
  <c r="L17" i="30"/>
  <c r="I17" i="30"/>
  <c r="E17" i="30"/>
  <c r="D17" i="30"/>
  <c r="F17" i="30" s="1"/>
  <c r="R16" i="30"/>
  <c r="Q16" i="30"/>
  <c r="P16" i="30"/>
  <c r="O16" i="30"/>
  <c r="L16" i="30"/>
  <c r="I16" i="30"/>
  <c r="F16" i="30"/>
  <c r="Q15" i="30"/>
  <c r="P15" i="30"/>
  <c r="O15" i="30"/>
  <c r="R15" i="30" s="1"/>
  <c r="L15" i="30"/>
  <c r="I15" i="30"/>
  <c r="F15" i="30"/>
  <c r="R14" i="30"/>
  <c r="Q14" i="30"/>
  <c r="P14" i="30"/>
  <c r="O14" i="30"/>
  <c r="L14" i="30"/>
  <c r="I14" i="30"/>
  <c r="F14" i="30"/>
  <c r="Q13" i="30"/>
  <c r="P13" i="30"/>
  <c r="O13" i="30"/>
  <c r="R13" i="30" s="1"/>
  <c r="L13" i="30"/>
  <c r="I13" i="30"/>
  <c r="F13" i="30"/>
  <c r="R12" i="30"/>
  <c r="Q12" i="30"/>
  <c r="P12" i="30"/>
  <c r="O12" i="30"/>
  <c r="L12" i="30"/>
  <c r="I12" i="30"/>
  <c r="E12" i="30"/>
  <c r="D12" i="30"/>
  <c r="L7" i="30"/>
  <c r="P6" i="30"/>
  <c r="N6" i="30"/>
  <c r="M6" i="30"/>
  <c r="L6" i="30"/>
  <c r="K6" i="30"/>
  <c r="J6" i="30"/>
  <c r="H6" i="30"/>
  <c r="G6" i="30"/>
  <c r="P5" i="30"/>
  <c r="N5" i="30"/>
  <c r="M5" i="30"/>
  <c r="L5" i="30"/>
  <c r="K5" i="30"/>
  <c r="J5" i="30"/>
  <c r="H5" i="30"/>
  <c r="G5" i="30"/>
  <c r="R4" i="30"/>
  <c r="Q4" i="30"/>
  <c r="P4" i="30"/>
  <c r="O4" i="30"/>
  <c r="N4" i="30"/>
  <c r="M4" i="30"/>
  <c r="L4" i="30"/>
  <c r="K4" i="30"/>
  <c r="J4" i="30"/>
  <c r="I4" i="30"/>
  <c r="H4" i="30"/>
  <c r="G4" i="30"/>
  <c r="H1" i="30"/>
  <c r="G1" i="30"/>
  <c r="I104" i="29"/>
  <c r="T103" i="29"/>
  <c r="S103" i="29"/>
  <c r="Q103" i="29"/>
  <c r="P103" i="29"/>
  <c r="T102" i="29"/>
  <c r="S102" i="29"/>
  <c r="Q102" i="29"/>
  <c r="P102" i="29"/>
  <c r="T101" i="29"/>
  <c r="S101" i="29"/>
  <c r="Q101" i="29"/>
  <c r="P101" i="29"/>
  <c r="T100" i="29"/>
  <c r="S100" i="29"/>
  <c r="Q100" i="29"/>
  <c r="P100" i="29"/>
  <c r="T99" i="29"/>
  <c r="S99" i="29"/>
  <c r="Q99" i="29"/>
  <c r="P99" i="29"/>
  <c r="T98" i="29"/>
  <c r="S98" i="29"/>
  <c r="Q98" i="29"/>
  <c r="P98" i="29"/>
  <c r="T97" i="29"/>
  <c r="S97" i="29"/>
  <c r="Q97" i="29"/>
  <c r="P97" i="29"/>
  <c r="T96" i="29"/>
  <c r="S96" i="29"/>
  <c r="Q96" i="29"/>
  <c r="P96" i="29"/>
  <c r="T95" i="29"/>
  <c r="S95" i="29"/>
  <c r="Q95" i="29"/>
  <c r="P95" i="29"/>
  <c r="T94" i="29"/>
  <c r="S94" i="29"/>
  <c r="Q94" i="29"/>
  <c r="P94" i="29"/>
  <c r="T93" i="29"/>
  <c r="S93" i="29"/>
  <c r="Q93" i="29"/>
  <c r="P93" i="29"/>
  <c r="T92" i="29"/>
  <c r="S92" i="29"/>
  <c r="Q92" i="29"/>
  <c r="P92" i="29"/>
  <c r="T91" i="29"/>
  <c r="S91" i="29"/>
  <c r="Q91" i="29"/>
  <c r="P91" i="29"/>
  <c r="T90" i="29"/>
  <c r="S90" i="29"/>
  <c r="Q90" i="29"/>
  <c r="P90" i="29"/>
  <c r="T89" i="29"/>
  <c r="S89" i="29"/>
  <c r="Q89" i="29"/>
  <c r="P89" i="29"/>
  <c r="T88" i="29"/>
  <c r="S88" i="29"/>
  <c r="Q88" i="29"/>
  <c r="P88" i="29"/>
  <c r="T87" i="29"/>
  <c r="S87" i="29"/>
  <c r="Q87" i="29"/>
  <c r="P87" i="29"/>
  <c r="T86" i="29"/>
  <c r="S86" i="29"/>
  <c r="Q86" i="29"/>
  <c r="P86" i="29"/>
  <c r="T85" i="29"/>
  <c r="S85" i="29"/>
  <c r="Q85" i="29"/>
  <c r="P85" i="29"/>
  <c r="T84" i="29"/>
  <c r="S84" i="29"/>
  <c r="Q84" i="29"/>
  <c r="P84" i="29"/>
  <c r="T83" i="29"/>
  <c r="S83" i="29"/>
  <c r="Q83" i="29"/>
  <c r="P83" i="29"/>
  <c r="T82" i="29"/>
  <c r="S82" i="29"/>
  <c r="Q82" i="29"/>
  <c r="P82" i="29"/>
  <c r="T81" i="29"/>
  <c r="S81" i="29"/>
  <c r="Q81" i="29"/>
  <c r="P81" i="29"/>
  <c r="T80" i="29"/>
  <c r="S80" i="29"/>
  <c r="Q80" i="29"/>
  <c r="P80" i="29"/>
  <c r="T79" i="29"/>
  <c r="S79" i="29"/>
  <c r="Q79" i="29"/>
  <c r="P79" i="29"/>
  <c r="T78" i="29"/>
  <c r="S78" i="29"/>
  <c r="Q78" i="29"/>
  <c r="P78" i="29"/>
  <c r="T77" i="29"/>
  <c r="S77" i="29"/>
  <c r="Q77" i="29"/>
  <c r="P77" i="29"/>
  <c r="T76" i="29"/>
  <c r="S76" i="29"/>
  <c r="Q76" i="29"/>
  <c r="P76" i="29"/>
  <c r="T75" i="29"/>
  <c r="S75" i="29"/>
  <c r="Q75" i="29"/>
  <c r="P75" i="29"/>
  <c r="T74" i="29"/>
  <c r="S74" i="29"/>
  <c r="Q74" i="29"/>
  <c r="P74" i="29"/>
  <c r="T73" i="29"/>
  <c r="S73" i="29"/>
  <c r="Q73" i="29"/>
  <c r="P73" i="29"/>
  <c r="T72" i="29"/>
  <c r="T104" i="29" s="1"/>
  <c r="S72" i="29"/>
  <c r="S104" i="29" s="1"/>
  <c r="Q72" i="29"/>
  <c r="P72" i="29"/>
  <c r="T54" i="29"/>
  <c r="B54" i="29"/>
  <c r="Q53" i="29"/>
  <c r="P53" i="29"/>
  <c r="O53" i="29"/>
  <c r="R53" i="29" s="1"/>
  <c r="L53" i="29"/>
  <c r="I53" i="29"/>
  <c r="R52" i="29" s="1"/>
  <c r="Q52" i="29"/>
  <c r="P52" i="29"/>
  <c r="O52" i="29"/>
  <c r="U102" i="29" s="1"/>
  <c r="L52" i="29"/>
  <c r="I52" i="29"/>
  <c r="Q51" i="29"/>
  <c r="P51" i="29"/>
  <c r="O51" i="29"/>
  <c r="R51" i="29" s="1"/>
  <c r="L51" i="29"/>
  <c r="I51" i="29"/>
  <c r="F51" i="29"/>
  <c r="Q50" i="29"/>
  <c r="P50" i="29"/>
  <c r="O50" i="29"/>
  <c r="U100" i="29" s="1"/>
  <c r="L50" i="29"/>
  <c r="I50" i="29"/>
  <c r="F50" i="29"/>
  <c r="R49" i="29"/>
  <c r="Q49" i="29"/>
  <c r="P49" i="29"/>
  <c r="O49" i="29"/>
  <c r="L49" i="29"/>
  <c r="I49" i="29"/>
  <c r="F49" i="29"/>
  <c r="R48" i="29" s="1"/>
  <c r="Q48" i="29"/>
  <c r="P48" i="29"/>
  <c r="O48" i="29"/>
  <c r="U98" i="29" s="1"/>
  <c r="L48" i="29"/>
  <c r="I48" i="29"/>
  <c r="F48" i="29"/>
  <c r="Q47" i="29"/>
  <c r="P47" i="29"/>
  <c r="O47" i="29"/>
  <c r="R47" i="29" s="1"/>
  <c r="L47" i="29"/>
  <c r="I47" i="29"/>
  <c r="E47" i="29"/>
  <c r="D47" i="29"/>
  <c r="R46" i="29" s="1"/>
  <c r="Q46" i="29"/>
  <c r="P46" i="29"/>
  <c r="O46" i="29"/>
  <c r="U96" i="29" s="1"/>
  <c r="L46" i="29"/>
  <c r="I46" i="29"/>
  <c r="F46" i="29"/>
  <c r="Q45" i="29"/>
  <c r="P45" i="29"/>
  <c r="O45" i="29"/>
  <c r="R45" i="29" s="1"/>
  <c r="L45" i="29"/>
  <c r="I45" i="29"/>
  <c r="F45" i="29"/>
  <c r="Q44" i="29"/>
  <c r="P44" i="29"/>
  <c r="O44" i="29"/>
  <c r="U94" i="29" s="1"/>
  <c r="L44" i="29"/>
  <c r="I44" i="29"/>
  <c r="F44" i="29"/>
  <c r="R43" i="29"/>
  <c r="Q43" i="29"/>
  <c r="P43" i="29"/>
  <c r="O43" i="29"/>
  <c r="L43" i="29"/>
  <c r="I43" i="29"/>
  <c r="F43" i="29"/>
  <c r="R42" i="29" s="1"/>
  <c r="Q42" i="29"/>
  <c r="P42" i="29"/>
  <c r="O42" i="29"/>
  <c r="U92" i="29" s="1"/>
  <c r="L42" i="29"/>
  <c r="I42" i="29"/>
  <c r="E42" i="29"/>
  <c r="D42" i="29"/>
  <c r="Q41" i="29"/>
  <c r="P41" i="29"/>
  <c r="O41" i="29"/>
  <c r="R41" i="29" s="1"/>
  <c r="L41" i="29"/>
  <c r="I41" i="29"/>
  <c r="F41" i="29"/>
  <c r="Q40" i="29"/>
  <c r="P40" i="29"/>
  <c r="O40" i="29"/>
  <c r="U90" i="29" s="1"/>
  <c r="L40" i="29"/>
  <c r="I40" i="29"/>
  <c r="F40" i="29"/>
  <c r="Q39" i="29"/>
  <c r="P39" i="29"/>
  <c r="O39" i="29"/>
  <c r="R39" i="29" s="1"/>
  <c r="L39" i="29"/>
  <c r="I39" i="29"/>
  <c r="F39" i="29"/>
  <c r="Q38" i="29"/>
  <c r="P38" i="29"/>
  <c r="O38" i="29"/>
  <c r="U88" i="29" s="1"/>
  <c r="L38" i="29"/>
  <c r="I38" i="29"/>
  <c r="F38" i="29"/>
  <c r="Q37" i="29"/>
  <c r="P37" i="29"/>
  <c r="O37" i="29"/>
  <c r="R37" i="29" s="1"/>
  <c r="L37" i="29"/>
  <c r="I37" i="29"/>
  <c r="E37" i="29"/>
  <c r="D37" i="29"/>
  <c r="R36" i="29" s="1"/>
  <c r="Q36" i="29"/>
  <c r="P36" i="29"/>
  <c r="O36" i="29"/>
  <c r="U86" i="29" s="1"/>
  <c r="L36" i="29"/>
  <c r="I36" i="29"/>
  <c r="F36" i="29"/>
  <c r="Q35" i="29"/>
  <c r="P35" i="29"/>
  <c r="O35" i="29"/>
  <c r="R35" i="29" s="1"/>
  <c r="L35" i="29"/>
  <c r="I35" i="29"/>
  <c r="F35" i="29"/>
  <c r="Q34" i="29"/>
  <c r="P34" i="29"/>
  <c r="O34" i="29"/>
  <c r="U84" i="29" s="1"/>
  <c r="L34" i="29"/>
  <c r="I34" i="29"/>
  <c r="F34" i="29"/>
  <c r="R33" i="29"/>
  <c r="Q33" i="29"/>
  <c r="P33" i="29"/>
  <c r="O33" i="29"/>
  <c r="L33" i="29"/>
  <c r="I33" i="29"/>
  <c r="F33" i="29"/>
  <c r="R32" i="29" s="1"/>
  <c r="Q32" i="29"/>
  <c r="P32" i="29"/>
  <c r="O32" i="29"/>
  <c r="U82" i="29" s="1"/>
  <c r="L32" i="29"/>
  <c r="I32" i="29"/>
  <c r="E32" i="29"/>
  <c r="D32" i="29"/>
  <c r="R31" i="29"/>
  <c r="Q31" i="29"/>
  <c r="P31" i="29"/>
  <c r="O31" i="29"/>
  <c r="L31" i="29"/>
  <c r="I31" i="29"/>
  <c r="F31" i="29"/>
  <c r="Q30" i="29"/>
  <c r="P30" i="29"/>
  <c r="O30" i="29"/>
  <c r="R30" i="29" s="1"/>
  <c r="L30" i="29"/>
  <c r="I30" i="29"/>
  <c r="F30" i="29"/>
  <c r="R29" i="29"/>
  <c r="Q29" i="29"/>
  <c r="P29" i="29"/>
  <c r="O29" i="29"/>
  <c r="L29" i="29"/>
  <c r="I29" i="29"/>
  <c r="F29" i="29"/>
  <c r="Q28" i="29"/>
  <c r="P28" i="29"/>
  <c r="O28" i="29"/>
  <c r="R28" i="29" s="1"/>
  <c r="L28" i="29"/>
  <c r="I28" i="29"/>
  <c r="F28" i="29"/>
  <c r="R27" i="29"/>
  <c r="Q27" i="29"/>
  <c r="P27" i="29"/>
  <c r="O27" i="29"/>
  <c r="L27" i="29"/>
  <c r="I27" i="29"/>
  <c r="E27" i="29"/>
  <c r="D27" i="29"/>
  <c r="Q26" i="29"/>
  <c r="P26" i="29"/>
  <c r="O26" i="29"/>
  <c r="R26" i="29" s="1"/>
  <c r="L26" i="29"/>
  <c r="I26" i="29"/>
  <c r="Q25" i="29"/>
  <c r="P25" i="29"/>
  <c r="O25" i="29"/>
  <c r="R25" i="29" s="1"/>
  <c r="L25" i="29"/>
  <c r="I25" i="29"/>
  <c r="Q24" i="29"/>
  <c r="P24" i="29"/>
  <c r="O24" i="29"/>
  <c r="R24" i="29" s="1"/>
  <c r="L24" i="29"/>
  <c r="I24" i="29"/>
  <c r="R23" i="29"/>
  <c r="Q23" i="29"/>
  <c r="P23" i="29"/>
  <c r="O23" i="29"/>
  <c r="L23" i="29"/>
  <c r="I23" i="29"/>
  <c r="Q22" i="29"/>
  <c r="P22" i="29"/>
  <c r="O22" i="29"/>
  <c r="R22" i="29" s="1"/>
  <c r="L22" i="29"/>
  <c r="I22" i="29"/>
  <c r="Q21" i="29"/>
  <c r="P21" i="29"/>
  <c r="O21" i="29"/>
  <c r="R21" i="29" s="1"/>
  <c r="L21" i="29"/>
  <c r="I21" i="29"/>
  <c r="F21" i="29"/>
  <c r="Q20" i="29"/>
  <c r="P20" i="29"/>
  <c r="O20" i="29"/>
  <c r="R20" i="29" s="1"/>
  <c r="L20" i="29"/>
  <c r="I20" i="29"/>
  <c r="F20" i="29"/>
  <c r="R19" i="29"/>
  <c r="Q19" i="29"/>
  <c r="P19" i="29"/>
  <c r="O19" i="29"/>
  <c r="L19" i="29"/>
  <c r="I19" i="29"/>
  <c r="F19" i="29"/>
  <c r="Q18" i="29"/>
  <c r="P18" i="29"/>
  <c r="O18" i="29"/>
  <c r="R18" i="29" s="1"/>
  <c r="L18" i="29"/>
  <c r="I18" i="29"/>
  <c r="F18" i="29"/>
  <c r="Q17" i="29"/>
  <c r="P17" i="29"/>
  <c r="O17" i="29"/>
  <c r="R17" i="29" s="1"/>
  <c r="L17" i="29"/>
  <c r="I17" i="29"/>
  <c r="E17" i="29"/>
  <c r="D17" i="29"/>
  <c r="F17" i="29" s="1"/>
  <c r="Q16" i="29"/>
  <c r="P16" i="29"/>
  <c r="O16" i="29"/>
  <c r="R16" i="29" s="1"/>
  <c r="L16" i="29"/>
  <c r="I16" i="29"/>
  <c r="F16" i="29"/>
  <c r="R15" i="29"/>
  <c r="Q15" i="29"/>
  <c r="P15" i="29"/>
  <c r="O15" i="29"/>
  <c r="L15" i="29"/>
  <c r="I15" i="29"/>
  <c r="F15" i="29"/>
  <c r="Q14" i="29"/>
  <c r="P14" i="29"/>
  <c r="O14" i="29"/>
  <c r="R14" i="29" s="1"/>
  <c r="L14" i="29"/>
  <c r="I14" i="29"/>
  <c r="F14" i="29"/>
  <c r="Q13" i="29"/>
  <c r="P13" i="29"/>
  <c r="O13" i="29"/>
  <c r="R13" i="29" s="1"/>
  <c r="L13" i="29"/>
  <c r="I13" i="29"/>
  <c r="F13" i="29"/>
  <c r="Q12" i="29"/>
  <c r="P12" i="29"/>
  <c r="O12" i="29"/>
  <c r="R12" i="29" s="1"/>
  <c r="L12" i="29"/>
  <c r="I12" i="29"/>
  <c r="E12" i="29"/>
  <c r="D12" i="29"/>
  <c r="F12" i="29" s="1"/>
  <c r="P6" i="29"/>
  <c r="N6" i="29"/>
  <c r="M6" i="29"/>
  <c r="L6" i="29"/>
  <c r="L7" i="29" s="1"/>
  <c r="K7" i="29" s="1"/>
  <c r="J7" i="29" s="1"/>
  <c r="K6" i="29"/>
  <c r="J6" i="29"/>
  <c r="H6" i="29"/>
  <c r="G6" i="29"/>
  <c r="P5" i="29"/>
  <c r="N5" i="29"/>
  <c r="M5" i="29"/>
  <c r="L5" i="29"/>
  <c r="K5" i="29"/>
  <c r="J5" i="29"/>
  <c r="H5" i="29"/>
  <c r="G5" i="29"/>
  <c r="R4" i="29"/>
  <c r="Q4" i="29"/>
  <c r="P4" i="29"/>
  <c r="O4" i="29"/>
  <c r="N4" i="29"/>
  <c r="M4" i="29"/>
  <c r="L4" i="29"/>
  <c r="K4" i="29"/>
  <c r="J4" i="29"/>
  <c r="I4" i="29"/>
  <c r="H4" i="29"/>
  <c r="G4" i="29"/>
  <c r="H1" i="29"/>
  <c r="G1" i="29"/>
  <c r="T103" i="28"/>
  <c r="S103" i="28"/>
  <c r="Q103" i="28"/>
  <c r="P103" i="28"/>
  <c r="T102" i="28"/>
  <c r="S102" i="28"/>
  <c r="Q102" i="28"/>
  <c r="P102" i="28"/>
  <c r="T101" i="28"/>
  <c r="S101" i="28"/>
  <c r="Q101" i="28"/>
  <c r="P101" i="28"/>
  <c r="T100" i="28"/>
  <c r="S100" i="28"/>
  <c r="Q100" i="28"/>
  <c r="P100" i="28"/>
  <c r="T99" i="28"/>
  <c r="S99" i="28"/>
  <c r="Q99" i="28"/>
  <c r="P99" i="28"/>
  <c r="T98" i="28"/>
  <c r="S98" i="28"/>
  <c r="Q98" i="28"/>
  <c r="P98" i="28"/>
  <c r="T97" i="28"/>
  <c r="S97" i="28"/>
  <c r="Q97" i="28"/>
  <c r="P97" i="28"/>
  <c r="T96" i="28"/>
  <c r="S96" i="28"/>
  <c r="Q96" i="28"/>
  <c r="P96" i="28"/>
  <c r="T95" i="28"/>
  <c r="S95" i="28"/>
  <c r="Q95" i="28"/>
  <c r="P95" i="28"/>
  <c r="T94" i="28"/>
  <c r="S94" i="28"/>
  <c r="Q94" i="28"/>
  <c r="P94" i="28"/>
  <c r="T93" i="28"/>
  <c r="S93" i="28"/>
  <c r="Q93" i="28"/>
  <c r="P93" i="28"/>
  <c r="T92" i="28"/>
  <c r="S92" i="28"/>
  <c r="Q92" i="28"/>
  <c r="P92" i="28"/>
  <c r="T91" i="28"/>
  <c r="S91" i="28"/>
  <c r="Q91" i="28"/>
  <c r="P91" i="28"/>
  <c r="T90" i="28"/>
  <c r="S90" i="28"/>
  <c r="Q90" i="28"/>
  <c r="P90" i="28"/>
  <c r="T89" i="28"/>
  <c r="S89" i="28"/>
  <c r="Q89" i="28"/>
  <c r="P89" i="28"/>
  <c r="T88" i="28"/>
  <c r="S88" i="28"/>
  <c r="Q88" i="28"/>
  <c r="P88" i="28"/>
  <c r="T87" i="28"/>
  <c r="S87" i="28"/>
  <c r="Q87" i="28"/>
  <c r="P87" i="28"/>
  <c r="T86" i="28"/>
  <c r="S86" i="28"/>
  <c r="Q86" i="28"/>
  <c r="P86" i="28"/>
  <c r="T85" i="28"/>
  <c r="S85" i="28"/>
  <c r="Q85" i="28"/>
  <c r="P85" i="28"/>
  <c r="T84" i="28"/>
  <c r="S84" i="28"/>
  <c r="Q84" i="28"/>
  <c r="P84" i="28"/>
  <c r="T83" i="28"/>
  <c r="S83" i="28"/>
  <c r="Q83" i="28"/>
  <c r="P83" i="28"/>
  <c r="T82" i="28"/>
  <c r="S82" i="28"/>
  <c r="Q82" i="28"/>
  <c r="P82" i="28"/>
  <c r="T81" i="28"/>
  <c r="S81" i="28"/>
  <c r="Q81" i="28"/>
  <c r="P81" i="28"/>
  <c r="T80" i="28"/>
  <c r="S80" i="28"/>
  <c r="Q80" i="28"/>
  <c r="P80" i="28"/>
  <c r="T79" i="28"/>
  <c r="S79" i="28"/>
  <c r="Q79" i="28"/>
  <c r="P79" i="28"/>
  <c r="T78" i="28"/>
  <c r="S78" i="28"/>
  <c r="Q78" i="28"/>
  <c r="P78" i="28"/>
  <c r="T77" i="28"/>
  <c r="S77" i="28"/>
  <c r="Q77" i="28"/>
  <c r="P77" i="28"/>
  <c r="T76" i="28"/>
  <c r="S76" i="28"/>
  <c r="Q76" i="28"/>
  <c r="P76" i="28"/>
  <c r="T75" i="28"/>
  <c r="S75" i="28"/>
  <c r="Q75" i="28"/>
  <c r="P75" i="28"/>
  <c r="T74" i="28"/>
  <c r="S74" i="28"/>
  <c r="Q74" i="28"/>
  <c r="P74" i="28"/>
  <c r="T73" i="28"/>
  <c r="S73" i="28"/>
  <c r="Q73" i="28"/>
  <c r="P73" i="28"/>
  <c r="T72" i="28"/>
  <c r="S72" i="28"/>
  <c r="Q72" i="28"/>
  <c r="P72" i="28"/>
  <c r="T71" i="28"/>
  <c r="S71" i="28"/>
  <c r="Q71" i="28"/>
  <c r="P71" i="28"/>
  <c r="T70" i="28"/>
  <c r="S70" i="28"/>
  <c r="Q70" i="28"/>
  <c r="P70" i="28"/>
  <c r="T69" i="28"/>
  <c r="S69" i="28"/>
  <c r="Q69" i="28"/>
  <c r="P69" i="28"/>
  <c r="T68" i="28"/>
  <c r="S68" i="28"/>
  <c r="Q68" i="28"/>
  <c r="P68" i="28"/>
  <c r="T67" i="28"/>
  <c r="S67" i="28"/>
  <c r="T66" i="28"/>
  <c r="S66" i="28"/>
  <c r="T65" i="28"/>
  <c r="S65" i="28"/>
  <c r="T64" i="28"/>
  <c r="S64" i="28"/>
  <c r="T63" i="28"/>
  <c r="S63" i="28"/>
  <c r="T62" i="28"/>
  <c r="S62" i="28"/>
  <c r="T54" i="28"/>
  <c r="B54" i="28"/>
  <c r="Q53" i="28"/>
  <c r="P53" i="28"/>
  <c r="O53" i="28"/>
  <c r="R53" i="28" s="1"/>
  <c r="L53" i="28"/>
  <c r="I53" i="28"/>
  <c r="R52" i="28" s="1"/>
  <c r="Q52" i="28"/>
  <c r="P52" i="28"/>
  <c r="O52" i="28"/>
  <c r="U102" i="28" s="1"/>
  <c r="L52" i="28"/>
  <c r="I52" i="28"/>
  <c r="Q51" i="28"/>
  <c r="P51" i="28"/>
  <c r="O51" i="28"/>
  <c r="R51" i="28" s="1"/>
  <c r="L51" i="28"/>
  <c r="I51" i="28"/>
  <c r="F51" i="28"/>
  <c r="Q50" i="28"/>
  <c r="P50" i="28"/>
  <c r="O50" i="28"/>
  <c r="U100" i="28" s="1"/>
  <c r="L50" i="28"/>
  <c r="I50" i="28"/>
  <c r="F50" i="28"/>
  <c r="R49" i="28"/>
  <c r="Q49" i="28"/>
  <c r="P49" i="28"/>
  <c r="O49" i="28"/>
  <c r="L49" i="28"/>
  <c r="I49" i="28"/>
  <c r="F49" i="28"/>
  <c r="R48" i="28" s="1"/>
  <c r="Q48" i="28"/>
  <c r="P48" i="28"/>
  <c r="O48" i="28"/>
  <c r="U98" i="28" s="1"/>
  <c r="L48" i="28"/>
  <c r="I48" i="28"/>
  <c r="F48" i="28"/>
  <c r="Q47" i="28"/>
  <c r="P47" i="28"/>
  <c r="O47" i="28"/>
  <c r="R47" i="28" s="1"/>
  <c r="L47" i="28"/>
  <c r="I47" i="28"/>
  <c r="E47" i="28"/>
  <c r="D47" i="28"/>
  <c r="R46" i="28" s="1"/>
  <c r="Q46" i="28"/>
  <c r="P46" i="28"/>
  <c r="O46" i="28"/>
  <c r="U96" i="28" s="1"/>
  <c r="L46" i="28"/>
  <c r="I46" i="28"/>
  <c r="F46" i="28"/>
  <c r="Q45" i="28"/>
  <c r="P45" i="28"/>
  <c r="O45" i="28"/>
  <c r="R45" i="28" s="1"/>
  <c r="L45" i="28"/>
  <c r="I45" i="28"/>
  <c r="F45" i="28"/>
  <c r="Q44" i="28"/>
  <c r="P44" i="28"/>
  <c r="O44" i="28"/>
  <c r="U94" i="28" s="1"/>
  <c r="L44" i="28"/>
  <c r="I44" i="28"/>
  <c r="F44" i="28"/>
  <c r="R43" i="28"/>
  <c r="Q43" i="28"/>
  <c r="P43" i="28"/>
  <c r="O43" i="28"/>
  <c r="L43" i="28"/>
  <c r="I43" i="28"/>
  <c r="F43" i="28"/>
  <c r="R42" i="28" s="1"/>
  <c r="Q42" i="28"/>
  <c r="P42" i="28"/>
  <c r="O42" i="28"/>
  <c r="U92" i="28" s="1"/>
  <c r="L42" i="28"/>
  <c r="I42" i="28"/>
  <c r="E42" i="28"/>
  <c r="D42" i="28"/>
  <c r="R41" i="28"/>
  <c r="Q41" i="28"/>
  <c r="P41" i="28"/>
  <c r="O41" i="28"/>
  <c r="L41" i="28"/>
  <c r="I41" i="28"/>
  <c r="F41" i="28"/>
  <c r="R40" i="28" s="1"/>
  <c r="Q40" i="28"/>
  <c r="P40" i="28"/>
  <c r="O40" i="28"/>
  <c r="U90" i="28" s="1"/>
  <c r="L40" i="28"/>
  <c r="I40" i="28"/>
  <c r="F40" i="28"/>
  <c r="Q39" i="28"/>
  <c r="P39" i="28"/>
  <c r="O39" i="28"/>
  <c r="R39" i="28" s="1"/>
  <c r="L39" i="28"/>
  <c r="I39" i="28"/>
  <c r="F39" i="28"/>
  <c r="Q38" i="28"/>
  <c r="P38" i="28"/>
  <c r="O38" i="28"/>
  <c r="U88" i="28" s="1"/>
  <c r="L38" i="28"/>
  <c r="I38" i="28"/>
  <c r="F38" i="28" s="1"/>
  <c r="E38" i="28"/>
  <c r="R37" i="28"/>
  <c r="Q37" i="28"/>
  <c r="P37" i="28"/>
  <c r="O37" i="28"/>
  <c r="L37" i="28"/>
  <c r="I37" i="28"/>
  <c r="D37" i="28"/>
  <c r="R36" i="28"/>
  <c r="Q36" i="28"/>
  <c r="P36" i="28"/>
  <c r="O36" i="28"/>
  <c r="L36" i="28"/>
  <c r="I36" i="28"/>
  <c r="F36" i="28"/>
  <c r="Q35" i="28"/>
  <c r="P35" i="28"/>
  <c r="O35" i="28"/>
  <c r="R35" i="28" s="1"/>
  <c r="L35" i="28"/>
  <c r="I35" i="28"/>
  <c r="F35" i="28"/>
  <c r="R34" i="28"/>
  <c r="Q34" i="28"/>
  <c r="P34" i="28"/>
  <c r="O34" i="28"/>
  <c r="L34" i="28"/>
  <c r="I34" i="28"/>
  <c r="F34" i="28"/>
  <c r="Q33" i="28"/>
  <c r="P33" i="28"/>
  <c r="O33" i="28"/>
  <c r="R33" i="28" s="1"/>
  <c r="L33" i="28"/>
  <c r="I33" i="28"/>
  <c r="F33" i="28"/>
  <c r="R32" i="28"/>
  <c r="Q32" i="28"/>
  <c r="P32" i="28"/>
  <c r="O32" i="28"/>
  <c r="L32" i="28"/>
  <c r="I32" i="28"/>
  <c r="E32" i="28"/>
  <c r="D32" i="28"/>
  <c r="Q31" i="28"/>
  <c r="P31" i="28"/>
  <c r="O31" i="28"/>
  <c r="R31" i="28" s="1"/>
  <c r="L31" i="28"/>
  <c r="I31" i="28"/>
  <c r="F31" i="28"/>
  <c r="Q30" i="28"/>
  <c r="P30" i="28"/>
  <c r="O30" i="28"/>
  <c r="R30" i="28" s="1"/>
  <c r="L30" i="28"/>
  <c r="I30" i="28"/>
  <c r="F30" i="28"/>
  <c r="Q29" i="28"/>
  <c r="P29" i="28"/>
  <c r="O29" i="28"/>
  <c r="R29" i="28" s="1"/>
  <c r="L29" i="28"/>
  <c r="I29" i="28"/>
  <c r="F29" i="28"/>
  <c r="Q28" i="28"/>
  <c r="P28" i="28"/>
  <c r="O28" i="28"/>
  <c r="R28" i="28" s="1"/>
  <c r="L28" i="28"/>
  <c r="I28" i="28"/>
  <c r="F28" i="28"/>
  <c r="Q27" i="28"/>
  <c r="P27" i="28"/>
  <c r="O27" i="28"/>
  <c r="R27" i="28" s="1"/>
  <c r="L27" i="28"/>
  <c r="I27" i="28"/>
  <c r="E27" i="28"/>
  <c r="D27" i="28"/>
  <c r="F27" i="28" s="1"/>
  <c r="Q26" i="28"/>
  <c r="P26" i="28"/>
  <c r="O26" i="28"/>
  <c r="R26" i="28" s="1"/>
  <c r="L26" i="28"/>
  <c r="I26" i="28"/>
  <c r="Q25" i="28"/>
  <c r="P25" i="28"/>
  <c r="O25" i="28"/>
  <c r="R25" i="28" s="1"/>
  <c r="L25" i="28"/>
  <c r="I25" i="28"/>
  <c r="Q24" i="28"/>
  <c r="P24" i="28"/>
  <c r="O24" i="28"/>
  <c r="R24" i="28" s="1"/>
  <c r="L24" i="28"/>
  <c r="I24" i="28"/>
  <c r="R23" i="28"/>
  <c r="Q23" i="28"/>
  <c r="P23" i="28"/>
  <c r="O23" i="28"/>
  <c r="L23" i="28"/>
  <c r="I23" i="28"/>
  <c r="Q22" i="28"/>
  <c r="P22" i="28"/>
  <c r="O22" i="28"/>
  <c r="R22" i="28" s="1"/>
  <c r="L22" i="28"/>
  <c r="I22" i="28"/>
  <c r="Q21" i="28"/>
  <c r="P21" i="28"/>
  <c r="O21" i="28"/>
  <c r="R21" i="28" s="1"/>
  <c r="L21" i="28"/>
  <c r="I21" i="28"/>
  <c r="F21" i="28"/>
  <c r="R20" i="28"/>
  <c r="Q20" i="28"/>
  <c r="P20" i="28"/>
  <c r="O20" i="28"/>
  <c r="L20" i="28"/>
  <c r="I20" i="28"/>
  <c r="F20" i="28"/>
  <c r="Q19" i="28"/>
  <c r="P19" i="28"/>
  <c r="O19" i="28"/>
  <c r="R19" i="28" s="1"/>
  <c r="L19" i="28"/>
  <c r="I19" i="28"/>
  <c r="F19" i="28"/>
  <c r="R18" i="28"/>
  <c r="Q18" i="28"/>
  <c r="P18" i="28"/>
  <c r="O18" i="28"/>
  <c r="L18" i="28"/>
  <c r="I18" i="28"/>
  <c r="F18" i="28"/>
  <c r="Q17" i="28"/>
  <c r="P17" i="28"/>
  <c r="O17" i="28"/>
  <c r="I67" i="28" s="1"/>
  <c r="L17" i="28"/>
  <c r="I17" i="28"/>
  <c r="E17" i="28"/>
  <c r="D17" i="28"/>
  <c r="D24" i="28" s="1"/>
  <c r="Q16" i="28"/>
  <c r="P16" i="28"/>
  <c r="O16" i="28"/>
  <c r="U66" i="28" s="1"/>
  <c r="L16" i="28"/>
  <c r="I16" i="28"/>
  <c r="F16" i="28"/>
  <c r="R15" i="28"/>
  <c r="P65" i="28" s="1"/>
  <c r="Q15" i="28"/>
  <c r="P15" i="28"/>
  <c r="O15" i="28"/>
  <c r="I65" i="28" s="1"/>
  <c r="L15" i="28"/>
  <c r="I15" i="28"/>
  <c r="F15" i="28"/>
  <c r="Q14" i="28"/>
  <c r="P14" i="28"/>
  <c r="O14" i="28"/>
  <c r="U64" i="28" s="1"/>
  <c r="L14" i="28"/>
  <c r="I14" i="28"/>
  <c r="F14" i="28"/>
  <c r="R13" i="28"/>
  <c r="Q63" i="28" s="1"/>
  <c r="Q13" i="28"/>
  <c r="P13" i="28"/>
  <c r="O13" i="28"/>
  <c r="I63" i="28" s="1"/>
  <c r="L13" i="28"/>
  <c r="I13" i="28"/>
  <c r="F13" i="28"/>
  <c r="Q12" i="28"/>
  <c r="P12" i="28"/>
  <c r="O12" i="28"/>
  <c r="G104" i="28" s="1"/>
  <c r="U103" i="28" s="1"/>
  <c r="L12" i="28"/>
  <c r="I12" i="28"/>
  <c r="E12" i="28"/>
  <c r="D12" i="28"/>
  <c r="D23" i="28" s="1"/>
  <c r="P6" i="28"/>
  <c r="N6" i="28"/>
  <c r="M6" i="28"/>
  <c r="K6" i="28"/>
  <c r="J6" i="28"/>
  <c r="H6" i="28"/>
  <c r="G6" i="28"/>
  <c r="P5" i="28"/>
  <c r="N5" i="28"/>
  <c r="M5" i="28"/>
  <c r="L5" i="28"/>
  <c r="K5" i="28"/>
  <c r="J5" i="28"/>
  <c r="J7" i="28" s="1"/>
  <c r="H5" i="28"/>
  <c r="G5" i="28"/>
  <c r="R4" i="28"/>
  <c r="Q4" i="28"/>
  <c r="P4" i="28"/>
  <c r="O4" i="28"/>
  <c r="N4" i="28"/>
  <c r="M4" i="28"/>
  <c r="L4" i="28"/>
  <c r="K4" i="28"/>
  <c r="J4" i="28"/>
  <c r="I4" i="28"/>
  <c r="H4" i="28"/>
  <c r="G4" i="28"/>
  <c r="H1" i="28"/>
  <c r="G1" i="28"/>
  <c r="I104" i="27"/>
  <c r="T103" i="27"/>
  <c r="S103" i="27"/>
  <c r="Q103" i="27"/>
  <c r="P103" i="27"/>
  <c r="T102" i="27"/>
  <c r="S102" i="27"/>
  <c r="Q102" i="27"/>
  <c r="P102" i="27"/>
  <c r="T101" i="27"/>
  <c r="S101" i="27"/>
  <c r="Q101" i="27"/>
  <c r="P101" i="27"/>
  <c r="T100" i="27"/>
  <c r="S100" i="27"/>
  <c r="Q100" i="27"/>
  <c r="P100" i="27"/>
  <c r="T99" i="27"/>
  <c r="S99" i="27"/>
  <c r="Q99" i="27"/>
  <c r="P99" i="27"/>
  <c r="T98" i="27"/>
  <c r="S98" i="27"/>
  <c r="Q98" i="27"/>
  <c r="P98" i="27"/>
  <c r="T97" i="27"/>
  <c r="S97" i="27"/>
  <c r="Q97" i="27"/>
  <c r="P97" i="27"/>
  <c r="T96" i="27"/>
  <c r="S96" i="27"/>
  <c r="Q96" i="27"/>
  <c r="P96" i="27"/>
  <c r="T95" i="27"/>
  <c r="S95" i="27"/>
  <c r="Q95" i="27"/>
  <c r="P95" i="27"/>
  <c r="T94" i="27"/>
  <c r="S94" i="27"/>
  <c r="Q94" i="27"/>
  <c r="P94" i="27"/>
  <c r="T93" i="27"/>
  <c r="S93" i="27"/>
  <c r="Q93" i="27"/>
  <c r="P93" i="27"/>
  <c r="T92" i="27"/>
  <c r="S92" i="27"/>
  <c r="Q92" i="27"/>
  <c r="P92" i="27"/>
  <c r="T91" i="27"/>
  <c r="S91" i="27"/>
  <c r="Q91" i="27"/>
  <c r="P91" i="27"/>
  <c r="T90" i="27"/>
  <c r="S90" i="27"/>
  <c r="Q90" i="27"/>
  <c r="P90" i="27"/>
  <c r="T89" i="27"/>
  <c r="S89" i="27"/>
  <c r="Q89" i="27"/>
  <c r="P89" i="27"/>
  <c r="T88" i="27"/>
  <c r="S88" i="27"/>
  <c r="Q88" i="27"/>
  <c r="P88" i="27"/>
  <c r="T87" i="27"/>
  <c r="S87" i="27"/>
  <c r="Q87" i="27"/>
  <c r="P87" i="27"/>
  <c r="T86" i="27"/>
  <c r="S86" i="27"/>
  <c r="Q86" i="27"/>
  <c r="P86" i="27"/>
  <c r="T85" i="27"/>
  <c r="S85" i="27"/>
  <c r="Q85" i="27"/>
  <c r="P85" i="27"/>
  <c r="T84" i="27"/>
  <c r="S84" i="27"/>
  <c r="Q84" i="27"/>
  <c r="P84" i="27"/>
  <c r="T83" i="27"/>
  <c r="S83" i="27"/>
  <c r="Q83" i="27"/>
  <c r="P83" i="27"/>
  <c r="T82" i="27"/>
  <c r="S82" i="27"/>
  <c r="Q82" i="27"/>
  <c r="P82" i="27"/>
  <c r="T81" i="27"/>
  <c r="S81" i="27"/>
  <c r="Q81" i="27"/>
  <c r="P81" i="27"/>
  <c r="T80" i="27"/>
  <c r="S80" i="27"/>
  <c r="Q80" i="27"/>
  <c r="P80" i="27"/>
  <c r="T79" i="27"/>
  <c r="S79" i="27"/>
  <c r="Q79" i="27"/>
  <c r="P79" i="27"/>
  <c r="T78" i="27"/>
  <c r="S78" i="27"/>
  <c r="Q78" i="27"/>
  <c r="P78" i="27"/>
  <c r="T77" i="27"/>
  <c r="S77" i="27"/>
  <c r="Q77" i="27"/>
  <c r="P77" i="27"/>
  <c r="T76" i="27"/>
  <c r="S76" i="27"/>
  <c r="Q76" i="27"/>
  <c r="P76" i="27"/>
  <c r="T75" i="27"/>
  <c r="S75" i="27"/>
  <c r="Q75" i="27"/>
  <c r="P75" i="27"/>
  <c r="T74" i="27"/>
  <c r="S74" i="27"/>
  <c r="Q74" i="27"/>
  <c r="P74" i="27"/>
  <c r="T73" i="27"/>
  <c r="S73" i="27"/>
  <c r="Q73" i="27"/>
  <c r="P73" i="27"/>
  <c r="T72" i="27"/>
  <c r="S72" i="27"/>
  <c r="Q72" i="27"/>
  <c r="P72" i="27"/>
  <c r="T71" i="27"/>
  <c r="S71" i="27"/>
  <c r="Q71" i="27"/>
  <c r="P71" i="27"/>
  <c r="T70" i="27"/>
  <c r="S70" i="27"/>
  <c r="Q70" i="27"/>
  <c r="P70" i="27"/>
  <c r="T69" i="27"/>
  <c r="S69" i="27"/>
  <c r="Q69" i="27"/>
  <c r="P69" i="27"/>
  <c r="T68" i="27"/>
  <c r="S68" i="27"/>
  <c r="Q68" i="27"/>
  <c r="P68" i="27"/>
  <c r="T67" i="27"/>
  <c r="T104" i="27" s="1"/>
  <c r="S67" i="27"/>
  <c r="Q67" i="27"/>
  <c r="Q104" i="27" s="1"/>
  <c r="P67" i="27"/>
  <c r="T54" i="27"/>
  <c r="B54" i="27"/>
  <c r="Q53" i="27"/>
  <c r="P53" i="27"/>
  <c r="O53" i="27"/>
  <c r="R53" i="27" s="1"/>
  <c r="L53" i="27"/>
  <c r="I53" i="27"/>
  <c r="R52" i="27" s="1"/>
  <c r="Q52" i="27"/>
  <c r="P52" i="27"/>
  <c r="O52" i="27"/>
  <c r="U102" i="27" s="1"/>
  <c r="L52" i="27"/>
  <c r="I52" i="27"/>
  <c r="Q51" i="27"/>
  <c r="P51" i="27"/>
  <c r="O51" i="27"/>
  <c r="R51" i="27" s="1"/>
  <c r="L51" i="27"/>
  <c r="I51" i="27"/>
  <c r="F51" i="27"/>
  <c r="Q50" i="27"/>
  <c r="P50" i="27"/>
  <c r="O50" i="27"/>
  <c r="U100" i="27" s="1"/>
  <c r="L50" i="27"/>
  <c r="I50" i="27"/>
  <c r="F50" i="27"/>
  <c r="R49" i="27"/>
  <c r="Q49" i="27"/>
  <c r="P49" i="27"/>
  <c r="O49" i="27"/>
  <c r="L49" i="27"/>
  <c r="I49" i="27"/>
  <c r="F49" i="27"/>
  <c r="R48" i="27" s="1"/>
  <c r="Q48" i="27"/>
  <c r="P48" i="27"/>
  <c r="O48" i="27"/>
  <c r="U98" i="27" s="1"/>
  <c r="L48" i="27"/>
  <c r="I48" i="27"/>
  <c r="F48" i="27"/>
  <c r="Q47" i="27"/>
  <c r="P47" i="27"/>
  <c r="O47" i="27"/>
  <c r="R47" i="27" s="1"/>
  <c r="L47" i="27"/>
  <c r="I47" i="27"/>
  <c r="E47" i="27"/>
  <c r="D47" i="27"/>
  <c r="R46" i="27" s="1"/>
  <c r="Q46" i="27"/>
  <c r="P46" i="27"/>
  <c r="O46" i="27"/>
  <c r="U96" i="27" s="1"/>
  <c r="L46" i="27"/>
  <c r="I46" i="27"/>
  <c r="F46" i="27"/>
  <c r="Q45" i="27"/>
  <c r="P45" i="27"/>
  <c r="O45" i="27"/>
  <c r="R45" i="27" s="1"/>
  <c r="L45" i="27"/>
  <c r="I45" i="27"/>
  <c r="F45" i="27"/>
  <c r="Q44" i="27"/>
  <c r="P44" i="27"/>
  <c r="O44" i="27"/>
  <c r="U94" i="27" s="1"/>
  <c r="L44" i="27"/>
  <c r="I44" i="27"/>
  <c r="F44" i="27"/>
  <c r="R43" i="27"/>
  <c r="Q43" i="27"/>
  <c r="P43" i="27"/>
  <c r="O43" i="27"/>
  <c r="L43" i="27"/>
  <c r="I43" i="27"/>
  <c r="F43" i="27"/>
  <c r="R42" i="27" s="1"/>
  <c r="Q42" i="27"/>
  <c r="P42" i="27"/>
  <c r="O42" i="27"/>
  <c r="U92" i="27" s="1"/>
  <c r="L42" i="27"/>
  <c r="I42" i="27"/>
  <c r="E42" i="27"/>
  <c r="D42" i="27"/>
  <c r="R41" i="27"/>
  <c r="Q41" i="27"/>
  <c r="P41" i="27"/>
  <c r="O41" i="27"/>
  <c r="L41" i="27"/>
  <c r="I41" i="27"/>
  <c r="F41" i="27"/>
  <c r="R40" i="27" s="1"/>
  <c r="Q40" i="27"/>
  <c r="P40" i="27"/>
  <c r="O40" i="27"/>
  <c r="U90" i="27" s="1"/>
  <c r="L40" i="27"/>
  <c r="I40" i="27"/>
  <c r="F40" i="27"/>
  <c r="Q39" i="27"/>
  <c r="P39" i="27"/>
  <c r="O39" i="27"/>
  <c r="R39" i="27" s="1"/>
  <c r="L39" i="27"/>
  <c r="I39" i="27"/>
  <c r="F39" i="27"/>
  <c r="Q38" i="27"/>
  <c r="P38" i="27"/>
  <c r="O38" i="27"/>
  <c r="U88" i="27" s="1"/>
  <c r="L38" i="27"/>
  <c r="I38" i="27"/>
  <c r="F38" i="27"/>
  <c r="R37" i="27"/>
  <c r="Q37" i="27"/>
  <c r="P37" i="27"/>
  <c r="O37" i="27"/>
  <c r="L37" i="27"/>
  <c r="I37" i="27"/>
  <c r="E37" i="27"/>
  <c r="D37" i="27"/>
  <c r="Q36" i="27"/>
  <c r="P36" i="27"/>
  <c r="O36" i="27"/>
  <c r="U86" i="27" s="1"/>
  <c r="L36" i="27"/>
  <c r="I36" i="27"/>
  <c r="F36" i="27"/>
  <c r="R35" i="27"/>
  <c r="Q35" i="27"/>
  <c r="P35" i="27"/>
  <c r="O35" i="27"/>
  <c r="L35" i="27"/>
  <c r="I35" i="27"/>
  <c r="F35" i="27"/>
  <c r="R34" i="27" s="1"/>
  <c r="Q34" i="27"/>
  <c r="P34" i="27"/>
  <c r="O34" i="27"/>
  <c r="U84" i="27" s="1"/>
  <c r="L34" i="27"/>
  <c r="I34" i="27"/>
  <c r="F34" i="27"/>
  <c r="Q33" i="27"/>
  <c r="P33" i="27"/>
  <c r="O33" i="27"/>
  <c r="R33" i="27" s="1"/>
  <c r="L33" i="27"/>
  <c r="I33" i="27"/>
  <c r="F33" i="27"/>
  <c r="Q32" i="27"/>
  <c r="P32" i="27"/>
  <c r="O32" i="27"/>
  <c r="U82" i="27" s="1"/>
  <c r="L32" i="27"/>
  <c r="I32" i="27"/>
  <c r="E32" i="27"/>
  <c r="D32" i="27"/>
  <c r="Q31" i="27"/>
  <c r="P31" i="27"/>
  <c r="O31" i="27"/>
  <c r="R31" i="27" s="1"/>
  <c r="L31" i="27"/>
  <c r="I31" i="27"/>
  <c r="F31" i="27"/>
  <c r="R30" i="27"/>
  <c r="Q30" i="27"/>
  <c r="P30" i="27"/>
  <c r="O30" i="27"/>
  <c r="L30" i="27"/>
  <c r="I30" i="27"/>
  <c r="F30" i="27"/>
  <c r="Q29" i="27"/>
  <c r="P29" i="27"/>
  <c r="O29" i="27"/>
  <c r="R29" i="27" s="1"/>
  <c r="L29" i="27"/>
  <c r="I29" i="27"/>
  <c r="F29" i="27"/>
  <c r="R28" i="27"/>
  <c r="Q28" i="27"/>
  <c r="P28" i="27"/>
  <c r="O28" i="27"/>
  <c r="L28" i="27"/>
  <c r="I28" i="27"/>
  <c r="F28" i="27"/>
  <c r="Q27" i="27"/>
  <c r="P27" i="27"/>
  <c r="O27" i="27"/>
  <c r="R27" i="27" s="1"/>
  <c r="L27" i="27"/>
  <c r="I27" i="27"/>
  <c r="E27" i="27"/>
  <c r="D27" i="27"/>
  <c r="Q26" i="27"/>
  <c r="P26" i="27"/>
  <c r="O26" i="27"/>
  <c r="R26" i="27" s="1"/>
  <c r="L26" i="27"/>
  <c r="I26" i="27"/>
  <c r="Q25" i="27"/>
  <c r="P25" i="27"/>
  <c r="O25" i="27"/>
  <c r="R25" i="27" s="1"/>
  <c r="L25" i="27"/>
  <c r="I25" i="27"/>
  <c r="Q24" i="27"/>
  <c r="P24" i="27"/>
  <c r="O24" i="27"/>
  <c r="R24" i="27" s="1"/>
  <c r="L24" i="27"/>
  <c r="I24" i="27"/>
  <c r="R23" i="27"/>
  <c r="Q23" i="27"/>
  <c r="P23" i="27"/>
  <c r="O23" i="27"/>
  <c r="L23" i="27"/>
  <c r="I23" i="27"/>
  <c r="R22" i="27"/>
  <c r="Q22" i="27"/>
  <c r="P22" i="27"/>
  <c r="O22" i="27"/>
  <c r="L22" i="27"/>
  <c r="I22" i="27"/>
  <c r="R21" i="27"/>
  <c r="Q21" i="27"/>
  <c r="P21" i="27"/>
  <c r="O21" i="27"/>
  <c r="L21" i="27"/>
  <c r="I21" i="27"/>
  <c r="F21" i="27"/>
  <c r="Q20" i="27"/>
  <c r="P20" i="27"/>
  <c r="O20" i="27"/>
  <c r="R20" i="27" s="1"/>
  <c r="L20" i="27"/>
  <c r="I20" i="27"/>
  <c r="F20" i="27"/>
  <c r="R19" i="27"/>
  <c r="Q19" i="27"/>
  <c r="P19" i="27"/>
  <c r="O19" i="27"/>
  <c r="L19" i="27"/>
  <c r="I19" i="27"/>
  <c r="F19" i="27"/>
  <c r="Q18" i="27"/>
  <c r="P18" i="27"/>
  <c r="O18" i="27"/>
  <c r="R18" i="27" s="1"/>
  <c r="L18" i="27"/>
  <c r="I18" i="27"/>
  <c r="F18" i="27"/>
  <c r="R17" i="27"/>
  <c r="Q17" i="27"/>
  <c r="P17" i="27"/>
  <c r="O17" i="27"/>
  <c r="L17" i="27"/>
  <c r="I17" i="27"/>
  <c r="E17" i="27"/>
  <c r="D17" i="27"/>
  <c r="F17" i="27" s="1"/>
  <c r="Q16" i="27"/>
  <c r="P16" i="27"/>
  <c r="O16" i="27"/>
  <c r="R16" i="27" s="1"/>
  <c r="L16" i="27"/>
  <c r="I16" i="27"/>
  <c r="F16" i="27"/>
  <c r="R15" i="27"/>
  <c r="Q15" i="27"/>
  <c r="P15" i="27"/>
  <c r="O15" i="27"/>
  <c r="L15" i="27"/>
  <c r="I15" i="27"/>
  <c r="F15" i="27"/>
  <c r="Q14" i="27"/>
  <c r="P14" i="27"/>
  <c r="O14" i="27"/>
  <c r="R14" i="27" s="1"/>
  <c r="L14" i="27"/>
  <c r="I14" i="27"/>
  <c r="F14" i="27"/>
  <c r="R13" i="27"/>
  <c r="Q13" i="27"/>
  <c r="P13" i="27"/>
  <c r="O13" i="27"/>
  <c r="L13" i="27"/>
  <c r="I13" i="27"/>
  <c r="F13" i="27"/>
  <c r="Q12" i="27"/>
  <c r="P12" i="27"/>
  <c r="O12" i="27"/>
  <c r="G104" i="27" s="1"/>
  <c r="U103" i="27" s="1"/>
  <c r="L12" i="27"/>
  <c r="I12" i="27"/>
  <c r="E12" i="27"/>
  <c r="D12" i="27"/>
  <c r="P6" i="27"/>
  <c r="N6" i="27"/>
  <c r="M6" i="27"/>
  <c r="L6" i="27"/>
  <c r="K6" i="27"/>
  <c r="J6" i="27"/>
  <c r="H6" i="27"/>
  <c r="G6" i="27"/>
  <c r="P5" i="27"/>
  <c r="N5" i="27"/>
  <c r="M5" i="27"/>
  <c r="L5" i="27"/>
  <c r="K5" i="27"/>
  <c r="J5" i="27"/>
  <c r="H5" i="27"/>
  <c r="G5" i="27"/>
  <c r="R4" i="27"/>
  <c r="Q4" i="27"/>
  <c r="P4" i="27"/>
  <c r="O4" i="27"/>
  <c r="N4" i="27"/>
  <c r="M4" i="27"/>
  <c r="L4" i="27"/>
  <c r="K4" i="27"/>
  <c r="J4" i="27"/>
  <c r="I4" i="27"/>
  <c r="H4" i="27"/>
  <c r="G4" i="27"/>
  <c r="H1" i="27"/>
  <c r="G1" i="27"/>
  <c r="T103" i="26"/>
  <c r="S103" i="26"/>
  <c r="U103" i="26" s="1"/>
  <c r="Q103" i="26"/>
  <c r="P103" i="26"/>
  <c r="T102" i="26"/>
  <c r="S102" i="26"/>
  <c r="U102" i="26" s="1"/>
  <c r="Q102" i="26"/>
  <c r="P102" i="26"/>
  <c r="T101" i="26"/>
  <c r="S101" i="26"/>
  <c r="U101" i="26" s="1"/>
  <c r="Q101" i="26"/>
  <c r="P101" i="26"/>
  <c r="T100" i="26"/>
  <c r="S100" i="26"/>
  <c r="U100" i="26" s="1"/>
  <c r="Q100" i="26"/>
  <c r="P100" i="26"/>
  <c r="T99" i="26"/>
  <c r="S99" i="26"/>
  <c r="U99" i="26" s="1"/>
  <c r="Q99" i="26"/>
  <c r="P99" i="26"/>
  <c r="T98" i="26"/>
  <c r="S98" i="26"/>
  <c r="U98" i="26" s="1"/>
  <c r="Q98" i="26"/>
  <c r="P98" i="26"/>
  <c r="T97" i="26"/>
  <c r="S97" i="26"/>
  <c r="U97" i="26" s="1"/>
  <c r="Q97" i="26"/>
  <c r="P97" i="26"/>
  <c r="T96" i="26"/>
  <c r="S96" i="26"/>
  <c r="U96" i="26" s="1"/>
  <c r="Q96" i="26"/>
  <c r="P96" i="26"/>
  <c r="T95" i="26"/>
  <c r="S95" i="26"/>
  <c r="U95" i="26" s="1"/>
  <c r="Q95" i="26"/>
  <c r="P95" i="26"/>
  <c r="T94" i="26"/>
  <c r="S94" i="26"/>
  <c r="U94" i="26" s="1"/>
  <c r="Q94" i="26"/>
  <c r="P94" i="26"/>
  <c r="T93" i="26"/>
  <c r="S93" i="26"/>
  <c r="U93" i="26" s="1"/>
  <c r="Q93" i="26"/>
  <c r="P93" i="26"/>
  <c r="T92" i="26"/>
  <c r="S92" i="26"/>
  <c r="U92" i="26" s="1"/>
  <c r="Q92" i="26"/>
  <c r="P92" i="26"/>
  <c r="T91" i="26"/>
  <c r="S91" i="26"/>
  <c r="U91" i="26" s="1"/>
  <c r="Q91" i="26"/>
  <c r="P91" i="26"/>
  <c r="T90" i="26"/>
  <c r="S90" i="26"/>
  <c r="U90" i="26" s="1"/>
  <c r="Q90" i="26"/>
  <c r="P90" i="26"/>
  <c r="T89" i="26"/>
  <c r="S89" i="26"/>
  <c r="U89" i="26" s="1"/>
  <c r="Q89" i="26"/>
  <c r="P89" i="26"/>
  <c r="T88" i="26"/>
  <c r="S88" i="26"/>
  <c r="U88" i="26" s="1"/>
  <c r="Q88" i="26"/>
  <c r="P88" i="26"/>
  <c r="T87" i="26"/>
  <c r="S87" i="26"/>
  <c r="U87" i="26" s="1"/>
  <c r="Q87" i="26"/>
  <c r="P87" i="26"/>
  <c r="T86" i="26"/>
  <c r="S86" i="26"/>
  <c r="U86" i="26" s="1"/>
  <c r="Q86" i="26"/>
  <c r="P86" i="26"/>
  <c r="T85" i="26"/>
  <c r="S85" i="26"/>
  <c r="U85" i="26" s="1"/>
  <c r="Q85" i="26"/>
  <c r="P85" i="26"/>
  <c r="T84" i="26"/>
  <c r="S84" i="26"/>
  <c r="U84" i="26" s="1"/>
  <c r="Q84" i="26"/>
  <c r="P84" i="26"/>
  <c r="T83" i="26"/>
  <c r="S83" i="26"/>
  <c r="U83" i="26" s="1"/>
  <c r="Q83" i="26"/>
  <c r="P83" i="26"/>
  <c r="T82" i="26"/>
  <c r="S82" i="26"/>
  <c r="U82" i="26" s="1"/>
  <c r="Q82" i="26"/>
  <c r="P82" i="26"/>
  <c r="T81" i="26"/>
  <c r="S81" i="26"/>
  <c r="U81" i="26" s="1"/>
  <c r="Q81" i="26"/>
  <c r="P81" i="26"/>
  <c r="T80" i="26"/>
  <c r="S80" i="26"/>
  <c r="U80" i="26" s="1"/>
  <c r="Q80" i="26"/>
  <c r="P80" i="26"/>
  <c r="T79" i="26"/>
  <c r="S79" i="26"/>
  <c r="U79" i="26" s="1"/>
  <c r="Q79" i="26"/>
  <c r="P79" i="26"/>
  <c r="T78" i="26"/>
  <c r="S78" i="26"/>
  <c r="U78" i="26" s="1"/>
  <c r="Q78" i="26"/>
  <c r="P78" i="26"/>
  <c r="T77" i="26"/>
  <c r="S77" i="26"/>
  <c r="U77" i="26" s="1"/>
  <c r="Q77" i="26"/>
  <c r="P77" i="26"/>
  <c r="T76" i="26"/>
  <c r="S76" i="26"/>
  <c r="U76" i="26" s="1"/>
  <c r="Q76" i="26"/>
  <c r="P76" i="26"/>
  <c r="T75" i="26"/>
  <c r="S75" i="26"/>
  <c r="U75" i="26" s="1"/>
  <c r="Q75" i="26"/>
  <c r="P75" i="26"/>
  <c r="T74" i="26"/>
  <c r="S74" i="26"/>
  <c r="U74" i="26" s="1"/>
  <c r="Q74" i="26"/>
  <c r="P74" i="26"/>
  <c r="T73" i="26"/>
  <c r="S73" i="26"/>
  <c r="Q73" i="26"/>
  <c r="P73" i="26"/>
  <c r="T72" i="26"/>
  <c r="T104" i="26" s="1"/>
  <c r="S72" i="26"/>
  <c r="Q72" i="26"/>
  <c r="P72" i="26"/>
  <c r="Q71" i="26"/>
  <c r="Q104" i="26" s="1"/>
  <c r="P71" i="26"/>
  <c r="T54" i="26"/>
  <c r="B54" i="26"/>
  <c r="Q53" i="26"/>
  <c r="P53" i="26"/>
  <c r="O53" i="26"/>
  <c r="R53" i="26" s="1"/>
  <c r="L53" i="26"/>
  <c r="I53" i="26"/>
  <c r="Q52" i="26"/>
  <c r="P52" i="26"/>
  <c r="O52" i="26"/>
  <c r="R52" i="26" s="1"/>
  <c r="L52" i="26"/>
  <c r="I52" i="26"/>
  <c r="R51" i="26"/>
  <c r="Q51" i="26"/>
  <c r="P51" i="26"/>
  <c r="O51" i="26"/>
  <c r="L51" i="26"/>
  <c r="I51" i="26"/>
  <c r="F51" i="26"/>
  <c r="Q50" i="26"/>
  <c r="P50" i="26"/>
  <c r="O50" i="26"/>
  <c r="R50" i="26" s="1"/>
  <c r="L50" i="26"/>
  <c r="I50" i="26"/>
  <c r="F50" i="26"/>
  <c r="R49" i="26"/>
  <c r="Q49" i="26"/>
  <c r="P49" i="26"/>
  <c r="O49" i="26"/>
  <c r="L49" i="26"/>
  <c r="I49" i="26"/>
  <c r="F49" i="26"/>
  <c r="Q48" i="26"/>
  <c r="P48" i="26"/>
  <c r="O48" i="26"/>
  <c r="R48" i="26" s="1"/>
  <c r="L48" i="26"/>
  <c r="I48" i="26"/>
  <c r="F48" i="26"/>
  <c r="R47" i="26"/>
  <c r="Q47" i="26"/>
  <c r="P47" i="26"/>
  <c r="O47" i="26"/>
  <c r="L47" i="26"/>
  <c r="I47" i="26"/>
  <c r="E47" i="26"/>
  <c r="D47" i="26"/>
  <c r="R46" i="26"/>
  <c r="Q46" i="26"/>
  <c r="P46" i="26"/>
  <c r="O46" i="26"/>
  <c r="L46" i="26"/>
  <c r="I46" i="26"/>
  <c r="F46" i="26"/>
  <c r="Q45" i="26"/>
  <c r="P45" i="26"/>
  <c r="O45" i="26"/>
  <c r="R45" i="26" s="1"/>
  <c r="L45" i="26"/>
  <c r="I45" i="26"/>
  <c r="F45" i="26"/>
  <c r="R44" i="26"/>
  <c r="Q44" i="26"/>
  <c r="P44" i="26"/>
  <c r="O44" i="26"/>
  <c r="L44" i="26"/>
  <c r="I44" i="26"/>
  <c r="F44" i="26"/>
  <c r="Q43" i="26"/>
  <c r="P43" i="26"/>
  <c r="O43" i="26"/>
  <c r="R43" i="26" s="1"/>
  <c r="L43" i="26"/>
  <c r="I43" i="26"/>
  <c r="F43" i="26"/>
  <c r="R42" i="26"/>
  <c r="Q42" i="26"/>
  <c r="P42" i="26"/>
  <c r="O42" i="26"/>
  <c r="L42" i="26"/>
  <c r="I42" i="26"/>
  <c r="E42" i="26"/>
  <c r="D42" i="26"/>
  <c r="R41" i="26"/>
  <c r="Q41" i="26"/>
  <c r="P41" i="26"/>
  <c r="O41" i="26"/>
  <c r="L41" i="26"/>
  <c r="I41" i="26"/>
  <c r="F41" i="26"/>
  <c r="Q40" i="26"/>
  <c r="P40" i="26"/>
  <c r="O40" i="26"/>
  <c r="R40" i="26" s="1"/>
  <c r="L40" i="26"/>
  <c r="I40" i="26"/>
  <c r="F40" i="26"/>
  <c r="R39" i="26"/>
  <c r="Q39" i="26"/>
  <c r="P39" i="26"/>
  <c r="O39" i="26"/>
  <c r="L39" i="26"/>
  <c r="I39" i="26"/>
  <c r="F39" i="26"/>
  <c r="Q38" i="26"/>
  <c r="P38" i="26"/>
  <c r="O38" i="26"/>
  <c r="R38" i="26" s="1"/>
  <c r="L38" i="26"/>
  <c r="I38" i="26"/>
  <c r="F38" i="26"/>
  <c r="R37" i="26"/>
  <c r="Q37" i="26"/>
  <c r="P37" i="26"/>
  <c r="O37" i="26"/>
  <c r="L37" i="26"/>
  <c r="I37" i="26"/>
  <c r="E37" i="26"/>
  <c r="D37" i="26"/>
  <c r="R36" i="26"/>
  <c r="Q36" i="26"/>
  <c r="P36" i="26"/>
  <c r="O36" i="26"/>
  <c r="L36" i="26"/>
  <c r="I36" i="26"/>
  <c r="F36" i="26"/>
  <c r="Q35" i="26"/>
  <c r="P35" i="26"/>
  <c r="O35" i="26"/>
  <c r="R35" i="26" s="1"/>
  <c r="L35" i="26"/>
  <c r="I35" i="26"/>
  <c r="F35" i="26"/>
  <c r="R34" i="26"/>
  <c r="Q34" i="26"/>
  <c r="P34" i="26"/>
  <c r="O34" i="26"/>
  <c r="L34" i="26"/>
  <c r="I34" i="26"/>
  <c r="F34" i="26"/>
  <c r="Q33" i="26"/>
  <c r="P33" i="26"/>
  <c r="O33" i="26"/>
  <c r="R33" i="26" s="1"/>
  <c r="L33" i="26"/>
  <c r="I33" i="26"/>
  <c r="F33" i="26"/>
  <c r="R32" i="26"/>
  <c r="Q32" i="26"/>
  <c r="P32" i="26"/>
  <c r="O32" i="26"/>
  <c r="L32" i="26"/>
  <c r="I32" i="26"/>
  <c r="E32" i="26"/>
  <c r="D32" i="26"/>
  <c r="R31" i="26"/>
  <c r="Q31" i="26"/>
  <c r="P31" i="26"/>
  <c r="O31" i="26"/>
  <c r="L31" i="26"/>
  <c r="I31" i="26"/>
  <c r="F31" i="26"/>
  <c r="Q30" i="26"/>
  <c r="P30" i="26"/>
  <c r="O30" i="26"/>
  <c r="R30" i="26" s="1"/>
  <c r="L30" i="26"/>
  <c r="I30" i="26"/>
  <c r="F30" i="26"/>
  <c r="R29" i="26"/>
  <c r="Q29" i="26"/>
  <c r="P29" i="26"/>
  <c r="O29" i="26"/>
  <c r="L29" i="26"/>
  <c r="I29" i="26"/>
  <c r="F29" i="26"/>
  <c r="Q28" i="26"/>
  <c r="P28" i="26"/>
  <c r="O28" i="26"/>
  <c r="R28" i="26" s="1"/>
  <c r="L28" i="26"/>
  <c r="I28" i="26"/>
  <c r="F28" i="26"/>
  <c r="R27" i="26"/>
  <c r="Q27" i="26"/>
  <c r="P27" i="26"/>
  <c r="O27" i="26"/>
  <c r="L27" i="26"/>
  <c r="I27" i="26"/>
  <c r="E27" i="26"/>
  <c r="D27" i="26"/>
  <c r="R26" i="26"/>
  <c r="Q26" i="26"/>
  <c r="P26" i="26"/>
  <c r="O26" i="26"/>
  <c r="L26" i="26"/>
  <c r="I26" i="26"/>
  <c r="R25" i="26"/>
  <c r="Q25" i="26"/>
  <c r="P25" i="26"/>
  <c r="O25" i="26"/>
  <c r="L25" i="26"/>
  <c r="I25" i="26"/>
  <c r="R24" i="26"/>
  <c r="Q24" i="26"/>
  <c r="P24" i="26"/>
  <c r="O24" i="26"/>
  <c r="L24" i="26"/>
  <c r="I24" i="26"/>
  <c r="Q23" i="26"/>
  <c r="P23" i="26"/>
  <c r="O23" i="26"/>
  <c r="R23" i="26" s="1"/>
  <c r="L23" i="26"/>
  <c r="I23" i="26"/>
  <c r="Q22" i="26"/>
  <c r="P22" i="26"/>
  <c r="O22" i="26"/>
  <c r="R22" i="26" s="1"/>
  <c r="L22" i="26"/>
  <c r="I22" i="26"/>
  <c r="Q21" i="26"/>
  <c r="P21" i="26"/>
  <c r="O21" i="26"/>
  <c r="R21" i="26" s="1"/>
  <c r="L21" i="26"/>
  <c r="I21" i="26"/>
  <c r="F21" i="26"/>
  <c r="R20" i="26"/>
  <c r="Q20" i="26"/>
  <c r="P20" i="26"/>
  <c r="O20" i="26"/>
  <c r="L20" i="26"/>
  <c r="I20" i="26"/>
  <c r="F20" i="26"/>
  <c r="Q19" i="26"/>
  <c r="P19" i="26"/>
  <c r="O19" i="26"/>
  <c r="R19" i="26" s="1"/>
  <c r="L19" i="26"/>
  <c r="I19" i="26"/>
  <c r="F19" i="26"/>
  <c r="R18" i="26"/>
  <c r="Q18" i="26"/>
  <c r="P18" i="26"/>
  <c r="O18" i="26"/>
  <c r="L18" i="26"/>
  <c r="I18" i="26"/>
  <c r="F18" i="26"/>
  <c r="R17" i="26" s="1"/>
  <c r="Q17" i="26"/>
  <c r="P17" i="26"/>
  <c r="O17" i="26"/>
  <c r="L17" i="26"/>
  <c r="I17" i="26"/>
  <c r="E17" i="26"/>
  <c r="D17" i="26"/>
  <c r="D24" i="26" s="1"/>
  <c r="R16" i="26"/>
  <c r="Q16" i="26"/>
  <c r="P16" i="26"/>
  <c r="O16" i="26"/>
  <c r="L16" i="26"/>
  <c r="I16" i="26"/>
  <c r="F16" i="26"/>
  <c r="R15" i="26" s="1"/>
  <c r="Q15" i="26"/>
  <c r="P15" i="26"/>
  <c r="O15" i="26"/>
  <c r="L15" i="26"/>
  <c r="I15" i="26"/>
  <c r="F15" i="26"/>
  <c r="Q14" i="26"/>
  <c r="P14" i="26"/>
  <c r="O14" i="26"/>
  <c r="R14" i="26" s="1"/>
  <c r="L14" i="26"/>
  <c r="I14" i="26"/>
  <c r="F14" i="26"/>
  <c r="Q13" i="26"/>
  <c r="P13" i="26"/>
  <c r="O13" i="26"/>
  <c r="L13" i="26"/>
  <c r="I13" i="26"/>
  <c r="F13" i="26"/>
  <c r="R12" i="26"/>
  <c r="Q12" i="26"/>
  <c r="P12" i="26"/>
  <c r="O12" i="26"/>
  <c r="G104" i="26" s="1"/>
  <c r="L12" i="26"/>
  <c r="I12" i="26"/>
  <c r="E12" i="26"/>
  <c r="E23" i="26" s="1"/>
  <c r="D23" i="26" s="1"/>
  <c r="D12" i="26"/>
  <c r="F12" i="26" s="1"/>
  <c r="P6" i="26"/>
  <c r="N6" i="26"/>
  <c r="M6" i="26"/>
  <c r="L6" i="26"/>
  <c r="K6" i="26"/>
  <c r="J6" i="26"/>
  <c r="H6" i="26"/>
  <c r="G6" i="26"/>
  <c r="P5" i="26"/>
  <c r="N5" i="26"/>
  <c r="M5" i="26"/>
  <c r="L5" i="26"/>
  <c r="K5" i="26"/>
  <c r="J5" i="26"/>
  <c r="H5" i="26"/>
  <c r="G5" i="26"/>
  <c r="R4" i="26"/>
  <c r="Q4" i="26"/>
  <c r="P4" i="26"/>
  <c r="O4" i="26"/>
  <c r="N4" i="26"/>
  <c r="M4" i="26"/>
  <c r="L4" i="26"/>
  <c r="K4" i="26"/>
  <c r="J4" i="26"/>
  <c r="I4" i="26"/>
  <c r="H4" i="26"/>
  <c r="G4" i="26"/>
  <c r="H1" i="26"/>
  <c r="G1" i="26"/>
  <c r="I104" i="25"/>
  <c r="T103" i="25"/>
  <c r="S103" i="25"/>
  <c r="Q103" i="25"/>
  <c r="P103" i="25"/>
  <c r="T102" i="25"/>
  <c r="S102" i="25"/>
  <c r="Q102" i="25"/>
  <c r="P102" i="25"/>
  <c r="T101" i="25"/>
  <c r="S101" i="25"/>
  <c r="Q101" i="25"/>
  <c r="P101" i="25"/>
  <c r="T100" i="25"/>
  <c r="S100" i="25"/>
  <c r="Q100" i="25"/>
  <c r="P100" i="25"/>
  <c r="T99" i="25"/>
  <c r="S99" i="25"/>
  <c r="Q99" i="25"/>
  <c r="P99" i="25"/>
  <c r="T98" i="25"/>
  <c r="S98" i="25"/>
  <c r="Q98" i="25"/>
  <c r="P98" i="25"/>
  <c r="T97" i="25"/>
  <c r="S97" i="25"/>
  <c r="Q97" i="25"/>
  <c r="P97" i="25"/>
  <c r="T96" i="25"/>
  <c r="S96" i="25"/>
  <c r="Q96" i="25"/>
  <c r="P96" i="25"/>
  <c r="T95" i="25"/>
  <c r="S95" i="25"/>
  <c r="Q95" i="25"/>
  <c r="P95" i="25"/>
  <c r="T94" i="25"/>
  <c r="S94" i="25"/>
  <c r="Q94" i="25"/>
  <c r="P94" i="25"/>
  <c r="T93" i="25"/>
  <c r="S93" i="25"/>
  <c r="Q93" i="25"/>
  <c r="P93" i="25"/>
  <c r="T92" i="25"/>
  <c r="S92" i="25"/>
  <c r="Q92" i="25"/>
  <c r="P92" i="25"/>
  <c r="T91" i="25"/>
  <c r="S91" i="25"/>
  <c r="Q91" i="25"/>
  <c r="P91" i="25"/>
  <c r="T90" i="25"/>
  <c r="S90" i="25"/>
  <c r="Q90" i="25"/>
  <c r="P90" i="25"/>
  <c r="T89" i="25"/>
  <c r="S89" i="25"/>
  <c r="Q89" i="25"/>
  <c r="P89" i="25"/>
  <c r="T88" i="25"/>
  <c r="S88" i="25"/>
  <c r="Q88" i="25"/>
  <c r="P88" i="25"/>
  <c r="T87" i="25"/>
  <c r="S87" i="25"/>
  <c r="Q87" i="25"/>
  <c r="P87" i="25"/>
  <c r="T86" i="25"/>
  <c r="S86" i="25"/>
  <c r="Q86" i="25"/>
  <c r="P86" i="25"/>
  <c r="T85" i="25"/>
  <c r="S85" i="25"/>
  <c r="Q85" i="25"/>
  <c r="P85" i="25"/>
  <c r="T84" i="25"/>
  <c r="S84" i="25"/>
  <c r="Q84" i="25"/>
  <c r="P84" i="25"/>
  <c r="T83" i="25"/>
  <c r="S83" i="25"/>
  <c r="Q83" i="25"/>
  <c r="P83" i="25"/>
  <c r="T82" i="25"/>
  <c r="S82" i="25"/>
  <c r="Q82" i="25"/>
  <c r="P82" i="25"/>
  <c r="T81" i="25"/>
  <c r="S81" i="25"/>
  <c r="Q81" i="25"/>
  <c r="P81" i="25"/>
  <c r="T80" i="25"/>
  <c r="S80" i="25"/>
  <c r="Q80" i="25"/>
  <c r="P80" i="25"/>
  <c r="T79" i="25"/>
  <c r="S79" i="25"/>
  <c r="Q79" i="25"/>
  <c r="P79" i="25"/>
  <c r="T78" i="25"/>
  <c r="S78" i="25"/>
  <c r="Q78" i="25"/>
  <c r="P78" i="25"/>
  <c r="T77" i="25"/>
  <c r="S77" i="25"/>
  <c r="Q77" i="25"/>
  <c r="P77" i="25"/>
  <c r="T76" i="25"/>
  <c r="S76" i="25"/>
  <c r="Q76" i="25"/>
  <c r="P76" i="25"/>
  <c r="T75" i="25"/>
  <c r="S75" i="25"/>
  <c r="Q75" i="25"/>
  <c r="P75" i="25"/>
  <c r="T74" i="25"/>
  <c r="S74" i="25"/>
  <c r="Q74" i="25"/>
  <c r="P74" i="25"/>
  <c r="T73" i="25"/>
  <c r="S73" i="25"/>
  <c r="Q73" i="25"/>
  <c r="P73" i="25"/>
  <c r="T72" i="25"/>
  <c r="S72" i="25"/>
  <c r="Q72" i="25"/>
  <c r="P72" i="25"/>
  <c r="T71" i="25"/>
  <c r="S71" i="25"/>
  <c r="Q71" i="25"/>
  <c r="P71" i="25"/>
  <c r="T70" i="25"/>
  <c r="S70" i="25"/>
  <c r="Q70" i="25"/>
  <c r="P70" i="25"/>
  <c r="T69" i="25"/>
  <c r="S69" i="25"/>
  <c r="Q69" i="25"/>
  <c r="P69" i="25"/>
  <c r="T68" i="25"/>
  <c r="S68" i="25"/>
  <c r="Q68" i="25"/>
  <c r="P68" i="25"/>
  <c r="T67" i="25"/>
  <c r="S67" i="25"/>
  <c r="Q67" i="25"/>
  <c r="P67" i="25"/>
  <c r="T66" i="25"/>
  <c r="S66" i="25"/>
  <c r="Q66" i="25"/>
  <c r="P66" i="25"/>
  <c r="T65" i="25"/>
  <c r="S65" i="25"/>
  <c r="Q65" i="25"/>
  <c r="P65" i="25"/>
  <c r="T64" i="25"/>
  <c r="S64" i="25"/>
  <c r="T63" i="25"/>
  <c r="S63" i="25"/>
  <c r="T62" i="25"/>
  <c r="S62" i="25"/>
  <c r="T54" i="25"/>
  <c r="B54" i="25"/>
  <c r="Q53" i="25"/>
  <c r="P53" i="25"/>
  <c r="O53" i="25"/>
  <c r="R53" i="25" s="1"/>
  <c r="L53" i="25"/>
  <c r="I53" i="25"/>
  <c r="Q52" i="25"/>
  <c r="P52" i="25"/>
  <c r="O52" i="25"/>
  <c r="R52" i="25" s="1"/>
  <c r="L52" i="25"/>
  <c r="I52" i="25"/>
  <c r="R51" i="25"/>
  <c r="Q51" i="25"/>
  <c r="P51" i="25"/>
  <c r="O51" i="25"/>
  <c r="L51" i="25"/>
  <c r="I51" i="25"/>
  <c r="F51" i="25"/>
  <c r="Q50" i="25"/>
  <c r="P50" i="25"/>
  <c r="O50" i="25"/>
  <c r="R50" i="25" s="1"/>
  <c r="L50" i="25"/>
  <c r="I50" i="25"/>
  <c r="F50" i="25"/>
  <c r="R49" i="25"/>
  <c r="Q49" i="25"/>
  <c r="P49" i="25"/>
  <c r="O49" i="25"/>
  <c r="L49" i="25"/>
  <c r="I49" i="25"/>
  <c r="F49" i="25"/>
  <c r="Q48" i="25"/>
  <c r="P48" i="25"/>
  <c r="O48" i="25"/>
  <c r="R48" i="25" s="1"/>
  <c r="L48" i="25"/>
  <c r="I48" i="25"/>
  <c r="F48" i="25"/>
  <c r="R47" i="25"/>
  <c r="Q47" i="25"/>
  <c r="P47" i="25"/>
  <c r="O47" i="25"/>
  <c r="L47" i="25"/>
  <c r="I47" i="25"/>
  <c r="E47" i="25"/>
  <c r="D47" i="25"/>
  <c r="R46" i="25"/>
  <c r="Q46" i="25"/>
  <c r="P46" i="25"/>
  <c r="O46" i="25"/>
  <c r="L46" i="25"/>
  <c r="I46" i="25"/>
  <c r="F46" i="25"/>
  <c r="Q45" i="25"/>
  <c r="P45" i="25"/>
  <c r="O45" i="25"/>
  <c r="R45" i="25" s="1"/>
  <c r="L45" i="25"/>
  <c r="I45" i="25"/>
  <c r="F45" i="25"/>
  <c r="R44" i="25"/>
  <c r="Q44" i="25"/>
  <c r="P44" i="25"/>
  <c r="O44" i="25"/>
  <c r="L44" i="25"/>
  <c r="I44" i="25"/>
  <c r="F44" i="25"/>
  <c r="Q43" i="25"/>
  <c r="P43" i="25"/>
  <c r="O43" i="25"/>
  <c r="R43" i="25" s="1"/>
  <c r="L43" i="25"/>
  <c r="I43" i="25"/>
  <c r="F43" i="25"/>
  <c r="R42" i="25"/>
  <c r="Q42" i="25"/>
  <c r="P42" i="25"/>
  <c r="O42" i="25"/>
  <c r="L42" i="25"/>
  <c r="I42" i="25"/>
  <c r="E42" i="25"/>
  <c r="D42" i="25"/>
  <c r="R41" i="25"/>
  <c r="Q41" i="25"/>
  <c r="P41" i="25"/>
  <c r="O41" i="25"/>
  <c r="L41" i="25"/>
  <c r="I41" i="25"/>
  <c r="F41" i="25"/>
  <c r="Q40" i="25"/>
  <c r="P40" i="25"/>
  <c r="O40" i="25"/>
  <c r="R40" i="25" s="1"/>
  <c r="L40" i="25"/>
  <c r="I40" i="25"/>
  <c r="F40" i="25"/>
  <c r="R39" i="25"/>
  <c r="Q39" i="25"/>
  <c r="P39" i="25"/>
  <c r="O39" i="25"/>
  <c r="L39" i="25"/>
  <c r="I39" i="25"/>
  <c r="F39" i="25"/>
  <c r="Q38" i="25"/>
  <c r="P38" i="25"/>
  <c r="O38" i="25"/>
  <c r="R38" i="25" s="1"/>
  <c r="L38" i="25"/>
  <c r="I38" i="25"/>
  <c r="F38" i="25"/>
  <c r="R37" i="25"/>
  <c r="Q37" i="25"/>
  <c r="P37" i="25"/>
  <c r="O37" i="25"/>
  <c r="L37" i="25"/>
  <c r="I37" i="25"/>
  <c r="E37" i="25"/>
  <c r="D37" i="25"/>
  <c r="R36" i="25"/>
  <c r="Q36" i="25"/>
  <c r="P36" i="25"/>
  <c r="O36" i="25"/>
  <c r="L36" i="25"/>
  <c r="I36" i="25"/>
  <c r="F36" i="25"/>
  <c r="Q35" i="25"/>
  <c r="P35" i="25"/>
  <c r="O35" i="25"/>
  <c r="R35" i="25" s="1"/>
  <c r="L35" i="25"/>
  <c r="I35" i="25"/>
  <c r="F35" i="25"/>
  <c r="R34" i="25"/>
  <c r="Q34" i="25"/>
  <c r="P34" i="25"/>
  <c r="O34" i="25"/>
  <c r="L34" i="25"/>
  <c r="I34" i="25"/>
  <c r="F34" i="25"/>
  <c r="Q33" i="25"/>
  <c r="P33" i="25"/>
  <c r="O33" i="25"/>
  <c r="R33" i="25" s="1"/>
  <c r="L33" i="25"/>
  <c r="I33" i="25"/>
  <c r="F33" i="25"/>
  <c r="R32" i="25"/>
  <c r="Q32" i="25"/>
  <c r="P32" i="25"/>
  <c r="O32" i="25"/>
  <c r="L32" i="25"/>
  <c r="I32" i="25"/>
  <c r="E32" i="25"/>
  <c r="D32" i="25"/>
  <c r="R31" i="25"/>
  <c r="Q31" i="25"/>
  <c r="P31" i="25"/>
  <c r="O31" i="25"/>
  <c r="L31" i="25"/>
  <c r="I31" i="25"/>
  <c r="F31" i="25"/>
  <c r="Q30" i="25"/>
  <c r="P30" i="25"/>
  <c r="O30" i="25"/>
  <c r="R30" i="25" s="1"/>
  <c r="L30" i="25"/>
  <c r="I30" i="25"/>
  <c r="F30" i="25"/>
  <c r="R29" i="25"/>
  <c r="Q29" i="25"/>
  <c r="P29" i="25"/>
  <c r="O29" i="25"/>
  <c r="L29" i="25"/>
  <c r="I29" i="25"/>
  <c r="F29" i="25"/>
  <c r="Q28" i="25"/>
  <c r="P28" i="25"/>
  <c r="O28" i="25"/>
  <c r="R28" i="25" s="1"/>
  <c r="L28" i="25"/>
  <c r="I28" i="25"/>
  <c r="F28" i="25"/>
  <c r="R27" i="25"/>
  <c r="Q27" i="25"/>
  <c r="P27" i="25"/>
  <c r="O27" i="25"/>
  <c r="L27" i="25"/>
  <c r="I27" i="25"/>
  <c r="E27" i="25"/>
  <c r="D27" i="25"/>
  <c r="R26" i="25"/>
  <c r="Q26" i="25"/>
  <c r="P26" i="25"/>
  <c r="O26" i="25"/>
  <c r="L26" i="25"/>
  <c r="I26" i="25"/>
  <c r="R25" i="25"/>
  <c r="Q25" i="25"/>
  <c r="P25" i="25"/>
  <c r="O25" i="25"/>
  <c r="L25" i="25"/>
  <c r="I25" i="25"/>
  <c r="Q24" i="25"/>
  <c r="P24" i="25"/>
  <c r="O24" i="25"/>
  <c r="R24" i="25" s="1"/>
  <c r="L24" i="25"/>
  <c r="I24" i="25"/>
  <c r="Q23" i="25"/>
  <c r="P23" i="25"/>
  <c r="O23" i="25"/>
  <c r="R23" i="25" s="1"/>
  <c r="L23" i="25"/>
  <c r="I23" i="25"/>
  <c r="Q22" i="25"/>
  <c r="P22" i="25"/>
  <c r="O22" i="25"/>
  <c r="R22" i="25" s="1"/>
  <c r="L22" i="25"/>
  <c r="I22" i="25"/>
  <c r="Q21" i="25"/>
  <c r="P21" i="25"/>
  <c r="O21" i="25"/>
  <c r="R21" i="25" s="1"/>
  <c r="L21" i="25"/>
  <c r="I21" i="25"/>
  <c r="F21" i="25"/>
  <c r="R20" i="25"/>
  <c r="Q20" i="25"/>
  <c r="P20" i="25"/>
  <c r="O20" i="25"/>
  <c r="L20" i="25"/>
  <c r="I20" i="25"/>
  <c r="F20" i="25"/>
  <c r="Q19" i="25"/>
  <c r="P19" i="25"/>
  <c r="O19" i="25"/>
  <c r="R19" i="25" s="1"/>
  <c r="L19" i="25"/>
  <c r="I19" i="25"/>
  <c r="F19" i="25"/>
  <c r="R18" i="25"/>
  <c r="Q18" i="25"/>
  <c r="P18" i="25"/>
  <c r="O18" i="25"/>
  <c r="L18" i="25"/>
  <c r="I18" i="25"/>
  <c r="F18" i="25"/>
  <c r="Q17" i="25"/>
  <c r="P17" i="25"/>
  <c r="O17" i="25"/>
  <c r="R17" i="25" s="1"/>
  <c r="L17" i="25"/>
  <c r="I17" i="25"/>
  <c r="E17" i="25"/>
  <c r="D17" i="25"/>
  <c r="F17" i="25" s="1"/>
  <c r="R16" i="25"/>
  <c r="Q16" i="25"/>
  <c r="P16" i="25"/>
  <c r="O16" i="25"/>
  <c r="L16" i="25"/>
  <c r="I16" i="25"/>
  <c r="F16" i="25"/>
  <c r="Q15" i="25"/>
  <c r="P15" i="25"/>
  <c r="O15" i="25"/>
  <c r="R15" i="25" s="1"/>
  <c r="L15" i="25"/>
  <c r="I15" i="25"/>
  <c r="F15" i="25"/>
  <c r="R14" i="25"/>
  <c r="P64" i="25" s="1"/>
  <c r="Q14" i="25"/>
  <c r="P14" i="25"/>
  <c r="O14" i="25"/>
  <c r="L14" i="25"/>
  <c r="I14" i="25"/>
  <c r="F14" i="25"/>
  <c r="Q13" i="25"/>
  <c r="P13" i="25"/>
  <c r="O13" i="25"/>
  <c r="R13" i="25" s="1"/>
  <c r="L13" i="25"/>
  <c r="I13" i="25"/>
  <c r="F13" i="25"/>
  <c r="R12" i="25"/>
  <c r="P62" i="25" s="1"/>
  <c r="Q12" i="25"/>
  <c r="P12" i="25"/>
  <c r="O12" i="25"/>
  <c r="U62" i="25" s="1"/>
  <c r="L12" i="25"/>
  <c r="I12" i="25"/>
  <c r="E12" i="25"/>
  <c r="D12" i="25"/>
  <c r="P6" i="25"/>
  <c r="N6" i="25"/>
  <c r="M6" i="25"/>
  <c r="L6" i="25"/>
  <c r="K6" i="25"/>
  <c r="J6" i="25"/>
  <c r="H6" i="25"/>
  <c r="G6" i="25"/>
  <c r="P5" i="25"/>
  <c r="N5" i="25"/>
  <c r="M5" i="25"/>
  <c r="L5" i="25"/>
  <c r="L7" i="25" s="1"/>
  <c r="K5" i="25"/>
  <c r="J5" i="25"/>
  <c r="H5" i="25"/>
  <c r="G5" i="25"/>
  <c r="R4" i="25"/>
  <c r="Q4" i="25"/>
  <c r="P4" i="25"/>
  <c r="O4" i="25"/>
  <c r="N4" i="25"/>
  <c r="M4" i="25"/>
  <c r="L4" i="25"/>
  <c r="K4" i="25"/>
  <c r="J4" i="25"/>
  <c r="I4" i="25"/>
  <c r="H4" i="25"/>
  <c r="G4" i="25"/>
  <c r="H1" i="25"/>
  <c r="G1" i="25"/>
  <c r="I104" i="24"/>
  <c r="T103" i="24"/>
  <c r="S103" i="24"/>
  <c r="Q103" i="24"/>
  <c r="P103" i="24"/>
  <c r="T102" i="24"/>
  <c r="S102" i="24"/>
  <c r="Q102" i="24"/>
  <c r="P102" i="24"/>
  <c r="T101" i="24"/>
  <c r="S101" i="24"/>
  <c r="Q101" i="24"/>
  <c r="P101" i="24"/>
  <c r="T100" i="24"/>
  <c r="S100" i="24"/>
  <c r="Q100" i="24"/>
  <c r="P100" i="24"/>
  <c r="T99" i="24"/>
  <c r="S99" i="24"/>
  <c r="Q99" i="24"/>
  <c r="P99" i="24"/>
  <c r="T98" i="24"/>
  <c r="S98" i="24"/>
  <c r="Q98" i="24"/>
  <c r="P98" i="24"/>
  <c r="T97" i="24"/>
  <c r="S97" i="24"/>
  <c r="Q97" i="24"/>
  <c r="P97" i="24"/>
  <c r="T96" i="24"/>
  <c r="S96" i="24"/>
  <c r="Q96" i="24"/>
  <c r="P96" i="24"/>
  <c r="T95" i="24"/>
  <c r="S95" i="24"/>
  <c r="Q95" i="24"/>
  <c r="P95" i="24"/>
  <c r="T94" i="24"/>
  <c r="S94" i="24"/>
  <c r="Q94" i="24"/>
  <c r="P94" i="24"/>
  <c r="T93" i="24"/>
  <c r="S93" i="24"/>
  <c r="Q93" i="24"/>
  <c r="P93" i="24"/>
  <c r="T92" i="24"/>
  <c r="S92" i="24"/>
  <c r="Q92" i="24"/>
  <c r="P92" i="24"/>
  <c r="T91" i="24"/>
  <c r="S91" i="24"/>
  <c r="Q91" i="24"/>
  <c r="P91" i="24"/>
  <c r="T90" i="24"/>
  <c r="S90" i="24"/>
  <c r="Q90" i="24"/>
  <c r="P90" i="24"/>
  <c r="T89" i="24"/>
  <c r="S89" i="24"/>
  <c r="Q89" i="24"/>
  <c r="P89" i="24"/>
  <c r="T88" i="24"/>
  <c r="S88" i="24"/>
  <c r="Q88" i="24"/>
  <c r="P88" i="24"/>
  <c r="T87" i="24"/>
  <c r="S87" i="24"/>
  <c r="Q87" i="24"/>
  <c r="P87" i="24"/>
  <c r="T86" i="24"/>
  <c r="S86" i="24"/>
  <c r="Q86" i="24"/>
  <c r="P86" i="24"/>
  <c r="T85" i="24"/>
  <c r="S85" i="24"/>
  <c r="Q85" i="24"/>
  <c r="P85" i="24"/>
  <c r="T84" i="24"/>
  <c r="S84" i="24"/>
  <c r="Q84" i="24"/>
  <c r="P84" i="24"/>
  <c r="T83" i="24"/>
  <c r="S83" i="24"/>
  <c r="Q83" i="24"/>
  <c r="P83" i="24"/>
  <c r="T82" i="24"/>
  <c r="S82" i="24"/>
  <c r="Q82" i="24"/>
  <c r="P82" i="24"/>
  <c r="T81" i="24"/>
  <c r="S81" i="24"/>
  <c r="Q81" i="24"/>
  <c r="P81" i="24"/>
  <c r="T80" i="24"/>
  <c r="S80" i="24"/>
  <c r="Q80" i="24"/>
  <c r="P80" i="24"/>
  <c r="T79" i="24"/>
  <c r="S79" i="24"/>
  <c r="Q79" i="24"/>
  <c r="P79" i="24"/>
  <c r="T78" i="24"/>
  <c r="S78" i="24"/>
  <c r="Q78" i="24"/>
  <c r="P78" i="24"/>
  <c r="T77" i="24"/>
  <c r="S77" i="24"/>
  <c r="Q77" i="24"/>
  <c r="P77" i="24"/>
  <c r="T76" i="24"/>
  <c r="S76" i="24"/>
  <c r="Q76" i="24"/>
  <c r="P76" i="24"/>
  <c r="T75" i="24"/>
  <c r="S75" i="24"/>
  <c r="Q75" i="24"/>
  <c r="P75" i="24"/>
  <c r="T74" i="24"/>
  <c r="S74" i="24"/>
  <c r="Q74" i="24"/>
  <c r="P74" i="24"/>
  <c r="T73" i="24"/>
  <c r="S73" i="24"/>
  <c r="Q73" i="24"/>
  <c r="P73" i="24"/>
  <c r="T72" i="24"/>
  <c r="S72" i="24"/>
  <c r="Q72" i="24"/>
  <c r="P72" i="24"/>
  <c r="T71" i="24"/>
  <c r="S71" i="24"/>
  <c r="Q71" i="24"/>
  <c r="P71" i="24"/>
  <c r="T70" i="24"/>
  <c r="S70" i="24"/>
  <c r="Q70" i="24"/>
  <c r="P70" i="24"/>
  <c r="T69" i="24"/>
  <c r="S69" i="24"/>
  <c r="Q69" i="24"/>
  <c r="P69" i="24"/>
  <c r="T68" i="24"/>
  <c r="S68" i="24"/>
  <c r="Q68" i="24"/>
  <c r="P68" i="24"/>
  <c r="T67" i="24"/>
  <c r="S67" i="24"/>
  <c r="Q67" i="24"/>
  <c r="P67" i="24"/>
  <c r="T66" i="24"/>
  <c r="S66" i="24"/>
  <c r="Q66" i="24"/>
  <c r="P66" i="24"/>
  <c r="T65" i="24"/>
  <c r="S65" i="24"/>
  <c r="Q65" i="24"/>
  <c r="P65" i="24"/>
  <c r="T64" i="24"/>
  <c r="S64" i="24"/>
  <c r="Q64" i="24"/>
  <c r="P64" i="24"/>
  <c r="T63" i="24"/>
  <c r="S63" i="24"/>
  <c r="Q63" i="24"/>
  <c r="P63" i="24"/>
  <c r="T62" i="24"/>
  <c r="S62" i="24"/>
  <c r="Q62" i="24"/>
  <c r="P62" i="24"/>
  <c r="T54" i="24"/>
  <c r="B54" i="24"/>
  <c r="Q53" i="24"/>
  <c r="P53" i="24"/>
  <c r="O53" i="24"/>
  <c r="R53" i="24" s="1"/>
  <c r="L53" i="24"/>
  <c r="I53" i="24"/>
  <c r="R52" i="24" s="1"/>
  <c r="Q52" i="24"/>
  <c r="P52" i="24"/>
  <c r="O52" i="24"/>
  <c r="U102" i="24" s="1"/>
  <c r="L52" i="24"/>
  <c r="I52" i="24"/>
  <c r="Q51" i="24"/>
  <c r="P51" i="24"/>
  <c r="O51" i="24"/>
  <c r="R51" i="24" s="1"/>
  <c r="L51" i="24"/>
  <c r="I51" i="24"/>
  <c r="F51" i="24"/>
  <c r="Q50" i="24"/>
  <c r="P50" i="24"/>
  <c r="O50" i="24"/>
  <c r="U100" i="24" s="1"/>
  <c r="L50" i="24"/>
  <c r="I50" i="24"/>
  <c r="F50" i="24"/>
  <c r="R49" i="24"/>
  <c r="Q49" i="24"/>
  <c r="P49" i="24"/>
  <c r="O49" i="24"/>
  <c r="L49" i="24"/>
  <c r="I49" i="24"/>
  <c r="F49" i="24"/>
  <c r="R48" i="24" s="1"/>
  <c r="Q48" i="24"/>
  <c r="P48" i="24"/>
  <c r="O48" i="24"/>
  <c r="U98" i="24" s="1"/>
  <c r="L48" i="24"/>
  <c r="I48" i="24"/>
  <c r="F48" i="24"/>
  <c r="Q47" i="24"/>
  <c r="P47" i="24"/>
  <c r="O47" i="24"/>
  <c r="R47" i="24" s="1"/>
  <c r="L47" i="24"/>
  <c r="I47" i="24"/>
  <c r="E47" i="24"/>
  <c r="D47" i="24"/>
  <c r="R46" i="24" s="1"/>
  <c r="Q46" i="24"/>
  <c r="P46" i="24"/>
  <c r="O46" i="24"/>
  <c r="U96" i="24" s="1"/>
  <c r="L46" i="24"/>
  <c r="I46" i="24"/>
  <c r="F46" i="24"/>
  <c r="Q45" i="24"/>
  <c r="P45" i="24"/>
  <c r="O45" i="24"/>
  <c r="R45" i="24" s="1"/>
  <c r="L45" i="24"/>
  <c r="I45" i="24"/>
  <c r="F45" i="24"/>
  <c r="Q44" i="24"/>
  <c r="P44" i="24"/>
  <c r="O44" i="24"/>
  <c r="U94" i="24" s="1"/>
  <c r="L44" i="24"/>
  <c r="I44" i="24"/>
  <c r="F44" i="24"/>
  <c r="R43" i="24"/>
  <c r="Q43" i="24"/>
  <c r="P43" i="24"/>
  <c r="O43" i="24"/>
  <c r="L43" i="24"/>
  <c r="I43" i="24"/>
  <c r="F43" i="24"/>
  <c r="R42" i="24" s="1"/>
  <c r="Q42" i="24"/>
  <c r="P42" i="24"/>
  <c r="O42" i="24"/>
  <c r="U92" i="24" s="1"/>
  <c r="L42" i="24"/>
  <c r="I42" i="24"/>
  <c r="E42" i="24"/>
  <c r="D42" i="24"/>
  <c r="R41" i="24"/>
  <c r="Q41" i="24"/>
  <c r="P41" i="24"/>
  <c r="O41" i="24"/>
  <c r="L41" i="24"/>
  <c r="I41" i="24"/>
  <c r="F41" i="24"/>
  <c r="R40" i="24" s="1"/>
  <c r="Q40" i="24"/>
  <c r="P40" i="24"/>
  <c r="O40" i="24"/>
  <c r="U90" i="24" s="1"/>
  <c r="L40" i="24"/>
  <c r="I40" i="24"/>
  <c r="F40" i="24"/>
  <c r="Q39" i="24"/>
  <c r="P39" i="24"/>
  <c r="O39" i="24"/>
  <c r="R39" i="24" s="1"/>
  <c r="L39" i="24"/>
  <c r="I39" i="24"/>
  <c r="F39" i="24"/>
  <c r="Q38" i="24"/>
  <c r="P38" i="24"/>
  <c r="O38" i="24"/>
  <c r="U88" i="24" s="1"/>
  <c r="L38" i="24"/>
  <c r="I38" i="24"/>
  <c r="F38" i="24"/>
  <c r="R37" i="24"/>
  <c r="Q37" i="24"/>
  <c r="P37" i="24"/>
  <c r="O37" i="24"/>
  <c r="L37" i="24"/>
  <c r="I37" i="24"/>
  <c r="E37" i="24"/>
  <c r="D37" i="24"/>
  <c r="Q36" i="24"/>
  <c r="P36" i="24"/>
  <c r="O36" i="24"/>
  <c r="U86" i="24" s="1"/>
  <c r="L36" i="24"/>
  <c r="I36" i="24"/>
  <c r="F36" i="24"/>
  <c r="R35" i="24"/>
  <c r="Q35" i="24"/>
  <c r="P35" i="24"/>
  <c r="O35" i="24"/>
  <c r="L35" i="24"/>
  <c r="I35" i="24"/>
  <c r="F35" i="24"/>
  <c r="R34" i="24" s="1"/>
  <c r="Q34" i="24"/>
  <c r="P34" i="24"/>
  <c r="O34" i="24"/>
  <c r="U84" i="24" s="1"/>
  <c r="L34" i="24"/>
  <c r="I34" i="24"/>
  <c r="F34" i="24"/>
  <c r="Q33" i="24"/>
  <c r="P33" i="24"/>
  <c r="O33" i="24"/>
  <c r="R33" i="24" s="1"/>
  <c r="L33" i="24"/>
  <c r="I33" i="24"/>
  <c r="F33" i="24"/>
  <c r="Q32" i="24"/>
  <c r="P32" i="24"/>
  <c r="O32" i="24"/>
  <c r="U82" i="24" s="1"/>
  <c r="L32" i="24"/>
  <c r="I32" i="24"/>
  <c r="E32" i="24"/>
  <c r="D32" i="24"/>
  <c r="Q31" i="24"/>
  <c r="P31" i="24"/>
  <c r="O31" i="24"/>
  <c r="R31" i="24" s="1"/>
  <c r="L31" i="24"/>
  <c r="I31" i="24"/>
  <c r="F31" i="24"/>
  <c r="R30" i="24"/>
  <c r="Q30" i="24"/>
  <c r="P30" i="24"/>
  <c r="O30" i="24"/>
  <c r="L30" i="24"/>
  <c r="I30" i="24"/>
  <c r="F30" i="24"/>
  <c r="Q29" i="24"/>
  <c r="P29" i="24"/>
  <c r="O29" i="24"/>
  <c r="R29" i="24" s="1"/>
  <c r="L29" i="24"/>
  <c r="I29" i="24"/>
  <c r="F29" i="24"/>
  <c r="R28" i="24"/>
  <c r="Q28" i="24"/>
  <c r="P28" i="24"/>
  <c r="O28" i="24"/>
  <c r="L28" i="24"/>
  <c r="I28" i="24"/>
  <c r="F28" i="24"/>
  <c r="Q27" i="24"/>
  <c r="P27" i="24"/>
  <c r="O27" i="24"/>
  <c r="R27" i="24" s="1"/>
  <c r="L27" i="24"/>
  <c r="I27" i="24"/>
  <c r="E27" i="24"/>
  <c r="D27" i="24"/>
  <c r="Q26" i="24"/>
  <c r="P26" i="24"/>
  <c r="O26" i="24"/>
  <c r="R26" i="24" s="1"/>
  <c r="L26" i="24"/>
  <c r="I26" i="24"/>
  <c r="Q25" i="24"/>
  <c r="P25" i="24"/>
  <c r="O25" i="24"/>
  <c r="R25" i="24" s="1"/>
  <c r="L25" i="24"/>
  <c r="I25" i="24"/>
  <c r="Q24" i="24"/>
  <c r="P24" i="24"/>
  <c r="O24" i="24"/>
  <c r="R24" i="24" s="1"/>
  <c r="L24" i="24"/>
  <c r="I24" i="24"/>
  <c r="R23" i="24"/>
  <c r="Q23" i="24"/>
  <c r="P23" i="24"/>
  <c r="O23" i="24"/>
  <c r="L23" i="24"/>
  <c r="I23" i="24"/>
  <c r="R22" i="24"/>
  <c r="Q22" i="24"/>
  <c r="P22" i="24"/>
  <c r="O22" i="24"/>
  <c r="L22" i="24"/>
  <c r="I22" i="24"/>
  <c r="Q21" i="24"/>
  <c r="P21" i="24"/>
  <c r="O21" i="24"/>
  <c r="R21" i="24" s="1"/>
  <c r="L21" i="24"/>
  <c r="I21" i="24"/>
  <c r="F21" i="24"/>
  <c r="R20" i="24"/>
  <c r="Q20" i="24"/>
  <c r="P20" i="24"/>
  <c r="O20" i="24"/>
  <c r="L20" i="24"/>
  <c r="I20" i="24"/>
  <c r="F20" i="24"/>
  <c r="Q19" i="24"/>
  <c r="P19" i="24"/>
  <c r="O19" i="24"/>
  <c r="R19" i="24" s="1"/>
  <c r="L19" i="24"/>
  <c r="I19" i="24"/>
  <c r="F19" i="24"/>
  <c r="R18" i="24"/>
  <c r="Q18" i="24"/>
  <c r="P18" i="24"/>
  <c r="O18" i="24"/>
  <c r="L18" i="24"/>
  <c r="I18" i="24"/>
  <c r="F18" i="24"/>
  <c r="Q17" i="24"/>
  <c r="P17" i="24"/>
  <c r="O17" i="24"/>
  <c r="R17" i="24" s="1"/>
  <c r="L17" i="24"/>
  <c r="I17" i="24"/>
  <c r="E17" i="24"/>
  <c r="D17" i="24"/>
  <c r="F17" i="24" s="1"/>
  <c r="R16" i="24"/>
  <c r="Q16" i="24"/>
  <c r="P16" i="24"/>
  <c r="O16" i="24"/>
  <c r="L16" i="24"/>
  <c r="I16" i="24"/>
  <c r="F16" i="24"/>
  <c r="Q15" i="24"/>
  <c r="P15" i="24"/>
  <c r="O15" i="24"/>
  <c r="R15" i="24" s="1"/>
  <c r="L15" i="24"/>
  <c r="I15" i="24"/>
  <c r="F15" i="24"/>
  <c r="R14" i="24"/>
  <c r="Q14" i="24"/>
  <c r="P14" i="24"/>
  <c r="O14" i="24"/>
  <c r="L14" i="24"/>
  <c r="I14" i="24"/>
  <c r="F14" i="24"/>
  <c r="Q13" i="24"/>
  <c r="P13" i="24"/>
  <c r="O13" i="24"/>
  <c r="R13" i="24" s="1"/>
  <c r="L13" i="24"/>
  <c r="I13" i="24"/>
  <c r="F13" i="24"/>
  <c r="R12" i="24"/>
  <c r="Q12" i="24"/>
  <c r="P12" i="24"/>
  <c r="O12" i="24"/>
  <c r="G104" i="24" s="1"/>
  <c r="U103" i="24" s="1"/>
  <c r="L12" i="24"/>
  <c r="I12" i="24"/>
  <c r="E12" i="24"/>
  <c r="D12" i="24"/>
  <c r="P6" i="24"/>
  <c r="N6" i="24"/>
  <c r="M6" i="24"/>
  <c r="L6" i="24"/>
  <c r="K6" i="24"/>
  <c r="J6" i="24"/>
  <c r="H6" i="24"/>
  <c r="G6" i="24"/>
  <c r="P5" i="24"/>
  <c r="N5" i="24"/>
  <c r="M5" i="24"/>
  <c r="L5" i="24"/>
  <c r="L7" i="24" s="1"/>
  <c r="K5" i="24"/>
  <c r="J5" i="24"/>
  <c r="H5" i="24"/>
  <c r="R4" i="24"/>
  <c r="Q4" i="24"/>
  <c r="P4" i="24"/>
  <c r="O4" i="24"/>
  <c r="N4" i="24"/>
  <c r="M4" i="24"/>
  <c r="L4" i="24"/>
  <c r="K4" i="24"/>
  <c r="J4" i="24"/>
  <c r="I4" i="24"/>
  <c r="H4" i="24"/>
  <c r="G4" i="24"/>
  <c r="H1" i="24"/>
  <c r="G1" i="24"/>
  <c r="T143" i="22"/>
  <c r="S143" i="22"/>
  <c r="T142" i="22"/>
  <c r="S142" i="22"/>
  <c r="T141" i="22"/>
  <c r="S141" i="22"/>
  <c r="T140" i="22"/>
  <c r="S140" i="22"/>
  <c r="T139" i="22"/>
  <c r="S139" i="22"/>
  <c r="T138" i="22"/>
  <c r="S138" i="22"/>
  <c r="T137" i="22"/>
  <c r="S137" i="22"/>
  <c r="T136" i="22"/>
  <c r="S136" i="22"/>
  <c r="U136" i="22" s="1"/>
  <c r="T135" i="22"/>
  <c r="S135" i="22"/>
  <c r="U135" i="22" s="1"/>
  <c r="T134" i="22"/>
  <c r="S134" i="22"/>
  <c r="U134" i="22" s="1"/>
  <c r="T133" i="22"/>
  <c r="S133" i="22"/>
  <c r="U133" i="22" s="1"/>
  <c r="T132" i="22"/>
  <c r="S132" i="22"/>
  <c r="U132" i="22" s="1"/>
  <c r="T131" i="22"/>
  <c r="S131" i="22"/>
  <c r="U131" i="22" s="1"/>
  <c r="T130" i="22"/>
  <c r="S130" i="22"/>
  <c r="U130" i="22" s="1"/>
  <c r="T129" i="22"/>
  <c r="S129" i="22"/>
  <c r="U129" i="22" s="1"/>
  <c r="T128" i="22"/>
  <c r="S128" i="22"/>
  <c r="U128" i="22" s="1"/>
  <c r="T127" i="22"/>
  <c r="S127" i="22"/>
  <c r="U127" i="22" s="1"/>
  <c r="T126" i="22"/>
  <c r="S126" i="22"/>
  <c r="U126" i="22" s="1"/>
  <c r="T125" i="22"/>
  <c r="S125" i="22"/>
  <c r="U125" i="22" s="1"/>
  <c r="T124" i="22"/>
  <c r="S124" i="22"/>
  <c r="U124" i="22" s="1"/>
  <c r="T123" i="22"/>
  <c r="S123" i="22"/>
  <c r="U123" i="22" s="1"/>
  <c r="T122" i="22"/>
  <c r="S122" i="22"/>
  <c r="U122" i="22" s="1"/>
  <c r="T121" i="22"/>
  <c r="S121" i="22"/>
  <c r="U121" i="22" s="1"/>
  <c r="T120" i="22"/>
  <c r="S120" i="22"/>
  <c r="U120" i="22" s="1"/>
  <c r="T119" i="22"/>
  <c r="S119" i="22"/>
  <c r="U119" i="22" s="1"/>
  <c r="T118" i="22"/>
  <c r="S118" i="22"/>
  <c r="U118" i="22" s="1"/>
  <c r="T117" i="22"/>
  <c r="S117" i="22"/>
  <c r="U117" i="22" s="1"/>
  <c r="T116" i="22"/>
  <c r="S116" i="22"/>
  <c r="U116" i="22" s="1"/>
  <c r="T115" i="22"/>
  <c r="S115" i="22"/>
  <c r="U115" i="22" s="1"/>
  <c r="T114" i="22"/>
  <c r="S114" i="22"/>
  <c r="U114" i="22" s="1"/>
  <c r="T113" i="22"/>
  <c r="S113" i="22"/>
  <c r="U113" i="22" s="1"/>
  <c r="T112" i="22"/>
  <c r="S112" i="22"/>
  <c r="U112" i="22" s="1"/>
  <c r="T111" i="22"/>
  <c r="S111" i="22"/>
  <c r="U111" i="22" s="1"/>
  <c r="T110" i="22"/>
  <c r="S110" i="22" s="1"/>
  <c r="U110" i="22" s="1"/>
  <c r="T109" i="22"/>
  <c r="S109" i="22"/>
  <c r="T108" i="22"/>
  <c r="S108" i="22"/>
  <c r="T107" i="22"/>
  <c r="S107" i="22"/>
  <c r="T106" i="22"/>
  <c r="S106" i="22"/>
  <c r="T105" i="22"/>
  <c r="S105" i="22"/>
  <c r="T104" i="22"/>
  <c r="S104" i="22"/>
  <c r="T103" i="22"/>
  <c r="S103" i="22"/>
  <c r="T102" i="22"/>
  <c r="S102" i="22"/>
  <c r="T101" i="22"/>
  <c r="S101" i="22"/>
  <c r="U101" i="22" s="1"/>
  <c r="T100" i="22"/>
  <c r="S100" i="22"/>
  <c r="U100" i="22" s="1"/>
  <c r="T99" i="22"/>
  <c r="S99" i="22"/>
  <c r="U99" i="22" s="1"/>
  <c r="T98" i="22"/>
  <c r="S98" i="22"/>
  <c r="U98" i="22" s="1"/>
  <c r="T97" i="22"/>
  <c r="S97" i="22"/>
  <c r="U97" i="22" s="1"/>
  <c r="T96" i="22"/>
  <c r="S96" i="22" s="1"/>
  <c r="U96" i="22" s="1"/>
  <c r="T95" i="22"/>
  <c r="S95" i="22"/>
  <c r="U95" i="22" s="1"/>
  <c r="T94" i="22"/>
  <c r="S94" i="22"/>
  <c r="U94" i="22" s="1"/>
  <c r="T93" i="22"/>
  <c r="S93" i="22"/>
  <c r="U93" i="22" s="1"/>
  <c r="T92" i="22"/>
  <c r="S92" i="22"/>
  <c r="U92" i="22" s="1"/>
  <c r="T91" i="22"/>
  <c r="S91" i="22"/>
  <c r="U91" i="22" s="1"/>
  <c r="T90" i="22"/>
  <c r="S90" i="22"/>
  <c r="U90" i="22" s="1"/>
  <c r="T89" i="22"/>
  <c r="S89" i="22"/>
  <c r="U89" i="22" s="1"/>
  <c r="T88" i="22"/>
  <c r="S88" i="22"/>
  <c r="U88" i="22" s="1"/>
  <c r="T87" i="22"/>
  <c r="S87" i="22"/>
  <c r="U87" i="22" s="1"/>
  <c r="T86" i="22"/>
  <c r="S86" i="22"/>
  <c r="U86" i="22" s="1"/>
  <c r="T85" i="22"/>
  <c r="S85" i="22"/>
  <c r="U85" i="22" s="1"/>
  <c r="T84" i="22"/>
  <c r="S84" i="22"/>
  <c r="S144" i="22" s="1"/>
  <c r="D52" i="22" s="1"/>
  <c r="D75" i="22"/>
  <c r="C75" i="22"/>
  <c r="E75" i="22" s="1"/>
  <c r="T72" i="22"/>
  <c r="Q71" i="22"/>
  <c r="P71" i="22"/>
  <c r="O71" i="22"/>
  <c r="R71" i="22" s="1"/>
  <c r="L71" i="22"/>
  <c r="I71" i="22"/>
  <c r="Q70" i="22"/>
  <c r="P70" i="22"/>
  <c r="O70" i="22"/>
  <c r="R70" i="22" s="1"/>
  <c r="L70" i="22"/>
  <c r="E70" i="22" s="1"/>
  <c r="D70" i="22"/>
  <c r="Q69" i="22"/>
  <c r="P69" i="22"/>
  <c r="O69" i="22"/>
  <c r="R69" i="22" s="1"/>
  <c r="L69" i="22"/>
  <c r="I69" i="22"/>
  <c r="Q68" i="22"/>
  <c r="P68" i="22"/>
  <c r="O68" i="22"/>
  <c r="R68" i="22" s="1"/>
  <c r="L68" i="22"/>
  <c r="I68" i="22"/>
  <c r="Q67" i="22"/>
  <c r="P67" i="22"/>
  <c r="O67" i="22"/>
  <c r="R67" i="22" s="1"/>
  <c r="L67" i="22"/>
  <c r="I67" i="22"/>
  <c r="Q66" i="22"/>
  <c r="P66" i="22"/>
  <c r="O66" i="22"/>
  <c r="R66" i="22" s="1"/>
  <c r="L66" i="22"/>
  <c r="I66" i="22"/>
  <c r="Q65" i="22"/>
  <c r="P65" i="22"/>
  <c r="O65" i="22"/>
  <c r="R65" i="22" s="1"/>
  <c r="L65" i="22"/>
  <c r="I65" i="22"/>
  <c r="Q64" i="22"/>
  <c r="P64" i="22"/>
  <c r="O64" i="22"/>
  <c r="R64" i="22" s="1"/>
  <c r="L64" i="22"/>
  <c r="I64" i="22"/>
  <c r="D64" i="22"/>
  <c r="C64" i="22"/>
  <c r="Q63" i="22"/>
  <c r="P63" i="22"/>
  <c r="O63" i="22"/>
  <c r="R63" i="22" s="1"/>
  <c r="L63" i="22"/>
  <c r="I63" i="22"/>
  <c r="Q62" i="22"/>
  <c r="P62" i="22"/>
  <c r="O62" i="22"/>
  <c r="R62" i="22" s="1"/>
  <c r="L62" i="22"/>
  <c r="I62" i="22"/>
  <c r="Q61" i="22"/>
  <c r="P61" i="22"/>
  <c r="O61" i="22"/>
  <c r="R61" i="22" s="1"/>
  <c r="L61" i="22"/>
  <c r="I61" i="22"/>
  <c r="Q60" i="22"/>
  <c r="P60" i="22"/>
  <c r="O60" i="22"/>
  <c r="R60" i="22" s="1"/>
  <c r="L60" i="22"/>
  <c r="I60" i="22"/>
  <c r="Q59" i="22"/>
  <c r="P59" i="22"/>
  <c r="O59" i="22"/>
  <c r="R59" i="22" s="1"/>
  <c r="L59" i="22"/>
  <c r="I59" i="22"/>
  <c r="Q58" i="22"/>
  <c r="P58" i="22"/>
  <c r="O58" i="22"/>
  <c r="R58" i="22" s="1"/>
  <c r="L58" i="22"/>
  <c r="I58" i="22"/>
  <c r="Q57" i="22"/>
  <c r="P57" i="22"/>
  <c r="O57" i="22"/>
  <c r="R57" i="22" s="1"/>
  <c r="L57" i="22"/>
  <c r="I57" i="22"/>
  <c r="D57" i="22"/>
  <c r="Q56" i="22"/>
  <c r="P56" i="22"/>
  <c r="O56" i="22"/>
  <c r="R56" i="22" s="1"/>
  <c r="L56" i="22"/>
  <c r="I56" i="22"/>
  <c r="Q55" i="22"/>
  <c r="P55" i="22"/>
  <c r="O55" i="22"/>
  <c r="R55" i="22" s="1"/>
  <c r="L55" i="22"/>
  <c r="I55" i="22"/>
  <c r="Q54" i="22"/>
  <c r="P54" i="22"/>
  <c r="O54" i="22"/>
  <c r="R54" i="22" s="1"/>
  <c r="L54" i="22"/>
  <c r="I54" i="22"/>
  <c r="B54" i="22"/>
  <c r="Q53" i="22"/>
  <c r="P53" i="22"/>
  <c r="O53" i="22"/>
  <c r="R53" i="22" s="1"/>
  <c r="L53" i="22"/>
  <c r="I53" i="22"/>
  <c r="Q52" i="22"/>
  <c r="P52" i="22"/>
  <c r="O52" i="22"/>
  <c r="R52" i="22" s="1"/>
  <c r="L52" i="22"/>
  <c r="I52" i="22"/>
  <c r="Q51" i="22"/>
  <c r="P51" i="22"/>
  <c r="O51" i="22"/>
  <c r="R51" i="22" s="1"/>
  <c r="L51" i="22"/>
  <c r="I51" i="22"/>
  <c r="F51" i="22"/>
  <c r="Q50" i="22"/>
  <c r="P50" i="22"/>
  <c r="O50" i="22"/>
  <c r="R50" i="22" s="1"/>
  <c r="L50" i="22"/>
  <c r="I50" i="22"/>
  <c r="F50" i="22"/>
  <c r="R49" i="22"/>
  <c r="Q49" i="22"/>
  <c r="P49" i="22"/>
  <c r="O49" i="22"/>
  <c r="L49" i="22"/>
  <c r="I49" i="22"/>
  <c r="F49" i="22"/>
  <c r="Q48" i="22"/>
  <c r="P48" i="22"/>
  <c r="O48" i="22"/>
  <c r="R48" i="22" s="1"/>
  <c r="L48" i="22"/>
  <c r="I48" i="22"/>
  <c r="F48" i="22"/>
  <c r="Q47" i="22"/>
  <c r="P47" i="22"/>
  <c r="O47" i="22"/>
  <c r="R47" i="22" s="1"/>
  <c r="L47" i="22"/>
  <c r="I47" i="22"/>
  <c r="E47" i="22"/>
  <c r="D47" i="22"/>
  <c r="Q46" i="22"/>
  <c r="P46" i="22"/>
  <c r="O46" i="22"/>
  <c r="R46" i="22" s="1"/>
  <c r="L46" i="22"/>
  <c r="I46" i="22"/>
  <c r="F46" i="22"/>
  <c r="Q45" i="22"/>
  <c r="P45" i="22"/>
  <c r="O45" i="22"/>
  <c r="R45" i="22" s="1"/>
  <c r="L45" i="22"/>
  <c r="I45" i="22"/>
  <c r="F45" i="22"/>
  <c r="R44" i="22"/>
  <c r="Q44" i="22"/>
  <c r="P44" i="22"/>
  <c r="O44" i="22"/>
  <c r="L44" i="22"/>
  <c r="I44" i="22"/>
  <c r="F44" i="22"/>
  <c r="Q43" i="22"/>
  <c r="P43" i="22"/>
  <c r="O43" i="22"/>
  <c r="R43" i="22" s="1"/>
  <c r="L43" i="22"/>
  <c r="I43" i="22"/>
  <c r="F43" i="22"/>
  <c r="Q42" i="22"/>
  <c r="P42" i="22"/>
  <c r="O42" i="22"/>
  <c r="R42" i="22" s="1"/>
  <c r="L42" i="22"/>
  <c r="I42" i="22"/>
  <c r="E42" i="22"/>
  <c r="D42" i="22"/>
  <c r="Q41" i="22"/>
  <c r="P41" i="22"/>
  <c r="O41" i="22"/>
  <c r="R41" i="22" s="1"/>
  <c r="L41" i="22"/>
  <c r="I41" i="22"/>
  <c r="F41" i="22"/>
  <c r="Q40" i="22"/>
  <c r="P40" i="22"/>
  <c r="O40" i="22"/>
  <c r="R40" i="22" s="1"/>
  <c r="L40" i="22"/>
  <c r="I40" i="22"/>
  <c r="F40" i="22"/>
  <c r="R39" i="22"/>
  <c r="Q39" i="22"/>
  <c r="P39" i="22"/>
  <c r="O39" i="22"/>
  <c r="L39" i="22"/>
  <c r="I39" i="22"/>
  <c r="F39" i="22" s="1"/>
  <c r="Q38" i="22"/>
  <c r="P38" i="22"/>
  <c r="O38" i="22"/>
  <c r="R38" i="22" s="1"/>
  <c r="L38" i="22"/>
  <c r="I38" i="22"/>
  <c r="F38" i="22"/>
  <c r="Q37" i="22"/>
  <c r="P37" i="22"/>
  <c r="O37" i="22"/>
  <c r="R37" i="22" s="1"/>
  <c r="L37" i="22"/>
  <c r="I37" i="22"/>
  <c r="E37" i="22"/>
  <c r="D37" i="22"/>
  <c r="Q36" i="22"/>
  <c r="P36" i="22"/>
  <c r="O36" i="22"/>
  <c r="R36" i="22" s="1"/>
  <c r="L36" i="22"/>
  <c r="I36" i="22"/>
  <c r="F36" i="22"/>
  <c r="Q35" i="22"/>
  <c r="P35" i="22"/>
  <c r="O35" i="22"/>
  <c r="R35" i="22" s="1"/>
  <c r="L35" i="22"/>
  <c r="I35" i="22"/>
  <c r="F35" i="22"/>
  <c r="Q34" i="22"/>
  <c r="P34" i="22"/>
  <c r="O34" i="22"/>
  <c r="R34" i="22" s="1"/>
  <c r="L34" i="22"/>
  <c r="I34" i="22"/>
  <c r="F34" i="22"/>
  <c r="Q33" i="22"/>
  <c r="P33" i="22"/>
  <c r="O33" i="22"/>
  <c r="R33" i="22" s="1"/>
  <c r="L33" i="22"/>
  <c r="I33" i="22"/>
  <c r="F33" i="22"/>
  <c r="Q32" i="22"/>
  <c r="P32" i="22"/>
  <c r="O32" i="22"/>
  <c r="R32" i="22" s="1"/>
  <c r="L32" i="22"/>
  <c r="I32" i="22"/>
  <c r="E32" i="22"/>
  <c r="D32" i="22"/>
  <c r="F32" i="22" s="1"/>
  <c r="Q31" i="22"/>
  <c r="P31" i="22"/>
  <c r="O31" i="22"/>
  <c r="R31" i="22" s="1"/>
  <c r="L31" i="22"/>
  <c r="I31" i="22"/>
  <c r="F31" i="22"/>
  <c r="Q30" i="22"/>
  <c r="P30" i="22"/>
  <c r="O30" i="22"/>
  <c r="R30" i="22" s="1"/>
  <c r="L30" i="22"/>
  <c r="I30" i="22"/>
  <c r="F30" i="22"/>
  <c r="Q29" i="22"/>
  <c r="P29" i="22"/>
  <c r="O29" i="22"/>
  <c r="R29" i="22" s="1"/>
  <c r="L29" i="22"/>
  <c r="I29" i="22"/>
  <c r="F29" i="22"/>
  <c r="Q28" i="22"/>
  <c r="P28" i="22"/>
  <c r="O28" i="22"/>
  <c r="R28" i="22" s="1"/>
  <c r="L28" i="22"/>
  <c r="I28" i="22"/>
  <c r="F28" i="22"/>
  <c r="R27" i="22"/>
  <c r="Q27" i="22"/>
  <c r="P27" i="22"/>
  <c r="O27" i="22"/>
  <c r="L27" i="22"/>
  <c r="I27" i="22"/>
  <c r="E27" i="22"/>
  <c r="D27" i="22"/>
  <c r="R26" i="22"/>
  <c r="Q26" i="22"/>
  <c r="P26" i="22"/>
  <c r="O26" i="22"/>
  <c r="L26" i="22"/>
  <c r="I26" i="22"/>
  <c r="R25" i="22"/>
  <c r="Q25" i="22"/>
  <c r="P25" i="22"/>
  <c r="O25" i="22"/>
  <c r="L25" i="22"/>
  <c r="I25" i="22"/>
  <c r="R24" i="22"/>
  <c r="Q24" i="22"/>
  <c r="P24" i="22"/>
  <c r="O24" i="22"/>
  <c r="L24" i="22"/>
  <c r="I24" i="22"/>
  <c r="R23" i="22"/>
  <c r="Q23" i="22"/>
  <c r="P23" i="22"/>
  <c r="O23" i="22"/>
  <c r="L23" i="22"/>
  <c r="I23" i="22"/>
  <c r="Q22" i="22"/>
  <c r="P22" i="22"/>
  <c r="O22" i="22"/>
  <c r="R22" i="22" s="1"/>
  <c r="L22" i="22"/>
  <c r="I22" i="22"/>
  <c r="Q21" i="22"/>
  <c r="P21" i="22"/>
  <c r="O21" i="22"/>
  <c r="R21" i="22" s="1"/>
  <c r="L21" i="22"/>
  <c r="I21" i="22"/>
  <c r="F21" i="22"/>
  <c r="Q20" i="22"/>
  <c r="P20" i="22"/>
  <c r="O20" i="22"/>
  <c r="R20" i="22" s="1"/>
  <c r="L20" i="22"/>
  <c r="I20" i="22"/>
  <c r="F20" i="22"/>
  <c r="Q19" i="22"/>
  <c r="P19" i="22"/>
  <c r="O19" i="22"/>
  <c r="R19" i="22" s="1"/>
  <c r="L19" i="22"/>
  <c r="I19" i="22"/>
  <c r="F19" i="22"/>
  <c r="Q18" i="22"/>
  <c r="P18" i="22"/>
  <c r="O18" i="22"/>
  <c r="R18" i="22" s="1"/>
  <c r="L18" i="22"/>
  <c r="I18" i="22"/>
  <c r="F18" i="22" s="1"/>
  <c r="Q17" i="22"/>
  <c r="P17" i="22"/>
  <c r="O17" i="22"/>
  <c r="R17" i="22" s="1"/>
  <c r="L17" i="22"/>
  <c r="I17" i="22"/>
  <c r="D17" i="22"/>
  <c r="D24" i="22" s="1"/>
  <c r="Q16" i="22"/>
  <c r="P16" i="22"/>
  <c r="O16" i="22"/>
  <c r="R16" i="22" s="1"/>
  <c r="L16" i="22"/>
  <c r="I16" i="22"/>
  <c r="F16" i="22"/>
  <c r="Q15" i="22"/>
  <c r="P15" i="22"/>
  <c r="O15" i="22"/>
  <c r="R15" i="22" s="1"/>
  <c r="L15" i="22"/>
  <c r="I15" i="22"/>
  <c r="F15" i="22"/>
  <c r="Q14" i="22"/>
  <c r="P14" i="22"/>
  <c r="O14" i="22"/>
  <c r="R14" i="22" s="1"/>
  <c r="L14" i="22"/>
  <c r="I14" i="22"/>
  <c r="F14" i="22" s="1"/>
  <c r="Q13" i="22"/>
  <c r="P13" i="22"/>
  <c r="O13" i="22"/>
  <c r="R13" i="22" s="1"/>
  <c r="L13" i="22"/>
  <c r="I13" i="22"/>
  <c r="F13" i="22" s="1"/>
  <c r="R12" i="22"/>
  <c r="Q12" i="22"/>
  <c r="P12" i="22"/>
  <c r="O12" i="22"/>
  <c r="G144" i="22" s="1"/>
  <c r="L12" i="22"/>
  <c r="I12" i="22"/>
  <c r="E12" i="22"/>
  <c r="D12" i="22"/>
  <c r="P6" i="22"/>
  <c r="N6" i="22"/>
  <c r="M6" i="22"/>
  <c r="L6" i="22" s="1"/>
  <c r="K6" i="22"/>
  <c r="J6" i="22"/>
  <c r="G6" i="22"/>
  <c r="P5" i="22"/>
  <c r="O5" i="22"/>
  <c r="N5" i="22"/>
  <c r="M5" i="22"/>
  <c r="L5" i="22"/>
  <c r="K5" i="22"/>
  <c r="J5" i="22"/>
  <c r="H5" i="22"/>
  <c r="G5" i="22"/>
  <c r="R4" i="22"/>
  <c r="Q4" i="22"/>
  <c r="P4" i="22"/>
  <c r="O4" i="22"/>
  <c r="N4" i="22"/>
  <c r="M4" i="22"/>
  <c r="L4" i="22"/>
  <c r="K4" i="22"/>
  <c r="J4" i="22"/>
  <c r="I4" i="22"/>
  <c r="H4" i="22"/>
  <c r="G4" i="22"/>
  <c r="H1" i="22"/>
  <c r="G1" i="22"/>
  <c r="I104" i="21"/>
  <c r="T103" i="21"/>
  <c r="S103" i="21"/>
  <c r="Q103" i="21"/>
  <c r="P103" i="21"/>
  <c r="T102" i="21"/>
  <c r="S102" i="21"/>
  <c r="Q102" i="21"/>
  <c r="P102" i="21"/>
  <c r="T101" i="21"/>
  <c r="S101" i="21"/>
  <c r="Q101" i="21"/>
  <c r="P101" i="21"/>
  <c r="T100" i="21"/>
  <c r="S100" i="21"/>
  <c r="Q100" i="21"/>
  <c r="P100" i="21"/>
  <c r="T99" i="21"/>
  <c r="S99" i="21"/>
  <c r="Q99" i="21"/>
  <c r="P99" i="21"/>
  <c r="T98" i="21"/>
  <c r="S98" i="21"/>
  <c r="Q98" i="21"/>
  <c r="P98" i="21"/>
  <c r="T97" i="21"/>
  <c r="S97" i="21"/>
  <c r="Q97" i="21"/>
  <c r="P97" i="21"/>
  <c r="T96" i="21"/>
  <c r="S96" i="21"/>
  <c r="Q96" i="21"/>
  <c r="P96" i="21"/>
  <c r="T95" i="21"/>
  <c r="S95" i="21"/>
  <c r="Q95" i="21"/>
  <c r="P95" i="21"/>
  <c r="T94" i="21"/>
  <c r="S94" i="21"/>
  <c r="Q94" i="21"/>
  <c r="P94" i="21"/>
  <c r="T93" i="21"/>
  <c r="S93" i="21"/>
  <c r="Q93" i="21"/>
  <c r="P93" i="21"/>
  <c r="T92" i="21"/>
  <c r="S92" i="21"/>
  <c r="Q92" i="21"/>
  <c r="P92" i="21"/>
  <c r="T91" i="21"/>
  <c r="S91" i="21"/>
  <c r="Q91" i="21"/>
  <c r="P91" i="21"/>
  <c r="T90" i="21"/>
  <c r="S90" i="21"/>
  <c r="Q90" i="21"/>
  <c r="P90" i="21"/>
  <c r="T89" i="21"/>
  <c r="S89" i="21"/>
  <c r="Q89" i="21"/>
  <c r="P89" i="21"/>
  <c r="T88" i="21"/>
  <c r="S88" i="21"/>
  <c r="Q88" i="21"/>
  <c r="P88" i="21"/>
  <c r="T87" i="21"/>
  <c r="S87" i="21"/>
  <c r="Q87" i="21"/>
  <c r="P87" i="21"/>
  <c r="T86" i="21"/>
  <c r="S86" i="21"/>
  <c r="Q86" i="21"/>
  <c r="P86" i="21"/>
  <c r="T85" i="21"/>
  <c r="S85" i="21"/>
  <c r="Q85" i="21"/>
  <c r="P85" i="21"/>
  <c r="T84" i="21"/>
  <c r="S84" i="21"/>
  <c r="Q84" i="21"/>
  <c r="P84" i="21"/>
  <c r="T83" i="21"/>
  <c r="S83" i="21"/>
  <c r="Q83" i="21"/>
  <c r="P83" i="21"/>
  <c r="T82" i="21"/>
  <c r="S82" i="21"/>
  <c r="Q82" i="21"/>
  <c r="P82" i="21"/>
  <c r="T81" i="21"/>
  <c r="S81" i="21"/>
  <c r="Q81" i="21"/>
  <c r="P81" i="21"/>
  <c r="T80" i="21"/>
  <c r="S80" i="21"/>
  <c r="Q80" i="21"/>
  <c r="P80" i="21"/>
  <c r="T79" i="21"/>
  <c r="S79" i="21"/>
  <c r="Q79" i="21"/>
  <c r="P79" i="21"/>
  <c r="T78" i="21"/>
  <c r="S78" i="21"/>
  <c r="Q78" i="21"/>
  <c r="P78" i="21"/>
  <c r="T77" i="21"/>
  <c r="S77" i="21"/>
  <c r="Q77" i="21"/>
  <c r="P77" i="21"/>
  <c r="T76" i="21"/>
  <c r="S76" i="21"/>
  <c r="Q76" i="21"/>
  <c r="P76" i="21"/>
  <c r="T75" i="21"/>
  <c r="S75" i="21"/>
  <c r="Q75" i="21"/>
  <c r="P75" i="21"/>
  <c r="T74" i="21"/>
  <c r="S74" i="21"/>
  <c r="Q74" i="21"/>
  <c r="P74" i="21"/>
  <c r="T73" i="21"/>
  <c r="S73" i="21"/>
  <c r="Q73" i="21"/>
  <c r="P73" i="21"/>
  <c r="T72" i="21"/>
  <c r="S72" i="21"/>
  <c r="Q72" i="21"/>
  <c r="P72" i="21"/>
  <c r="T71" i="21"/>
  <c r="S71" i="21"/>
  <c r="Q71" i="21"/>
  <c r="P71" i="21"/>
  <c r="T70" i="21"/>
  <c r="S70" i="21"/>
  <c r="Q70" i="21"/>
  <c r="P70" i="21"/>
  <c r="T69" i="21"/>
  <c r="S69" i="21"/>
  <c r="Q69" i="21"/>
  <c r="P69" i="21"/>
  <c r="T68" i="21"/>
  <c r="S68" i="21"/>
  <c r="Q68" i="21"/>
  <c r="P68" i="21"/>
  <c r="T67" i="21"/>
  <c r="S67" i="21"/>
  <c r="Q67" i="21"/>
  <c r="P67" i="21"/>
  <c r="T66" i="21"/>
  <c r="S66" i="21"/>
  <c r="Q66" i="21"/>
  <c r="P66" i="21"/>
  <c r="T65" i="21"/>
  <c r="S65" i="21"/>
  <c r="Q65" i="21"/>
  <c r="P65" i="21"/>
  <c r="T64" i="21"/>
  <c r="S64" i="21"/>
  <c r="Q64" i="21"/>
  <c r="P64" i="21"/>
  <c r="T63" i="21"/>
  <c r="S63" i="21"/>
  <c r="T62" i="21"/>
  <c r="S62" i="21"/>
  <c r="T54" i="21"/>
  <c r="B54" i="21"/>
  <c r="Q53" i="21"/>
  <c r="P53" i="21"/>
  <c r="O53" i="21"/>
  <c r="R53" i="21" s="1"/>
  <c r="L53" i="21"/>
  <c r="I53" i="21"/>
  <c r="R52" i="21" s="1"/>
  <c r="Q52" i="21"/>
  <c r="P52" i="21"/>
  <c r="O52" i="21"/>
  <c r="U102" i="21" s="1"/>
  <c r="L52" i="21"/>
  <c r="I52" i="21"/>
  <c r="Q51" i="21"/>
  <c r="P51" i="21"/>
  <c r="O51" i="21"/>
  <c r="R51" i="21" s="1"/>
  <c r="L51" i="21"/>
  <c r="I51" i="21"/>
  <c r="F51" i="21"/>
  <c r="Q50" i="21"/>
  <c r="P50" i="21"/>
  <c r="O50" i="21"/>
  <c r="U100" i="21" s="1"/>
  <c r="L50" i="21"/>
  <c r="I50" i="21"/>
  <c r="F50" i="21"/>
  <c r="R49" i="21"/>
  <c r="Q49" i="21"/>
  <c r="P49" i="21"/>
  <c r="O49" i="21"/>
  <c r="L49" i="21"/>
  <c r="I49" i="21"/>
  <c r="F49" i="21"/>
  <c r="R48" i="21" s="1"/>
  <c r="Q48" i="21"/>
  <c r="P48" i="21"/>
  <c r="O48" i="21"/>
  <c r="U98" i="21" s="1"/>
  <c r="L48" i="21"/>
  <c r="I48" i="21"/>
  <c r="F48" i="21"/>
  <c r="Q47" i="21"/>
  <c r="P47" i="21"/>
  <c r="O47" i="21"/>
  <c r="R47" i="21" s="1"/>
  <c r="L47" i="21"/>
  <c r="I47" i="21"/>
  <c r="E47" i="21"/>
  <c r="D47" i="21"/>
  <c r="R46" i="21" s="1"/>
  <c r="Q46" i="21"/>
  <c r="P46" i="21"/>
  <c r="O46" i="21"/>
  <c r="U96" i="21" s="1"/>
  <c r="L46" i="21"/>
  <c r="I46" i="21"/>
  <c r="F46" i="21"/>
  <c r="Q45" i="21"/>
  <c r="P45" i="21"/>
  <c r="O45" i="21"/>
  <c r="R45" i="21" s="1"/>
  <c r="L45" i="21"/>
  <c r="I45" i="21"/>
  <c r="F45" i="21"/>
  <c r="Q44" i="21"/>
  <c r="P44" i="21"/>
  <c r="O44" i="21"/>
  <c r="U94" i="21" s="1"/>
  <c r="L44" i="21"/>
  <c r="I44" i="21"/>
  <c r="F44" i="21"/>
  <c r="R43" i="21"/>
  <c r="Q43" i="21"/>
  <c r="P43" i="21"/>
  <c r="O43" i="21"/>
  <c r="L43" i="21"/>
  <c r="I43" i="21"/>
  <c r="F43" i="21"/>
  <c r="R42" i="21" s="1"/>
  <c r="Q42" i="21"/>
  <c r="P42" i="21"/>
  <c r="O42" i="21"/>
  <c r="U92" i="21" s="1"/>
  <c r="L42" i="21"/>
  <c r="I42" i="21"/>
  <c r="E42" i="21"/>
  <c r="D42" i="21"/>
  <c r="R41" i="21"/>
  <c r="Q41" i="21"/>
  <c r="P41" i="21"/>
  <c r="O41" i="21"/>
  <c r="L41" i="21"/>
  <c r="I41" i="21"/>
  <c r="F41" i="21"/>
  <c r="R40" i="21" s="1"/>
  <c r="Q40" i="21"/>
  <c r="P40" i="21"/>
  <c r="O40" i="21"/>
  <c r="U90" i="21" s="1"/>
  <c r="L40" i="21"/>
  <c r="I40" i="21"/>
  <c r="F40" i="21"/>
  <c r="Q39" i="21"/>
  <c r="P39" i="21"/>
  <c r="O39" i="21"/>
  <c r="R39" i="21" s="1"/>
  <c r="L39" i="21"/>
  <c r="I39" i="21"/>
  <c r="F39" i="21"/>
  <c r="Q38" i="21"/>
  <c r="P38" i="21"/>
  <c r="O38" i="21"/>
  <c r="U88" i="21" s="1"/>
  <c r="L38" i="21"/>
  <c r="I38" i="21"/>
  <c r="F38" i="21"/>
  <c r="R37" i="21"/>
  <c r="Q37" i="21"/>
  <c r="P37" i="21"/>
  <c r="O37" i="21"/>
  <c r="L37" i="21"/>
  <c r="I37" i="21"/>
  <c r="E37" i="21"/>
  <c r="D37" i="21"/>
  <c r="Q36" i="21"/>
  <c r="P36" i="21"/>
  <c r="O36" i="21"/>
  <c r="U86" i="21" s="1"/>
  <c r="L36" i="21"/>
  <c r="I36" i="21"/>
  <c r="F36" i="21"/>
  <c r="R35" i="21"/>
  <c r="Q35" i="21"/>
  <c r="P35" i="21"/>
  <c r="O35" i="21"/>
  <c r="L35" i="21"/>
  <c r="I35" i="21"/>
  <c r="F35" i="21"/>
  <c r="R34" i="21" s="1"/>
  <c r="Q34" i="21"/>
  <c r="P34" i="21"/>
  <c r="O34" i="21"/>
  <c r="U84" i="21" s="1"/>
  <c r="L34" i="21"/>
  <c r="I34" i="21"/>
  <c r="F34" i="21"/>
  <c r="Q33" i="21"/>
  <c r="P33" i="21"/>
  <c r="O33" i="21"/>
  <c r="R33" i="21" s="1"/>
  <c r="L33" i="21"/>
  <c r="I33" i="21"/>
  <c r="F33" i="21"/>
  <c r="Q32" i="21"/>
  <c r="P32" i="21"/>
  <c r="O32" i="21"/>
  <c r="U82" i="21" s="1"/>
  <c r="L32" i="21"/>
  <c r="I32" i="21"/>
  <c r="E32" i="21"/>
  <c r="D32" i="21"/>
  <c r="Q31" i="21"/>
  <c r="P31" i="21"/>
  <c r="O31" i="21"/>
  <c r="R31" i="21" s="1"/>
  <c r="L31" i="21"/>
  <c r="I31" i="21"/>
  <c r="F31" i="21"/>
  <c r="R30" i="21"/>
  <c r="Q30" i="21"/>
  <c r="P30" i="21"/>
  <c r="O30" i="21"/>
  <c r="L30" i="21"/>
  <c r="I30" i="21"/>
  <c r="F30" i="21"/>
  <c r="Q29" i="21"/>
  <c r="P29" i="21"/>
  <c r="O29" i="21"/>
  <c r="R29" i="21" s="1"/>
  <c r="L29" i="21"/>
  <c r="I29" i="21"/>
  <c r="F29" i="21"/>
  <c r="R28" i="21"/>
  <c r="Q28" i="21"/>
  <c r="P28" i="21"/>
  <c r="O28" i="21"/>
  <c r="L28" i="21"/>
  <c r="I28" i="21"/>
  <c r="F28" i="21"/>
  <c r="Q27" i="21"/>
  <c r="P27" i="21"/>
  <c r="O27" i="21"/>
  <c r="R27" i="21" s="1"/>
  <c r="L27" i="21"/>
  <c r="I27" i="21"/>
  <c r="E27" i="21"/>
  <c r="D27" i="21"/>
  <c r="Q26" i="21"/>
  <c r="P26" i="21"/>
  <c r="O26" i="21"/>
  <c r="R26" i="21" s="1"/>
  <c r="L26" i="21"/>
  <c r="I26" i="21"/>
  <c r="Q25" i="21"/>
  <c r="P25" i="21"/>
  <c r="O25" i="21"/>
  <c r="R25" i="21" s="1"/>
  <c r="L25" i="21"/>
  <c r="I25" i="21"/>
  <c r="Q24" i="21"/>
  <c r="P24" i="21"/>
  <c r="O24" i="21"/>
  <c r="R24" i="21" s="1"/>
  <c r="L24" i="21"/>
  <c r="I24" i="21"/>
  <c r="Q23" i="21"/>
  <c r="P23" i="21"/>
  <c r="O23" i="21"/>
  <c r="R23" i="21" s="1"/>
  <c r="L23" i="21"/>
  <c r="I23" i="21"/>
  <c r="Q22" i="21"/>
  <c r="P22" i="21"/>
  <c r="O22" i="21"/>
  <c r="R22" i="21" s="1"/>
  <c r="L22" i="21"/>
  <c r="I22" i="21"/>
  <c r="Q21" i="21"/>
  <c r="P21" i="21"/>
  <c r="O21" i="21"/>
  <c r="R21" i="21" s="1"/>
  <c r="L21" i="21"/>
  <c r="I21" i="21"/>
  <c r="F21" i="21"/>
  <c r="R20" i="21"/>
  <c r="Q20" i="21"/>
  <c r="P20" i="21"/>
  <c r="O20" i="21"/>
  <c r="L20" i="21"/>
  <c r="I20" i="21"/>
  <c r="F20" i="21"/>
  <c r="Q19" i="21"/>
  <c r="P19" i="21"/>
  <c r="O19" i="21"/>
  <c r="R19" i="21" s="1"/>
  <c r="L19" i="21"/>
  <c r="I19" i="21"/>
  <c r="F19" i="21"/>
  <c r="R18" i="21"/>
  <c r="Q18" i="21"/>
  <c r="P18" i="21"/>
  <c r="O18" i="21"/>
  <c r="L18" i="21"/>
  <c r="I18" i="21"/>
  <c r="F18" i="21"/>
  <c r="Q17" i="21"/>
  <c r="P17" i="21"/>
  <c r="O17" i="21"/>
  <c r="R17" i="21" s="1"/>
  <c r="L17" i="21"/>
  <c r="I17" i="21"/>
  <c r="E17" i="21"/>
  <c r="D17" i="21"/>
  <c r="F17" i="21" s="1"/>
  <c r="R16" i="21"/>
  <c r="Q16" i="21"/>
  <c r="P16" i="21"/>
  <c r="O16" i="21"/>
  <c r="L16" i="21"/>
  <c r="I16" i="21"/>
  <c r="F16" i="21"/>
  <c r="Q15" i="21"/>
  <c r="P15" i="21"/>
  <c r="O15" i="21"/>
  <c r="R15" i="21" s="1"/>
  <c r="L15" i="21"/>
  <c r="I15" i="21"/>
  <c r="F15" i="21"/>
  <c r="R14" i="21"/>
  <c r="Q14" i="21"/>
  <c r="P14" i="21"/>
  <c r="O14" i="21"/>
  <c r="L14" i="21"/>
  <c r="I14" i="21"/>
  <c r="F14" i="21"/>
  <c r="Q13" i="21"/>
  <c r="P13" i="21"/>
  <c r="O13" i="21"/>
  <c r="R13" i="21" s="1"/>
  <c r="Q63" i="21" s="1"/>
  <c r="P63" i="21" s="1"/>
  <c r="L13" i="21"/>
  <c r="I13" i="21"/>
  <c r="F13" i="21"/>
  <c r="R12" i="21"/>
  <c r="Q62" i="21" s="1"/>
  <c r="Q12" i="21"/>
  <c r="P12" i="21"/>
  <c r="O12" i="21"/>
  <c r="G104" i="21" s="1"/>
  <c r="U103" i="21" s="1"/>
  <c r="L12" i="21"/>
  <c r="I12" i="21"/>
  <c r="E12" i="21"/>
  <c r="D12" i="21"/>
  <c r="D23" i="21" s="1"/>
  <c r="P6" i="21"/>
  <c r="N6" i="21"/>
  <c r="M6" i="21"/>
  <c r="L6" i="21"/>
  <c r="K6" i="21"/>
  <c r="J6" i="21"/>
  <c r="H6" i="21"/>
  <c r="G6" i="21"/>
  <c r="P5" i="21"/>
  <c r="N5" i="21"/>
  <c r="M5" i="21"/>
  <c r="L5" i="21"/>
  <c r="L7" i="21" s="1"/>
  <c r="K5" i="21"/>
  <c r="J5" i="21"/>
  <c r="H5" i="21"/>
  <c r="R4" i="21"/>
  <c r="Q4" i="21"/>
  <c r="P4" i="21"/>
  <c r="O4" i="21"/>
  <c r="N4" i="21"/>
  <c r="M4" i="21"/>
  <c r="L4" i="21"/>
  <c r="K4" i="21"/>
  <c r="J4" i="21"/>
  <c r="I4" i="21"/>
  <c r="H4" i="21"/>
  <c r="G4" i="21"/>
  <c r="H1" i="21"/>
  <c r="G1" i="21"/>
  <c r="I104" i="20"/>
  <c r="T103" i="20"/>
  <c r="S103" i="20"/>
  <c r="Q103" i="20"/>
  <c r="P103" i="20"/>
  <c r="T102" i="20"/>
  <c r="S102" i="20"/>
  <c r="Q102" i="20"/>
  <c r="P102" i="20"/>
  <c r="T101" i="20"/>
  <c r="S101" i="20"/>
  <c r="Q101" i="20"/>
  <c r="P101" i="20"/>
  <c r="T100" i="20"/>
  <c r="S100" i="20"/>
  <c r="Q100" i="20"/>
  <c r="P100" i="20"/>
  <c r="T99" i="20"/>
  <c r="S99" i="20"/>
  <c r="Q99" i="20"/>
  <c r="P99" i="20"/>
  <c r="T98" i="20"/>
  <c r="S98" i="20"/>
  <c r="Q98" i="20"/>
  <c r="P98" i="20"/>
  <c r="T97" i="20"/>
  <c r="S97" i="20"/>
  <c r="Q97" i="20"/>
  <c r="P97" i="20"/>
  <c r="T96" i="20"/>
  <c r="S96" i="20"/>
  <c r="Q96" i="20"/>
  <c r="P96" i="20"/>
  <c r="T95" i="20"/>
  <c r="S95" i="20"/>
  <c r="Q95" i="20"/>
  <c r="P95" i="20"/>
  <c r="T94" i="20"/>
  <c r="S94" i="20"/>
  <c r="Q94" i="20"/>
  <c r="P94" i="20"/>
  <c r="T93" i="20"/>
  <c r="S93" i="20"/>
  <c r="Q93" i="20"/>
  <c r="P93" i="20"/>
  <c r="T92" i="20"/>
  <c r="S92" i="20"/>
  <c r="Q92" i="20"/>
  <c r="P92" i="20"/>
  <c r="T91" i="20"/>
  <c r="S91" i="20"/>
  <c r="Q91" i="20"/>
  <c r="P91" i="20"/>
  <c r="T90" i="20"/>
  <c r="S90" i="20"/>
  <c r="Q90" i="20"/>
  <c r="P90" i="20"/>
  <c r="T89" i="20"/>
  <c r="S89" i="20"/>
  <c r="Q89" i="20"/>
  <c r="P89" i="20"/>
  <c r="T88" i="20"/>
  <c r="S88" i="20"/>
  <c r="Q88" i="20"/>
  <c r="P88" i="20"/>
  <c r="T87" i="20"/>
  <c r="S87" i="20"/>
  <c r="Q87" i="20"/>
  <c r="P87" i="20"/>
  <c r="T86" i="20"/>
  <c r="S86" i="20"/>
  <c r="Q86" i="20"/>
  <c r="P86" i="20"/>
  <c r="T85" i="20"/>
  <c r="S85" i="20"/>
  <c r="Q85" i="20"/>
  <c r="P85" i="20"/>
  <c r="T84" i="20"/>
  <c r="S84" i="20"/>
  <c r="Q84" i="20"/>
  <c r="P84" i="20"/>
  <c r="T83" i="20"/>
  <c r="S83" i="20"/>
  <c r="Q83" i="20"/>
  <c r="P83" i="20"/>
  <c r="T82" i="20"/>
  <c r="S82" i="20"/>
  <c r="Q82" i="20"/>
  <c r="P82" i="20"/>
  <c r="T81" i="20"/>
  <c r="S81" i="20"/>
  <c r="Q81" i="20"/>
  <c r="P81" i="20"/>
  <c r="T80" i="20"/>
  <c r="S80" i="20"/>
  <c r="Q80" i="20"/>
  <c r="P80" i="20"/>
  <c r="T79" i="20"/>
  <c r="S79" i="20"/>
  <c r="Q79" i="20"/>
  <c r="P79" i="20"/>
  <c r="T78" i="20"/>
  <c r="S78" i="20"/>
  <c r="Q78" i="20"/>
  <c r="P78" i="20"/>
  <c r="T77" i="20"/>
  <c r="S77" i="20"/>
  <c r="Q77" i="20"/>
  <c r="P77" i="20"/>
  <c r="T76" i="20"/>
  <c r="S76" i="20"/>
  <c r="Q76" i="20"/>
  <c r="P76" i="20"/>
  <c r="T75" i="20"/>
  <c r="S75" i="20"/>
  <c r="Q75" i="20"/>
  <c r="P75" i="20"/>
  <c r="T74" i="20"/>
  <c r="S74" i="20"/>
  <c r="Q74" i="20"/>
  <c r="P74" i="20"/>
  <c r="T73" i="20"/>
  <c r="S73" i="20"/>
  <c r="Q73" i="20"/>
  <c r="P73" i="20"/>
  <c r="T72" i="20"/>
  <c r="S72" i="20"/>
  <c r="Q72" i="20"/>
  <c r="P72" i="20"/>
  <c r="T71" i="20"/>
  <c r="S71" i="20"/>
  <c r="Q71" i="20"/>
  <c r="P71" i="20"/>
  <c r="T70" i="20"/>
  <c r="S70" i="20"/>
  <c r="T69" i="20"/>
  <c r="S69" i="20"/>
  <c r="T68" i="20"/>
  <c r="S68" i="20"/>
  <c r="T67" i="20"/>
  <c r="S67" i="20"/>
  <c r="T66" i="20"/>
  <c r="S66" i="20"/>
  <c r="T65" i="20"/>
  <c r="S65" i="20"/>
  <c r="T64" i="20"/>
  <c r="S64" i="20"/>
  <c r="Q64" i="20"/>
  <c r="P64" i="20"/>
  <c r="T63" i="20"/>
  <c r="S63" i="20"/>
  <c r="Q63" i="20"/>
  <c r="P63" i="20"/>
  <c r="T62" i="20"/>
  <c r="S62" i="20"/>
  <c r="Q62" i="20"/>
  <c r="P62" i="20"/>
  <c r="T54" i="20"/>
  <c r="B54" i="20"/>
  <c r="Q53" i="20"/>
  <c r="P53" i="20"/>
  <c r="O53" i="20"/>
  <c r="R53" i="20" s="1"/>
  <c r="L53" i="20"/>
  <c r="I53" i="20"/>
  <c r="R52" i="20" s="1"/>
  <c r="Q52" i="20"/>
  <c r="P52" i="20"/>
  <c r="O52" i="20"/>
  <c r="U102" i="20" s="1"/>
  <c r="L52" i="20"/>
  <c r="I52" i="20"/>
  <c r="Q51" i="20"/>
  <c r="P51" i="20"/>
  <c r="O51" i="20"/>
  <c r="R51" i="20" s="1"/>
  <c r="L51" i="20"/>
  <c r="I51" i="20"/>
  <c r="F51" i="20"/>
  <c r="Q50" i="20"/>
  <c r="P50" i="20"/>
  <c r="O50" i="20"/>
  <c r="U100" i="20" s="1"/>
  <c r="L50" i="20"/>
  <c r="I50" i="20"/>
  <c r="F50" i="20"/>
  <c r="R49" i="20"/>
  <c r="Q49" i="20"/>
  <c r="P49" i="20"/>
  <c r="O49" i="20"/>
  <c r="L49" i="20"/>
  <c r="I49" i="20"/>
  <c r="F49" i="20"/>
  <c r="R48" i="20" s="1"/>
  <c r="Q48" i="20"/>
  <c r="P48" i="20"/>
  <c r="O48" i="20"/>
  <c r="U98" i="20" s="1"/>
  <c r="L48" i="20"/>
  <c r="I48" i="20"/>
  <c r="F48" i="20"/>
  <c r="Q47" i="20"/>
  <c r="P47" i="20"/>
  <c r="O47" i="20"/>
  <c r="R47" i="20" s="1"/>
  <c r="L47" i="20"/>
  <c r="I47" i="20"/>
  <c r="E47" i="20"/>
  <c r="D47" i="20"/>
  <c r="R46" i="20" s="1"/>
  <c r="Q46" i="20"/>
  <c r="P46" i="20"/>
  <c r="O46" i="20"/>
  <c r="U96" i="20" s="1"/>
  <c r="L46" i="20"/>
  <c r="I46" i="20"/>
  <c r="F46" i="20"/>
  <c r="Q45" i="20"/>
  <c r="P45" i="20"/>
  <c r="O45" i="20"/>
  <c r="R45" i="20" s="1"/>
  <c r="L45" i="20"/>
  <c r="I45" i="20"/>
  <c r="F45" i="20"/>
  <c r="Q44" i="20"/>
  <c r="P44" i="20"/>
  <c r="O44" i="20"/>
  <c r="U94" i="20" s="1"/>
  <c r="L44" i="20"/>
  <c r="I44" i="20"/>
  <c r="F44" i="20"/>
  <c r="R43" i="20"/>
  <c r="Q43" i="20"/>
  <c r="P43" i="20"/>
  <c r="O43" i="20"/>
  <c r="L43" i="20"/>
  <c r="I43" i="20"/>
  <c r="F43" i="20"/>
  <c r="R42" i="20" s="1"/>
  <c r="Q42" i="20"/>
  <c r="P42" i="20"/>
  <c r="O42" i="20"/>
  <c r="U92" i="20" s="1"/>
  <c r="L42" i="20"/>
  <c r="I42" i="20"/>
  <c r="E42" i="20"/>
  <c r="D42" i="20"/>
  <c r="R41" i="20"/>
  <c r="Q41" i="20"/>
  <c r="P41" i="20"/>
  <c r="O41" i="20"/>
  <c r="L41" i="20"/>
  <c r="I41" i="20"/>
  <c r="F41" i="20"/>
  <c r="R40" i="20" s="1"/>
  <c r="Q40" i="20"/>
  <c r="P40" i="20"/>
  <c r="O40" i="20"/>
  <c r="U90" i="20" s="1"/>
  <c r="L40" i="20"/>
  <c r="I40" i="20"/>
  <c r="F40" i="20"/>
  <c r="Q39" i="20"/>
  <c r="P39" i="20"/>
  <c r="O39" i="20"/>
  <c r="R39" i="20" s="1"/>
  <c r="L39" i="20"/>
  <c r="I39" i="20"/>
  <c r="F39" i="20"/>
  <c r="R38" i="20"/>
  <c r="Q38" i="20"/>
  <c r="P38" i="20"/>
  <c r="O38" i="20"/>
  <c r="L38" i="20"/>
  <c r="I38" i="20"/>
  <c r="F38" i="20"/>
  <c r="Q37" i="20"/>
  <c r="P37" i="20"/>
  <c r="O37" i="20"/>
  <c r="R37" i="20" s="1"/>
  <c r="L37" i="20"/>
  <c r="I37" i="20"/>
  <c r="E37" i="20"/>
  <c r="D37" i="20"/>
  <c r="Q36" i="20"/>
  <c r="P36" i="20"/>
  <c r="O36" i="20"/>
  <c r="R36" i="20" s="1"/>
  <c r="L36" i="20"/>
  <c r="I36" i="20"/>
  <c r="F36" i="20"/>
  <c r="R35" i="20"/>
  <c r="Q35" i="20"/>
  <c r="P35" i="20"/>
  <c r="O35" i="20"/>
  <c r="L35" i="20"/>
  <c r="I35" i="20"/>
  <c r="F35" i="20"/>
  <c r="Q34" i="20"/>
  <c r="P34" i="20"/>
  <c r="O34" i="20"/>
  <c r="R34" i="20" s="1"/>
  <c r="L34" i="20"/>
  <c r="I34" i="20"/>
  <c r="F34" i="20"/>
  <c r="R33" i="20"/>
  <c r="Q33" i="20"/>
  <c r="P33" i="20"/>
  <c r="O33" i="20"/>
  <c r="L33" i="20"/>
  <c r="I33" i="20"/>
  <c r="F33" i="20"/>
  <c r="Q32" i="20"/>
  <c r="P32" i="20"/>
  <c r="O32" i="20"/>
  <c r="R32" i="20" s="1"/>
  <c r="L32" i="20"/>
  <c r="I32" i="20"/>
  <c r="E32" i="20"/>
  <c r="D32" i="20"/>
  <c r="Q31" i="20"/>
  <c r="P31" i="20"/>
  <c r="O31" i="20"/>
  <c r="R31" i="20" s="1"/>
  <c r="L31" i="20"/>
  <c r="I31" i="20"/>
  <c r="F31" i="20"/>
  <c r="R30" i="20"/>
  <c r="Q30" i="20"/>
  <c r="P30" i="20"/>
  <c r="O30" i="20"/>
  <c r="L30" i="20"/>
  <c r="I30" i="20"/>
  <c r="F30" i="20"/>
  <c r="Q29" i="20"/>
  <c r="P29" i="20"/>
  <c r="O29" i="20"/>
  <c r="R29" i="20" s="1"/>
  <c r="L29" i="20"/>
  <c r="I29" i="20"/>
  <c r="F29" i="20"/>
  <c r="R28" i="20"/>
  <c r="Q28" i="20"/>
  <c r="P28" i="20"/>
  <c r="O28" i="20"/>
  <c r="L28" i="20"/>
  <c r="I28" i="20"/>
  <c r="F28" i="20"/>
  <c r="Q27" i="20"/>
  <c r="P27" i="20"/>
  <c r="O27" i="20"/>
  <c r="R27" i="20" s="1"/>
  <c r="L27" i="20"/>
  <c r="I27" i="20"/>
  <c r="E27" i="20"/>
  <c r="D27" i="20"/>
  <c r="Q26" i="20"/>
  <c r="P26" i="20"/>
  <c r="O26" i="20"/>
  <c r="R26" i="20" s="1"/>
  <c r="L26" i="20"/>
  <c r="I26" i="20"/>
  <c r="Q25" i="20"/>
  <c r="P25" i="20"/>
  <c r="O25" i="20"/>
  <c r="R25" i="20" s="1"/>
  <c r="L25" i="20"/>
  <c r="I25" i="20"/>
  <c r="Q24" i="20"/>
  <c r="P24" i="20"/>
  <c r="O24" i="20"/>
  <c r="R24" i="20" s="1"/>
  <c r="L24" i="20"/>
  <c r="I24" i="20"/>
  <c r="R23" i="20"/>
  <c r="Q23" i="20"/>
  <c r="P23" i="20"/>
  <c r="O23" i="20"/>
  <c r="L23" i="20"/>
  <c r="I23" i="20"/>
  <c r="Q22" i="20"/>
  <c r="P22" i="20"/>
  <c r="O22" i="20"/>
  <c r="R22" i="20" s="1"/>
  <c r="L22" i="20"/>
  <c r="I22" i="20"/>
  <c r="Q21" i="20"/>
  <c r="P21" i="20"/>
  <c r="O21" i="20"/>
  <c r="R21" i="20" s="1"/>
  <c r="L21" i="20"/>
  <c r="I21" i="20"/>
  <c r="F21" i="20"/>
  <c r="R20" i="20"/>
  <c r="P70" i="20" s="1"/>
  <c r="Q20" i="20"/>
  <c r="P20" i="20"/>
  <c r="O20" i="20"/>
  <c r="L20" i="20"/>
  <c r="I20" i="20"/>
  <c r="F20" i="20"/>
  <c r="R19" i="20" s="1"/>
  <c r="P69" i="20" s="1"/>
  <c r="Q19" i="20"/>
  <c r="P19" i="20"/>
  <c r="O19" i="20"/>
  <c r="U69" i="20" s="1"/>
  <c r="L19" i="20"/>
  <c r="I19" i="20"/>
  <c r="F19" i="20"/>
  <c r="Q18" i="20"/>
  <c r="P18" i="20"/>
  <c r="O18" i="20"/>
  <c r="R18" i="20" s="1"/>
  <c r="L18" i="20"/>
  <c r="I18" i="20"/>
  <c r="F18" i="20"/>
  <c r="Q17" i="20"/>
  <c r="P17" i="20"/>
  <c r="O17" i="20"/>
  <c r="U67" i="20" s="1"/>
  <c r="L17" i="20"/>
  <c r="I17" i="20"/>
  <c r="E17" i="20"/>
  <c r="D17" i="20"/>
  <c r="D24" i="20" s="1"/>
  <c r="R16" i="20"/>
  <c r="P66" i="20" s="1"/>
  <c r="Q16" i="20"/>
  <c r="P16" i="20"/>
  <c r="O16" i="20"/>
  <c r="L16" i="20"/>
  <c r="I16" i="20"/>
  <c r="F16" i="20"/>
  <c r="R15" i="20" s="1"/>
  <c r="P65" i="20" s="1"/>
  <c r="Q15" i="20"/>
  <c r="P15" i="20"/>
  <c r="O15" i="20"/>
  <c r="U65" i="20" s="1"/>
  <c r="L15" i="20"/>
  <c r="I15" i="20"/>
  <c r="F15" i="20"/>
  <c r="Q14" i="20"/>
  <c r="P14" i="20"/>
  <c r="O14" i="20"/>
  <c r="R14" i="20" s="1"/>
  <c r="L14" i="20"/>
  <c r="I14" i="20"/>
  <c r="F14" i="20"/>
  <c r="R13" i="20"/>
  <c r="Q13" i="20"/>
  <c r="P13" i="20"/>
  <c r="O13" i="20"/>
  <c r="L13" i="20"/>
  <c r="I13" i="20"/>
  <c r="F13" i="20"/>
  <c r="Q12" i="20"/>
  <c r="P12" i="20"/>
  <c r="P54" i="20" s="1"/>
  <c r="O12" i="20"/>
  <c r="G104" i="20" s="1"/>
  <c r="U103" i="20" s="1"/>
  <c r="L12" i="20"/>
  <c r="I12" i="20"/>
  <c r="E12" i="20"/>
  <c r="E23" i="20" s="1"/>
  <c r="D12" i="20"/>
  <c r="P6" i="20"/>
  <c r="N6" i="20"/>
  <c r="M6" i="20"/>
  <c r="L6" i="20"/>
  <c r="K6" i="20"/>
  <c r="J6" i="20"/>
  <c r="H6" i="20"/>
  <c r="G6" i="20"/>
  <c r="P5" i="20"/>
  <c r="N5" i="20"/>
  <c r="M5" i="20"/>
  <c r="L5" i="20"/>
  <c r="K5" i="20"/>
  <c r="J5" i="20"/>
  <c r="H5" i="20"/>
  <c r="G5" i="20"/>
  <c r="R4" i="20"/>
  <c r="Q4" i="20"/>
  <c r="P4" i="20"/>
  <c r="O4" i="20"/>
  <c r="N4" i="20"/>
  <c r="M4" i="20"/>
  <c r="L4" i="20"/>
  <c r="K4" i="20"/>
  <c r="J4" i="20"/>
  <c r="I4" i="20"/>
  <c r="H4" i="20"/>
  <c r="G4" i="20"/>
  <c r="H1" i="20"/>
  <c r="G1" i="20"/>
  <c r="I104" i="19"/>
  <c r="T103" i="19"/>
  <c r="S103" i="19"/>
  <c r="Q103" i="19"/>
  <c r="P103" i="19"/>
  <c r="T102" i="19"/>
  <c r="S102" i="19"/>
  <c r="Q102" i="19"/>
  <c r="P102" i="19"/>
  <c r="T101" i="19"/>
  <c r="S101" i="19"/>
  <c r="Q101" i="19"/>
  <c r="P101" i="19"/>
  <c r="T100" i="19"/>
  <c r="S100" i="19"/>
  <c r="Q100" i="19"/>
  <c r="P100" i="19"/>
  <c r="T99" i="19"/>
  <c r="S99" i="19"/>
  <c r="Q99" i="19"/>
  <c r="P99" i="19"/>
  <c r="T98" i="19"/>
  <c r="S98" i="19"/>
  <c r="Q98" i="19"/>
  <c r="P98" i="19"/>
  <c r="T97" i="19"/>
  <c r="S97" i="19"/>
  <c r="Q97" i="19"/>
  <c r="P97" i="19"/>
  <c r="T96" i="19"/>
  <c r="S96" i="19"/>
  <c r="Q96" i="19"/>
  <c r="P96" i="19"/>
  <c r="T95" i="19"/>
  <c r="S95" i="19"/>
  <c r="Q95" i="19"/>
  <c r="P95" i="19"/>
  <c r="T94" i="19"/>
  <c r="S94" i="19"/>
  <c r="Q94" i="19"/>
  <c r="P94" i="19"/>
  <c r="T93" i="19"/>
  <c r="S93" i="19"/>
  <c r="Q93" i="19"/>
  <c r="P93" i="19"/>
  <c r="T92" i="19"/>
  <c r="S92" i="19"/>
  <c r="Q92" i="19"/>
  <c r="P92" i="19"/>
  <c r="T91" i="19"/>
  <c r="S91" i="19"/>
  <c r="Q91" i="19"/>
  <c r="P91" i="19"/>
  <c r="T90" i="19"/>
  <c r="S90" i="19"/>
  <c r="Q90" i="19"/>
  <c r="P90" i="19"/>
  <c r="T89" i="19"/>
  <c r="S89" i="19"/>
  <c r="Q89" i="19"/>
  <c r="P89" i="19"/>
  <c r="T88" i="19"/>
  <c r="S88" i="19"/>
  <c r="Q88" i="19"/>
  <c r="P88" i="19"/>
  <c r="T87" i="19"/>
  <c r="S87" i="19"/>
  <c r="Q87" i="19"/>
  <c r="P87" i="19"/>
  <c r="T86" i="19"/>
  <c r="S86" i="19"/>
  <c r="Q86" i="19"/>
  <c r="P86" i="19"/>
  <c r="T85" i="19"/>
  <c r="S85" i="19"/>
  <c r="Q85" i="19"/>
  <c r="P85" i="19"/>
  <c r="T84" i="19"/>
  <c r="S84" i="19"/>
  <c r="Q84" i="19"/>
  <c r="P84" i="19"/>
  <c r="T83" i="19"/>
  <c r="S83" i="19"/>
  <c r="Q83" i="19"/>
  <c r="P83" i="19"/>
  <c r="T82" i="19"/>
  <c r="S82" i="19"/>
  <c r="Q82" i="19"/>
  <c r="P82" i="19"/>
  <c r="T81" i="19"/>
  <c r="S81" i="19"/>
  <c r="Q81" i="19"/>
  <c r="P81" i="19"/>
  <c r="T80" i="19"/>
  <c r="S80" i="19"/>
  <c r="Q80" i="19"/>
  <c r="P80" i="19"/>
  <c r="T79" i="19"/>
  <c r="S79" i="19"/>
  <c r="Q79" i="19"/>
  <c r="P79" i="19"/>
  <c r="T78" i="19"/>
  <c r="S78" i="19"/>
  <c r="Q78" i="19"/>
  <c r="P78" i="19"/>
  <c r="P104" i="19" s="1"/>
  <c r="T77" i="19"/>
  <c r="S77" i="19"/>
  <c r="T76" i="19"/>
  <c r="S76" i="19"/>
  <c r="T75" i="19"/>
  <c r="S75" i="19"/>
  <c r="T74" i="19"/>
  <c r="S74" i="19"/>
  <c r="T73" i="19"/>
  <c r="S73" i="19"/>
  <c r="T72" i="19"/>
  <c r="S72" i="19"/>
  <c r="T71" i="19"/>
  <c r="S71" i="19"/>
  <c r="T70" i="19"/>
  <c r="S70" i="19"/>
  <c r="T69" i="19"/>
  <c r="S69" i="19"/>
  <c r="T68" i="19"/>
  <c r="S68" i="19"/>
  <c r="T67" i="19"/>
  <c r="S67" i="19"/>
  <c r="T66" i="19"/>
  <c r="S66" i="19"/>
  <c r="T65" i="19"/>
  <c r="S65" i="19"/>
  <c r="T64" i="19"/>
  <c r="S64" i="19"/>
  <c r="T63" i="19"/>
  <c r="S63" i="19"/>
  <c r="T62" i="19"/>
  <c r="S62" i="19"/>
  <c r="T54" i="19"/>
  <c r="B54" i="19"/>
  <c r="Q53" i="19"/>
  <c r="P53" i="19"/>
  <c r="O53" i="19"/>
  <c r="R53" i="19" s="1"/>
  <c r="L53" i="19"/>
  <c r="I53" i="19"/>
  <c r="R52" i="19" s="1"/>
  <c r="Q52" i="19"/>
  <c r="P52" i="19"/>
  <c r="O52" i="19"/>
  <c r="U102" i="19" s="1"/>
  <c r="L52" i="19"/>
  <c r="I52" i="19"/>
  <c r="Q51" i="19"/>
  <c r="P51" i="19"/>
  <c r="O51" i="19"/>
  <c r="R51" i="19" s="1"/>
  <c r="L51" i="19"/>
  <c r="I51" i="19"/>
  <c r="F51" i="19"/>
  <c r="Q50" i="19"/>
  <c r="P50" i="19"/>
  <c r="O50" i="19"/>
  <c r="U100" i="19" s="1"/>
  <c r="L50" i="19"/>
  <c r="I50" i="19"/>
  <c r="F50" i="19"/>
  <c r="R49" i="19"/>
  <c r="Q49" i="19"/>
  <c r="P49" i="19"/>
  <c r="O49" i="19"/>
  <c r="L49" i="19"/>
  <c r="I49" i="19"/>
  <c r="F49" i="19"/>
  <c r="R48" i="19" s="1"/>
  <c r="Q48" i="19"/>
  <c r="P48" i="19"/>
  <c r="O48" i="19"/>
  <c r="U98" i="19" s="1"/>
  <c r="L48" i="19"/>
  <c r="I48" i="19"/>
  <c r="F48" i="19"/>
  <c r="Q47" i="19"/>
  <c r="P47" i="19"/>
  <c r="O47" i="19"/>
  <c r="R47" i="19" s="1"/>
  <c r="L47" i="19"/>
  <c r="I47" i="19"/>
  <c r="E47" i="19"/>
  <c r="D47" i="19"/>
  <c r="R46" i="19" s="1"/>
  <c r="Q46" i="19"/>
  <c r="P46" i="19"/>
  <c r="O46" i="19"/>
  <c r="U96" i="19" s="1"/>
  <c r="L46" i="19"/>
  <c r="I46" i="19"/>
  <c r="F46" i="19"/>
  <c r="Q45" i="19"/>
  <c r="P45" i="19"/>
  <c r="O45" i="19"/>
  <c r="R45" i="19" s="1"/>
  <c r="L45" i="19"/>
  <c r="I45" i="19"/>
  <c r="F45" i="19"/>
  <c r="Q44" i="19"/>
  <c r="P44" i="19"/>
  <c r="O44" i="19"/>
  <c r="U94" i="19" s="1"/>
  <c r="L44" i="19"/>
  <c r="I44" i="19"/>
  <c r="F44" i="19"/>
  <c r="R43" i="19"/>
  <c r="Q43" i="19"/>
  <c r="P43" i="19"/>
  <c r="O43" i="19"/>
  <c r="L43" i="19"/>
  <c r="I43" i="19"/>
  <c r="F43" i="19"/>
  <c r="R42" i="19" s="1"/>
  <c r="Q42" i="19"/>
  <c r="P42" i="19"/>
  <c r="O42" i="19"/>
  <c r="U92" i="19" s="1"/>
  <c r="L42" i="19"/>
  <c r="I42" i="19"/>
  <c r="E42" i="19"/>
  <c r="D42" i="19"/>
  <c r="R41" i="19"/>
  <c r="Q41" i="19"/>
  <c r="P41" i="19"/>
  <c r="O41" i="19"/>
  <c r="L41" i="19"/>
  <c r="I41" i="19"/>
  <c r="F41" i="19"/>
  <c r="R40" i="19" s="1"/>
  <c r="Q40" i="19"/>
  <c r="P40" i="19"/>
  <c r="O40" i="19"/>
  <c r="U90" i="19" s="1"/>
  <c r="L40" i="19"/>
  <c r="I40" i="19"/>
  <c r="F40" i="19"/>
  <c r="Q39" i="19"/>
  <c r="P39" i="19"/>
  <c r="O39" i="19"/>
  <c r="R39" i="19" s="1"/>
  <c r="L39" i="19"/>
  <c r="I39" i="19"/>
  <c r="F39" i="19"/>
  <c r="Q38" i="19"/>
  <c r="P38" i="19"/>
  <c r="O38" i="19"/>
  <c r="U88" i="19" s="1"/>
  <c r="L38" i="19"/>
  <c r="I38" i="19"/>
  <c r="F38" i="19"/>
  <c r="R37" i="19"/>
  <c r="Q37" i="19"/>
  <c r="P37" i="19"/>
  <c r="O37" i="19"/>
  <c r="L37" i="19"/>
  <c r="I37" i="19"/>
  <c r="E37" i="19"/>
  <c r="D37" i="19"/>
  <c r="Q36" i="19"/>
  <c r="P36" i="19"/>
  <c r="O36" i="19"/>
  <c r="U86" i="19" s="1"/>
  <c r="L36" i="19"/>
  <c r="I36" i="19"/>
  <c r="F36" i="19"/>
  <c r="R35" i="19"/>
  <c r="Q35" i="19"/>
  <c r="P35" i="19"/>
  <c r="O35" i="19"/>
  <c r="L35" i="19"/>
  <c r="I35" i="19"/>
  <c r="F35" i="19"/>
  <c r="R34" i="19" s="1"/>
  <c r="Q34" i="19"/>
  <c r="P34" i="19"/>
  <c r="O34" i="19"/>
  <c r="U84" i="19" s="1"/>
  <c r="L34" i="19"/>
  <c r="I34" i="19"/>
  <c r="F34" i="19"/>
  <c r="Q33" i="19"/>
  <c r="P33" i="19"/>
  <c r="O33" i="19"/>
  <c r="R33" i="19" s="1"/>
  <c r="L33" i="19"/>
  <c r="I33" i="19"/>
  <c r="F33" i="19"/>
  <c r="Q32" i="19"/>
  <c r="P32" i="19"/>
  <c r="O32" i="19"/>
  <c r="U82" i="19" s="1"/>
  <c r="L32" i="19"/>
  <c r="I32" i="19"/>
  <c r="E32" i="19"/>
  <c r="D32" i="19"/>
  <c r="Q31" i="19"/>
  <c r="P31" i="19"/>
  <c r="O31" i="19"/>
  <c r="R31" i="19" s="1"/>
  <c r="L31" i="19"/>
  <c r="I31" i="19"/>
  <c r="F31" i="19"/>
  <c r="R30" i="19"/>
  <c r="Q30" i="19"/>
  <c r="P30" i="19"/>
  <c r="O30" i="19"/>
  <c r="L30" i="19"/>
  <c r="I30" i="19"/>
  <c r="F30" i="19"/>
  <c r="Q29" i="19"/>
  <c r="P29" i="19"/>
  <c r="O29" i="19"/>
  <c r="R29" i="19" s="1"/>
  <c r="L29" i="19"/>
  <c r="I29" i="19"/>
  <c r="F29" i="19"/>
  <c r="R28" i="19"/>
  <c r="Q28" i="19"/>
  <c r="P28" i="19"/>
  <c r="O28" i="19"/>
  <c r="L28" i="19"/>
  <c r="I28" i="19"/>
  <c r="F28" i="19"/>
  <c r="Q27" i="19"/>
  <c r="P27" i="19"/>
  <c r="O27" i="19"/>
  <c r="R27" i="19" s="1"/>
  <c r="L27" i="19"/>
  <c r="I27" i="19"/>
  <c r="E27" i="19"/>
  <c r="D27" i="19"/>
  <c r="R26" i="19" s="1"/>
  <c r="Q26" i="19"/>
  <c r="P26" i="19"/>
  <c r="O26" i="19"/>
  <c r="U76" i="19" s="1"/>
  <c r="L26" i="19"/>
  <c r="I26" i="19"/>
  <c r="R25" i="19"/>
  <c r="Q25" i="19"/>
  <c r="P25" i="19"/>
  <c r="O25" i="19"/>
  <c r="L25" i="19"/>
  <c r="I25" i="19"/>
  <c r="Q24" i="19"/>
  <c r="P24" i="19"/>
  <c r="O24" i="19"/>
  <c r="U74" i="19" s="1"/>
  <c r="L24" i="19"/>
  <c r="I24" i="19"/>
  <c r="R23" i="19"/>
  <c r="Q23" i="19"/>
  <c r="P23" i="19"/>
  <c r="O23" i="19"/>
  <c r="L23" i="19"/>
  <c r="I23" i="19"/>
  <c r="Q22" i="19"/>
  <c r="P22" i="19"/>
  <c r="O22" i="19"/>
  <c r="U72" i="19" s="1"/>
  <c r="L22" i="19"/>
  <c r="I22" i="19"/>
  <c r="Q21" i="19"/>
  <c r="P21" i="19"/>
  <c r="O21" i="19"/>
  <c r="R21" i="19" s="1"/>
  <c r="L21" i="19"/>
  <c r="I21" i="19"/>
  <c r="F21" i="19"/>
  <c r="Q20" i="19"/>
  <c r="P20" i="19"/>
  <c r="O20" i="19"/>
  <c r="U70" i="19" s="1"/>
  <c r="L20" i="19"/>
  <c r="I20" i="19"/>
  <c r="F20" i="19"/>
  <c r="R19" i="19"/>
  <c r="Q19" i="19"/>
  <c r="P19" i="19"/>
  <c r="O19" i="19"/>
  <c r="L19" i="19"/>
  <c r="I19" i="19"/>
  <c r="F19" i="19"/>
  <c r="R18" i="19" s="1"/>
  <c r="Q18" i="19"/>
  <c r="P18" i="19"/>
  <c r="O18" i="19"/>
  <c r="U68" i="19" s="1"/>
  <c r="L18" i="19"/>
  <c r="I18" i="19"/>
  <c r="F18" i="19"/>
  <c r="Q17" i="19"/>
  <c r="P17" i="19"/>
  <c r="O17" i="19"/>
  <c r="R17" i="19" s="1"/>
  <c r="L17" i="19"/>
  <c r="I17" i="19"/>
  <c r="E17" i="19"/>
  <c r="D17" i="19"/>
  <c r="Q16" i="19"/>
  <c r="P16" i="19"/>
  <c r="O16" i="19"/>
  <c r="U66" i="19" s="1"/>
  <c r="L16" i="19"/>
  <c r="I16" i="19"/>
  <c r="F16" i="19"/>
  <c r="R15" i="19"/>
  <c r="Q15" i="19"/>
  <c r="P15" i="19"/>
  <c r="O15" i="19"/>
  <c r="L15" i="19"/>
  <c r="I15" i="19"/>
  <c r="F15" i="19"/>
  <c r="R14" i="19" s="1"/>
  <c r="Q14" i="19"/>
  <c r="P14" i="19"/>
  <c r="O14" i="19"/>
  <c r="U64" i="19" s="1"/>
  <c r="L14" i="19"/>
  <c r="I14" i="19"/>
  <c r="F14" i="19"/>
  <c r="Q13" i="19"/>
  <c r="P13" i="19"/>
  <c r="O13" i="19"/>
  <c r="R13" i="19" s="1"/>
  <c r="L13" i="19"/>
  <c r="I13" i="19"/>
  <c r="F13" i="19"/>
  <c r="Q12" i="19"/>
  <c r="Q54" i="19" s="1"/>
  <c r="P54" i="19" s="1"/>
  <c r="P12" i="19"/>
  <c r="O12" i="19"/>
  <c r="G104" i="19" s="1"/>
  <c r="U103" i="19" s="1"/>
  <c r="L12" i="19"/>
  <c r="I12" i="19"/>
  <c r="E12" i="19"/>
  <c r="D12" i="19"/>
  <c r="P6" i="19"/>
  <c r="N6" i="19"/>
  <c r="M6" i="19"/>
  <c r="L6" i="19"/>
  <c r="K6" i="19"/>
  <c r="J6" i="19"/>
  <c r="H6" i="19"/>
  <c r="G6" i="19"/>
  <c r="P5" i="19"/>
  <c r="N5" i="19"/>
  <c r="M5" i="19"/>
  <c r="L5" i="19"/>
  <c r="L7" i="19" s="1"/>
  <c r="K5" i="19"/>
  <c r="J5" i="19"/>
  <c r="H5" i="19"/>
  <c r="H7" i="19" s="1"/>
  <c r="G7" i="19" s="1"/>
  <c r="G5" i="19"/>
  <c r="R4" i="19"/>
  <c r="Q4" i="19"/>
  <c r="P4" i="19"/>
  <c r="O4" i="19"/>
  <c r="N4" i="19"/>
  <c r="M4" i="19"/>
  <c r="L4" i="19"/>
  <c r="K4" i="19"/>
  <c r="J4" i="19"/>
  <c r="I4" i="19"/>
  <c r="H4" i="19"/>
  <c r="G4" i="19"/>
  <c r="H1" i="19"/>
  <c r="G1" i="19"/>
  <c r="I104" i="18"/>
  <c r="T103" i="18"/>
  <c r="S103" i="18"/>
  <c r="Q103" i="18"/>
  <c r="P103" i="18"/>
  <c r="T102" i="18"/>
  <c r="S102" i="18"/>
  <c r="Q102" i="18"/>
  <c r="P102" i="18"/>
  <c r="T101" i="18"/>
  <c r="S101" i="18"/>
  <c r="Q101" i="18"/>
  <c r="P101" i="18"/>
  <c r="T100" i="18"/>
  <c r="S100" i="18"/>
  <c r="Q100" i="18"/>
  <c r="P100" i="18"/>
  <c r="T99" i="18"/>
  <c r="S99" i="18"/>
  <c r="Q99" i="18"/>
  <c r="P99" i="18"/>
  <c r="T98" i="18"/>
  <c r="T104" i="18" s="1"/>
  <c r="S98" i="18"/>
  <c r="S104" i="18" s="1"/>
  <c r="Q98" i="18"/>
  <c r="P98" i="18"/>
  <c r="T54" i="18"/>
  <c r="B54" i="18"/>
  <c r="Q53" i="18"/>
  <c r="P53" i="18"/>
  <c r="R53" i="18" s="1"/>
  <c r="O53" i="18"/>
  <c r="U103" i="18" s="1"/>
  <c r="L53" i="18"/>
  <c r="I53" i="18"/>
  <c r="Q52" i="18"/>
  <c r="P52" i="18"/>
  <c r="O52" i="18"/>
  <c r="U102" i="18" s="1"/>
  <c r="L52" i="18"/>
  <c r="I52" i="18"/>
  <c r="Q51" i="18"/>
  <c r="P51" i="18"/>
  <c r="O51" i="18"/>
  <c r="U101" i="18" s="1"/>
  <c r="L51" i="18"/>
  <c r="I51" i="18"/>
  <c r="F51" i="18"/>
  <c r="Q50" i="18"/>
  <c r="P50" i="18"/>
  <c r="O50" i="18"/>
  <c r="U100" i="18" s="1"/>
  <c r="L50" i="18"/>
  <c r="I50" i="18"/>
  <c r="F50" i="18"/>
  <c r="Q49" i="18"/>
  <c r="P49" i="18"/>
  <c r="O49" i="18"/>
  <c r="U99" i="18" s="1"/>
  <c r="L49" i="18"/>
  <c r="I49" i="18"/>
  <c r="F49" i="18"/>
  <c r="Q48" i="18"/>
  <c r="P48" i="18"/>
  <c r="O48" i="18"/>
  <c r="U98" i="18" s="1"/>
  <c r="U104" i="18" s="1"/>
  <c r="L48" i="18"/>
  <c r="I48" i="18"/>
  <c r="F48" i="18"/>
  <c r="Q47" i="18"/>
  <c r="P47" i="18"/>
  <c r="O47" i="18"/>
  <c r="I47" i="18"/>
  <c r="E47" i="18"/>
  <c r="D47" i="18"/>
  <c r="Q46" i="18"/>
  <c r="P46" i="18"/>
  <c r="O46" i="18"/>
  <c r="F46" i="18"/>
  <c r="Q45" i="18"/>
  <c r="P45" i="18"/>
  <c r="O45" i="18"/>
  <c r="F45" i="18"/>
  <c r="Q44" i="18"/>
  <c r="P44" i="18"/>
  <c r="O44" i="18"/>
  <c r="F44" i="18"/>
  <c r="Q43" i="18"/>
  <c r="P43" i="18"/>
  <c r="O43" i="18"/>
  <c r="F43" i="18"/>
  <c r="Q42" i="18"/>
  <c r="P42" i="18"/>
  <c r="O42" i="18"/>
  <c r="E42" i="18"/>
  <c r="D42" i="18"/>
  <c r="Q41" i="18"/>
  <c r="P41" i="18"/>
  <c r="R41" i="18" s="1"/>
  <c r="O41" i="18"/>
  <c r="F41" i="18"/>
  <c r="Q40" i="18"/>
  <c r="P40" i="18"/>
  <c r="R40" i="18" s="1"/>
  <c r="O40" i="18"/>
  <c r="Q39" i="18"/>
  <c r="P39" i="18"/>
  <c r="O39" i="18"/>
  <c r="Q38" i="18"/>
  <c r="P38" i="18"/>
  <c r="R38" i="18" s="1"/>
  <c r="O38" i="18"/>
  <c r="Q37" i="18"/>
  <c r="P37" i="18"/>
  <c r="O37" i="18"/>
  <c r="E37" i="18"/>
  <c r="D37" i="18"/>
  <c r="Q36" i="18"/>
  <c r="P36" i="18"/>
  <c r="R36" i="18" s="1"/>
  <c r="O36" i="18"/>
  <c r="F36" i="18"/>
  <c r="Q35" i="18"/>
  <c r="P35" i="18"/>
  <c r="R35" i="18" s="1"/>
  <c r="O35" i="18"/>
  <c r="F35" i="18"/>
  <c r="Q34" i="18"/>
  <c r="P34" i="18"/>
  <c r="R34" i="18" s="1"/>
  <c r="O34" i="18"/>
  <c r="F34" i="18"/>
  <c r="Q33" i="18"/>
  <c r="P33" i="18"/>
  <c r="R33" i="18" s="1"/>
  <c r="O33" i="18"/>
  <c r="F33" i="18"/>
  <c r="Q32" i="18"/>
  <c r="P32" i="18"/>
  <c r="R32" i="18" s="1"/>
  <c r="O32" i="18"/>
  <c r="E32" i="18"/>
  <c r="D32" i="18"/>
  <c r="Q31" i="18"/>
  <c r="P31" i="18"/>
  <c r="O31" i="18"/>
  <c r="F31" i="18"/>
  <c r="Q30" i="18"/>
  <c r="P30" i="18"/>
  <c r="O30" i="18"/>
  <c r="F30" i="18"/>
  <c r="Q29" i="18"/>
  <c r="P29" i="18"/>
  <c r="O29" i="18"/>
  <c r="F29" i="18"/>
  <c r="Q28" i="18"/>
  <c r="P28" i="18"/>
  <c r="O28" i="18"/>
  <c r="F28" i="18"/>
  <c r="Q27" i="18"/>
  <c r="P27" i="18"/>
  <c r="O27" i="18"/>
  <c r="E27" i="18"/>
  <c r="D27" i="18"/>
  <c r="Q26" i="18"/>
  <c r="P26" i="18"/>
  <c r="R26" i="18" s="1"/>
  <c r="O26" i="18"/>
  <c r="Q25" i="18"/>
  <c r="P25" i="18"/>
  <c r="O25" i="18"/>
  <c r="Q24" i="18"/>
  <c r="P24" i="18"/>
  <c r="R24" i="18" s="1"/>
  <c r="O24" i="18"/>
  <c r="Q23" i="18"/>
  <c r="P23" i="18"/>
  <c r="O23" i="18"/>
  <c r="Q22" i="18"/>
  <c r="P22" i="18"/>
  <c r="R22" i="18" s="1"/>
  <c r="O22" i="18"/>
  <c r="Q21" i="18"/>
  <c r="P21" i="18"/>
  <c r="O21" i="18"/>
  <c r="F21" i="18"/>
  <c r="Q20" i="18"/>
  <c r="P20" i="18"/>
  <c r="O20" i="18"/>
  <c r="F20" i="18"/>
  <c r="Q19" i="18"/>
  <c r="P19" i="18"/>
  <c r="O19" i="18"/>
  <c r="F19" i="18"/>
  <c r="Q18" i="18"/>
  <c r="P18" i="18"/>
  <c r="O18" i="18"/>
  <c r="F18" i="18"/>
  <c r="Q17" i="18"/>
  <c r="P17" i="18"/>
  <c r="O17" i="18"/>
  <c r="E17" i="18"/>
  <c r="D17" i="18"/>
  <c r="F17" i="18" s="1"/>
  <c r="Q16" i="18"/>
  <c r="P16" i="18"/>
  <c r="O16" i="18"/>
  <c r="F16" i="18"/>
  <c r="Q15" i="18"/>
  <c r="P15" i="18"/>
  <c r="O15" i="18"/>
  <c r="F15" i="18"/>
  <c r="Q14" i="18"/>
  <c r="P14" i="18"/>
  <c r="R14" i="18" s="1"/>
  <c r="O14" i="18"/>
  <c r="F14" i="18"/>
  <c r="Q13" i="18"/>
  <c r="P13" i="18"/>
  <c r="R13" i="18" s="1"/>
  <c r="O13" i="18"/>
  <c r="F13" i="18"/>
  <c r="Q12" i="18"/>
  <c r="Q54" i="18" s="1"/>
  <c r="P12" i="18"/>
  <c r="P54" i="18" s="1"/>
  <c r="R5" i="18" s="1"/>
  <c r="G18" i="92" s="1"/>
  <c r="O12" i="18"/>
  <c r="G104" i="18" s="1"/>
  <c r="E12" i="18"/>
  <c r="D12" i="18"/>
  <c r="P6" i="18"/>
  <c r="N6" i="18"/>
  <c r="M6" i="18"/>
  <c r="L6" i="18"/>
  <c r="K6" i="18"/>
  <c r="J6" i="18"/>
  <c r="H6" i="18"/>
  <c r="G6" i="18"/>
  <c r="P5" i="18"/>
  <c r="N5" i="18"/>
  <c r="M5" i="18"/>
  <c r="L5" i="18"/>
  <c r="L7" i="18" s="1"/>
  <c r="K7" i="18" s="1"/>
  <c r="J7" i="18" s="1"/>
  <c r="K5" i="18"/>
  <c r="J5" i="18"/>
  <c r="H5" i="18"/>
  <c r="G5" i="18"/>
  <c r="R4" i="18"/>
  <c r="Q4" i="18"/>
  <c r="P4" i="18"/>
  <c r="O4" i="18"/>
  <c r="N4" i="18"/>
  <c r="M4" i="18"/>
  <c r="L4" i="18"/>
  <c r="K4" i="18"/>
  <c r="J4" i="18"/>
  <c r="I4" i="18"/>
  <c r="H4" i="18"/>
  <c r="G4" i="18"/>
  <c r="H1" i="18"/>
  <c r="G1" i="18"/>
  <c r="I104" i="17"/>
  <c r="T103" i="17"/>
  <c r="S103" i="17"/>
  <c r="Q103" i="17"/>
  <c r="P103" i="17"/>
  <c r="T102" i="17"/>
  <c r="S102" i="17"/>
  <c r="Q102" i="17"/>
  <c r="P102" i="17"/>
  <c r="T101" i="17"/>
  <c r="S101" i="17"/>
  <c r="Q101" i="17"/>
  <c r="P101" i="17"/>
  <c r="T100" i="17"/>
  <c r="S100" i="17"/>
  <c r="Q100" i="17"/>
  <c r="P100" i="17"/>
  <c r="T99" i="17"/>
  <c r="S99" i="17"/>
  <c r="Q99" i="17"/>
  <c r="P99" i="17"/>
  <c r="T98" i="17"/>
  <c r="S98" i="17"/>
  <c r="Q98" i="17"/>
  <c r="P98" i="17"/>
  <c r="T97" i="17"/>
  <c r="S97" i="17"/>
  <c r="Q97" i="17"/>
  <c r="P97" i="17"/>
  <c r="T96" i="17"/>
  <c r="S96" i="17"/>
  <c r="Q96" i="17"/>
  <c r="P96" i="17"/>
  <c r="T95" i="17"/>
  <c r="S95" i="17"/>
  <c r="Q95" i="17"/>
  <c r="P95" i="17"/>
  <c r="T94" i="17"/>
  <c r="S94" i="17"/>
  <c r="Q94" i="17"/>
  <c r="P94" i="17"/>
  <c r="T93" i="17"/>
  <c r="S93" i="17"/>
  <c r="Q93" i="17"/>
  <c r="P93" i="17"/>
  <c r="T92" i="17"/>
  <c r="S92" i="17"/>
  <c r="Q92" i="17"/>
  <c r="P92" i="17"/>
  <c r="T91" i="17"/>
  <c r="S91" i="17"/>
  <c r="Q91" i="17"/>
  <c r="P91" i="17"/>
  <c r="T90" i="17"/>
  <c r="S90" i="17"/>
  <c r="Q90" i="17"/>
  <c r="P90" i="17"/>
  <c r="T89" i="17"/>
  <c r="S89" i="17"/>
  <c r="Q89" i="17"/>
  <c r="P89" i="17"/>
  <c r="T88" i="17"/>
  <c r="S88" i="17"/>
  <c r="Q88" i="17"/>
  <c r="P88" i="17"/>
  <c r="T87" i="17"/>
  <c r="S87" i="17"/>
  <c r="Q87" i="17"/>
  <c r="P87" i="17"/>
  <c r="T86" i="17"/>
  <c r="S86" i="17"/>
  <c r="Q86" i="17"/>
  <c r="P86" i="17"/>
  <c r="T85" i="17"/>
  <c r="S85" i="17"/>
  <c r="Q85" i="17"/>
  <c r="P85" i="17"/>
  <c r="T84" i="17"/>
  <c r="S84" i="17"/>
  <c r="Q84" i="17"/>
  <c r="P84" i="17"/>
  <c r="T83" i="17"/>
  <c r="S83" i="17"/>
  <c r="Q83" i="17"/>
  <c r="P83" i="17"/>
  <c r="T82" i="17"/>
  <c r="S82" i="17"/>
  <c r="Q82" i="17"/>
  <c r="P82" i="17"/>
  <c r="T81" i="17"/>
  <c r="S81" i="17"/>
  <c r="Q81" i="17"/>
  <c r="P81" i="17"/>
  <c r="P104" i="17" s="1"/>
  <c r="T80" i="17"/>
  <c r="S80" i="17"/>
  <c r="T79" i="17"/>
  <c r="S79" i="17"/>
  <c r="T78" i="17"/>
  <c r="S78" i="17"/>
  <c r="T77" i="17"/>
  <c r="S77" i="17"/>
  <c r="T76" i="17"/>
  <c r="S76" i="17"/>
  <c r="T75" i="17"/>
  <c r="S75" i="17"/>
  <c r="T74" i="17"/>
  <c r="S74" i="17"/>
  <c r="T73" i="17"/>
  <c r="S73" i="17"/>
  <c r="T72" i="17"/>
  <c r="S72" i="17"/>
  <c r="T71" i="17"/>
  <c r="S71" i="17"/>
  <c r="T70" i="17"/>
  <c r="S70" i="17"/>
  <c r="T69" i="17"/>
  <c r="S69" i="17"/>
  <c r="T68" i="17"/>
  <c r="S68" i="17"/>
  <c r="T67" i="17"/>
  <c r="S67" i="17"/>
  <c r="T66" i="17"/>
  <c r="S66" i="17"/>
  <c r="T65" i="17"/>
  <c r="S65" i="17"/>
  <c r="T64" i="17"/>
  <c r="S64" i="17"/>
  <c r="T63" i="17"/>
  <c r="S63" i="17"/>
  <c r="T62" i="17"/>
  <c r="S62" i="17"/>
  <c r="T54" i="17"/>
  <c r="B54" i="17"/>
  <c r="R53" i="17" s="1"/>
  <c r="Q53" i="17"/>
  <c r="P53" i="17"/>
  <c r="O53" i="17"/>
  <c r="U103" i="17" s="1"/>
  <c r="L53" i="17"/>
  <c r="I53" i="17"/>
  <c r="Q52" i="17"/>
  <c r="P52" i="17"/>
  <c r="O52" i="17"/>
  <c r="U102" i="17" s="1"/>
  <c r="L52" i="17"/>
  <c r="I52" i="17"/>
  <c r="R51" i="17"/>
  <c r="Q51" i="17"/>
  <c r="P51" i="17"/>
  <c r="O51" i="17"/>
  <c r="L51" i="17"/>
  <c r="I51" i="17"/>
  <c r="F51" i="17"/>
  <c r="R50" i="17" s="1"/>
  <c r="Q50" i="17"/>
  <c r="P50" i="17"/>
  <c r="O50" i="17"/>
  <c r="U100" i="17" s="1"/>
  <c r="L50" i="17"/>
  <c r="I50" i="17"/>
  <c r="F50" i="17"/>
  <c r="Q49" i="17"/>
  <c r="P49" i="17"/>
  <c r="O49" i="17"/>
  <c r="R49" i="17" s="1"/>
  <c r="L49" i="17"/>
  <c r="I49" i="17"/>
  <c r="F49" i="17"/>
  <c r="Q48" i="17"/>
  <c r="P48" i="17"/>
  <c r="O48" i="17"/>
  <c r="U98" i="17" s="1"/>
  <c r="L48" i="17"/>
  <c r="I48" i="17"/>
  <c r="F48" i="17"/>
  <c r="R47" i="17"/>
  <c r="Q47" i="17"/>
  <c r="P47" i="17"/>
  <c r="O47" i="17"/>
  <c r="L47" i="17"/>
  <c r="I47" i="17"/>
  <c r="E47" i="17"/>
  <c r="D47" i="17"/>
  <c r="Q46" i="17"/>
  <c r="P46" i="17"/>
  <c r="O46" i="17"/>
  <c r="U96" i="17" s="1"/>
  <c r="L46" i="17"/>
  <c r="I46" i="17"/>
  <c r="F46" i="17"/>
  <c r="R45" i="17"/>
  <c r="Q45" i="17"/>
  <c r="P45" i="17"/>
  <c r="O45" i="17"/>
  <c r="L45" i="17"/>
  <c r="I45" i="17"/>
  <c r="F45" i="17"/>
  <c r="R44" i="17" s="1"/>
  <c r="Q44" i="17"/>
  <c r="P44" i="17"/>
  <c r="O44" i="17"/>
  <c r="U94" i="17" s="1"/>
  <c r="L44" i="17"/>
  <c r="I44" i="17"/>
  <c r="F44" i="17"/>
  <c r="Q43" i="17"/>
  <c r="P43" i="17"/>
  <c r="O43" i="17"/>
  <c r="R43" i="17" s="1"/>
  <c r="L43" i="17"/>
  <c r="I43" i="17"/>
  <c r="F43" i="17"/>
  <c r="Q42" i="17"/>
  <c r="P42" i="17"/>
  <c r="O42" i="17"/>
  <c r="U92" i="17" s="1"/>
  <c r="L42" i="17"/>
  <c r="I42" i="17"/>
  <c r="E42" i="17"/>
  <c r="D42" i="17"/>
  <c r="Q41" i="17"/>
  <c r="P41" i="17"/>
  <c r="O41" i="17"/>
  <c r="R41" i="17" s="1"/>
  <c r="L41" i="17"/>
  <c r="I41" i="17"/>
  <c r="F41" i="17"/>
  <c r="Q40" i="17"/>
  <c r="P40" i="17"/>
  <c r="O40" i="17"/>
  <c r="U90" i="17" s="1"/>
  <c r="L40" i="17"/>
  <c r="I40" i="17"/>
  <c r="F40" i="17"/>
  <c r="R39" i="17"/>
  <c r="Q39" i="17"/>
  <c r="P39" i="17"/>
  <c r="O39" i="17"/>
  <c r="L39" i="17"/>
  <c r="I39" i="17"/>
  <c r="F39" i="17"/>
  <c r="R38" i="17" s="1"/>
  <c r="Q38" i="17"/>
  <c r="P38" i="17"/>
  <c r="O38" i="17"/>
  <c r="U88" i="17" s="1"/>
  <c r="L38" i="17"/>
  <c r="I38" i="17"/>
  <c r="F38" i="17"/>
  <c r="Q37" i="17"/>
  <c r="P37" i="17"/>
  <c r="O37" i="17"/>
  <c r="R37" i="17" s="1"/>
  <c r="L37" i="17"/>
  <c r="I37" i="17"/>
  <c r="E37" i="17"/>
  <c r="D37" i="17"/>
  <c r="R36" i="17" s="1"/>
  <c r="Q36" i="17"/>
  <c r="P36" i="17"/>
  <c r="O36" i="17"/>
  <c r="U86" i="17" s="1"/>
  <c r="L36" i="17"/>
  <c r="I36" i="17"/>
  <c r="F36" i="17"/>
  <c r="Q35" i="17"/>
  <c r="P35" i="17"/>
  <c r="O35" i="17"/>
  <c r="R35" i="17" s="1"/>
  <c r="L35" i="17"/>
  <c r="I35" i="17"/>
  <c r="F35" i="17"/>
  <c r="Q34" i="17"/>
  <c r="P34" i="17"/>
  <c r="O34" i="17"/>
  <c r="U84" i="17" s="1"/>
  <c r="L34" i="17"/>
  <c r="I34" i="17"/>
  <c r="F34" i="17"/>
  <c r="R33" i="17"/>
  <c r="Q33" i="17"/>
  <c r="P33" i="17"/>
  <c r="O33" i="17"/>
  <c r="L33" i="17"/>
  <c r="I33" i="17"/>
  <c r="F33" i="17"/>
  <c r="R32" i="17" s="1"/>
  <c r="Q32" i="17"/>
  <c r="P32" i="17"/>
  <c r="O32" i="17"/>
  <c r="U82" i="17" s="1"/>
  <c r="L32" i="17"/>
  <c r="I32" i="17"/>
  <c r="E32" i="17"/>
  <c r="D32" i="17"/>
  <c r="R31" i="17"/>
  <c r="Q31" i="17"/>
  <c r="P31" i="17"/>
  <c r="O31" i="17"/>
  <c r="L31" i="17"/>
  <c r="I31" i="17"/>
  <c r="F31" i="17"/>
  <c r="R30" i="17" s="1"/>
  <c r="Q30" i="17"/>
  <c r="P30" i="17"/>
  <c r="O30" i="17"/>
  <c r="U80" i="17" s="1"/>
  <c r="L30" i="17"/>
  <c r="I30" i="17"/>
  <c r="F30" i="17"/>
  <c r="Q29" i="17"/>
  <c r="P29" i="17"/>
  <c r="O29" i="17"/>
  <c r="R29" i="17" s="1"/>
  <c r="L29" i="17"/>
  <c r="I29" i="17"/>
  <c r="F29" i="17"/>
  <c r="Q28" i="17"/>
  <c r="P28" i="17"/>
  <c r="O28" i="17"/>
  <c r="U78" i="17" s="1"/>
  <c r="L28" i="17"/>
  <c r="I28" i="17"/>
  <c r="F28" i="17"/>
  <c r="R27" i="17"/>
  <c r="Q27" i="17"/>
  <c r="P27" i="17"/>
  <c r="O27" i="17"/>
  <c r="L27" i="17"/>
  <c r="I27" i="17"/>
  <c r="E27" i="17"/>
  <c r="D27" i="17"/>
  <c r="Q26" i="17"/>
  <c r="P26" i="17"/>
  <c r="O26" i="17"/>
  <c r="U76" i="17" s="1"/>
  <c r="L26" i="17"/>
  <c r="I26" i="17"/>
  <c r="Q25" i="17"/>
  <c r="P25" i="17"/>
  <c r="O25" i="17"/>
  <c r="R25" i="17" s="1"/>
  <c r="L25" i="17"/>
  <c r="I25" i="17"/>
  <c r="R24" i="17" s="1"/>
  <c r="Q24" i="17"/>
  <c r="P24" i="17"/>
  <c r="O24" i="17"/>
  <c r="U74" i="17" s="1"/>
  <c r="L24" i="17"/>
  <c r="I24" i="17"/>
  <c r="R23" i="17"/>
  <c r="Q23" i="17"/>
  <c r="P23" i="17"/>
  <c r="O23" i="17"/>
  <c r="L23" i="17"/>
  <c r="I23" i="17"/>
  <c r="Q22" i="17"/>
  <c r="P22" i="17"/>
  <c r="O22" i="17"/>
  <c r="U72" i="17" s="1"/>
  <c r="L22" i="17"/>
  <c r="I22" i="17"/>
  <c r="Q21" i="17"/>
  <c r="P21" i="17"/>
  <c r="O21" i="17"/>
  <c r="R21" i="17" s="1"/>
  <c r="L21" i="17"/>
  <c r="I21" i="17"/>
  <c r="F21" i="17"/>
  <c r="Q20" i="17"/>
  <c r="P20" i="17"/>
  <c r="O20" i="17"/>
  <c r="U70" i="17" s="1"/>
  <c r="L20" i="17"/>
  <c r="I20" i="17"/>
  <c r="F20" i="17"/>
  <c r="R19" i="17"/>
  <c r="Q19" i="17"/>
  <c r="P19" i="17"/>
  <c r="O19" i="17"/>
  <c r="L19" i="17"/>
  <c r="I19" i="17"/>
  <c r="F19" i="17"/>
  <c r="R18" i="17" s="1"/>
  <c r="Q18" i="17"/>
  <c r="P18" i="17"/>
  <c r="O18" i="17"/>
  <c r="U68" i="17" s="1"/>
  <c r="L18" i="17"/>
  <c r="I18" i="17"/>
  <c r="F18" i="17"/>
  <c r="Q17" i="17"/>
  <c r="P17" i="17"/>
  <c r="O17" i="17"/>
  <c r="R17" i="17" s="1"/>
  <c r="L17" i="17"/>
  <c r="I17" i="17"/>
  <c r="E17" i="17"/>
  <c r="D17" i="17"/>
  <c r="Q16" i="17"/>
  <c r="P16" i="17"/>
  <c r="O16" i="17"/>
  <c r="U66" i="17" s="1"/>
  <c r="L16" i="17"/>
  <c r="I16" i="17"/>
  <c r="F16" i="17"/>
  <c r="R15" i="17"/>
  <c r="Q15" i="17"/>
  <c r="P15" i="17"/>
  <c r="O15" i="17"/>
  <c r="L15" i="17"/>
  <c r="I15" i="17"/>
  <c r="F15" i="17"/>
  <c r="R14" i="17" s="1"/>
  <c r="Q14" i="17"/>
  <c r="P14" i="17"/>
  <c r="O14" i="17"/>
  <c r="U64" i="17" s="1"/>
  <c r="L14" i="17"/>
  <c r="I14" i="17"/>
  <c r="F14" i="17"/>
  <c r="Q13" i="17"/>
  <c r="P13" i="17"/>
  <c r="O13" i="17"/>
  <c r="R13" i="17" s="1"/>
  <c r="L13" i="17"/>
  <c r="I13" i="17"/>
  <c r="F13" i="17"/>
  <c r="Q12" i="17"/>
  <c r="Q54" i="17" s="1"/>
  <c r="P54" i="17" s="1"/>
  <c r="P12" i="17"/>
  <c r="O12" i="17"/>
  <c r="U62" i="17" s="1"/>
  <c r="L12" i="17"/>
  <c r="I12" i="17"/>
  <c r="E12" i="17"/>
  <c r="G6" i="17" s="1"/>
  <c r="D12" i="17"/>
  <c r="L7" i="17"/>
  <c r="P6" i="17"/>
  <c r="N6" i="17"/>
  <c r="M6" i="17"/>
  <c r="L6" i="17"/>
  <c r="K6" i="17"/>
  <c r="J6" i="17"/>
  <c r="H6" i="17"/>
  <c r="P5" i="17"/>
  <c r="N5" i="17"/>
  <c r="M5" i="17"/>
  <c r="L5" i="17"/>
  <c r="K5" i="17"/>
  <c r="J5" i="17"/>
  <c r="J7" i="17" s="1"/>
  <c r="H5" i="17"/>
  <c r="G5" i="17"/>
  <c r="R4" i="17"/>
  <c r="Q4" i="17"/>
  <c r="V4" i="17" s="1"/>
  <c r="U4" i="17" s="1"/>
  <c r="T4" i="17" s="1"/>
  <c r="S4" i="17" s="1"/>
  <c r="P4" i="17"/>
  <c r="O4" i="17"/>
  <c r="N4" i="17"/>
  <c r="M4" i="17"/>
  <c r="L4" i="17"/>
  <c r="K4" i="17"/>
  <c r="J4" i="17"/>
  <c r="I4" i="17"/>
  <c r="H4" i="17"/>
  <c r="G4" i="17"/>
  <c r="H1" i="17"/>
  <c r="G1" i="17"/>
  <c r="I104" i="16"/>
  <c r="T103" i="16"/>
  <c r="S103" i="16"/>
  <c r="Q103" i="16"/>
  <c r="P103" i="16"/>
  <c r="T102" i="16"/>
  <c r="S102" i="16"/>
  <c r="Q102" i="16"/>
  <c r="P102" i="16"/>
  <c r="T101" i="16"/>
  <c r="S101" i="16"/>
  <c r="Q101" i="16"/>
  <c r="P101" i="16"/>
  <c r="T100" i="16"/>
  <c r="S100" i="16"/>
  <c r="Q100" i="16"/>
  <c r="P100" i="16"/>
  <c r="T99" i="16"/>
  <c r="S99" i="16"/>
  <c r="Q99" i="16"/>
  <c r="P99" i="16"/>
  <c r="T98" i="16"/>
  <c r="S98" i="16"/>
  <c r="Q98" i="16"/>
  <c r="P98" i="16"/>
  <c r="T97" i="16"/>
  <c r="S97" i="16"/>
  <c r="Q97" i="16"/>
  <c r="P97" i="16"/>
  <c r="T96" i="16"/>
  <c r="S96" i="16"/>
  <c r="Q96" i="16"/>
  <c r="P96" i="16"/>
  <c r="T95" i="16"/>
  <c r="S95" i="16"/>
  <c r="Q95" i="16"/>
  <c r="P95" i="16"/>
  <c r="T94" i="16"/>
  <c r="S94" i="16"/>
  <c r="Q94" i="16"/>
  <c r="P94" i="16"/>
  <c r="T93" i="16"/>
  <c r="S93" i="16"/>
  <c r="Q93" i="16"/>
  <c r="P93" i="16"/>
  <c r="T92" i="16"/>
  <c r="S92" i="16"/>
  <c r="Q92" i="16"/>
  <c r="P92" i="16"/>
  <c r="T91" i="16"/>
  <c r="S91" i="16"/>
  <c r="Q91" i="16"/>
  <c r="P91" i="16"/>
  <c r="T90" i="16"/>
  <c r="S90" i="16"/>
  <c r="Q90" i="16"/>
  <c r="P90" i="16"/>
  <c r="T89" i="16"/>
  <c r="S89" i="16"/>
  <c r="Q89" i="16"/>
  <c r="P89" i="16"/>
  <c r="T88" i="16"/>
  <c r="S88" i="16"/>
  <c r="Q88" i="16"/>
  <c r="P88" i="16"/>
  <c r="T87" i="16"/>
  <c r="S87" i="16"/>
  <c r="Q87" i="16"/>
  <c r="P87" i="16"/>
  <c r="T86" i="16"/>
  <c r="S86" i="16"/>
  <c r="Q86" i="16"/>
  <c r="P86" i="16"/>
  <c r="T85" i="16"/>
  <c r="S85" i="16"/>
  <c r="Q85" i="16"/>
  <c r="P85" i="16"/>
  <c r="T84" i="16"/>
  <c r="S84" i="16"/>
  <c r="Q84" i="16"/>
  <c r="P84" i="16"/>
  <c r="T83" i="16"/>
  <c r="S83" i="16"/>
  <c r="Q83" i="16"/>
  <c r="P83" i="16"/>
  <c r="T82" i="16"/>
  <c r="S82" i="16"/>
  <c r="Q82" i="16"/>
  <c r="P82" i="16"/>
  <c r="T81" i="16"/>
  <c r="S81" i="16"/>
  <c r="Q81" i="16"/>
  <c r="P81" i="16"/>
  <c r="T80" i="16"/>
  <c r="S80" i="16"/>
  <c r="Q80" i="16"/>
  <c r="P80" i="16"/>
  <c r="T79" i="16"/>
  <c r="S79" i="16"/>
  <c r="Q79" i="16"/>
  <c r="P79" i="16"/>
  <c r="T78" i="16"/>
  <c r="S78" i="16"/>
  <c r="Q78" i="16"/>
  <c r="P78" i="16"/>
  <c r="T77" i="16"/>
  <c r="S77" i="16"/>
  <c r="Q77" i="16"/>
  <c r="P77" i="16"/>
  <c r="T76" i="16"/>
  <c r="S76" i="16"/>
  <c r="Q76" i="16"/>
  <c r="P76" i="16"/>
  <c r="T75" i="16"/>
  <c r="S75" i="16"/>
  <c r="Q75" i="16"/>
  <c r="P75" i="16"/>
  <c r="T74" i="16"/>
  <c r="S74" i="16"/>
  <c r="Q74" i="16"/>
  <c r="P74" i="16"/>
  <c r="T73" i="16"/>
  <c r="S73" i="16"/>
  <c r="Q73" i="16"/>
  <c r="P73" i="16"/>
  <c r="T72" i="16"/>
  <c r="S72" i="16"/>
  <c r="Q72" i="16"/>
  <c r="P72" i="16"/>
  <c r="T71" i="16"/>
  <c r="S71" i="16"/>
  <c r="Q71" i="16"/>
  <c r="P71" i="16"/>
  <c r="T70" i="16"/>
  <c r="S70" i="16"/>
  <c r="Q70" i="16"/>
  <c r="P70" i="16"/>
  <c r="T69" i="16"/>
  <c r="S69" i="16"/>
  <c r="Q69" i="16"/>
  <c r="P69" i="16"/>
  <c r="T68" i="16"/>
  <c r="S68" i="16"/>
  <c r="Q68" i="16"/>
  <c r="P68" i="16"/>
  <c r="T67" i="16"/>
  <c r="S67" i="16"/>
  <c r="Q67" i="16"/>
  <c r="P67" i="16"/>
  <c r="T66" i="16"/>
  <c r="S66" i="16"/>
  <c r="Q66" i="16"/>
  <c r="P66" i="16"/>
  <c r="T65" i="16"/>
  <c r="S65" i="16"/>
  <c r="Q65" i="16"/>
  <c r="P65" i="16"/>
  <c r="T64" i="16"/>
  <c r="S64" i="16"/>
  <c r="T63" i="16"/>
  <c r="S63" i="16"/>
  <c r="T62" i="16"/>
  <c r="S62" i="16"/>
  <c r="T54" i="16"/>
  <c r="B54" i="16"/>
  <c r="Q53" i="16"/>
  <c r="P53" i="16"/>
  <c r="O53" i="16"/>
  <c r="R53" i="16" s="1"/>
  <c r="L53" i="16"/>
  <c r="I53" i="16"/>
  <c r="Q52" i="16"/>
  <c r="P52" i="16"/>
  <c r="O52" i="16"/>
  <c r="R52" i="16" s="1"/>
  <c r="L52" i="16"/>
  <c r="I52" i="16"/>
  <c r="R51" i="16"/>
  <c r="Q51" i="16"/>
  <c r="P51" i="16"/>
  <c r="O51" i="16"/>
  <c r="L51" i="16"/>
  <c r="I51" i="16"/>
  <c r="F51" i="16"/>
  <c r="Q50" i="16"/>
  <c r="P50" i="16"/>
  <c r="O50" i="16"/>
  <c r="R50" i="16" s="1"/>
  <c r="L50" i="16"/>
  <c r="I50" i="16"/>
  <c r="F50" i="16"/>
  <c r="R49" i="16"/>
  <c r="Q49" i="16"/>
  <c r="P49" i="16"/>
  <c r="O49" i="16"/>
  <c r="L49" i="16"/>
  <c r="I49" i="16"/>
  <c r="F49" i="16"/>
  <c r="Q48" i="16"/>
  <c r="P48" i="16"/>
  <c r="O48" i="16"/>
  <c r="R48" i="16" s="1"/>
  <c r="L48" i="16"/>
  <c r="I48" i="16"/>
  <c r="F48" i="16"/>
  <c r="R47" i="16"/>
  <c r="Q47" i="16"/>
  <c r="P47" i="16"/>
  <c r="O47" i="16"/>
  <c r="L47" i="16"/>
  <c r="I47" i="16"/>
  <c r="E47" i="16"/>
  <c r="D47" i="16"/>
  <c r="Q46" i="16"/>
  <c r="P46" i="16"/>
  <c r="O46" i="16"/>
  <c r="R46" i="16" s="1"/>
  <c r="L46" i="16"/>
  <c r="I46" i="16"/>
  <c r="F46" i="16"/>
  <c r="Q45" i="16"/>
  <c r="P45" i="16"/>
  <c r="O45" i="16"/>
  <c r="R45" i="16" s="1"/>
  <c r="L45" i="16"/>
  <c r="I45" i="16"/>
  <c r="F45" i="16"/>
  <c r="Q44" i="16"/>
  <c r="P44" i="16"/>
  <c r="O44" i="16"/>
  <c r="R44" i="16" s="1"/>
  <c r="L44" i="16"/>
  <c r="I44" i="16"/>
  <c r="F44" i="16"/>
  <c r="R43" i="16"/>
  <c r="Q43" i="16"/>
  <c r="P43" i="16"/>
  <c r="O43" i="16"/>
  <c r="L43" i="16"/>
  <c r="I43" i="16"/>
  <c r="F43" i="16"/>
  <c r="Q42" i="16"/>
  <c r="P42" i="16"/>
  <c r="O42" i="16"/>
  <c r="R42" i="16" s="1"/>
  <c r="L42" i="16"/>
  <c r="I42" i="16"/>
  <c r="E42" i="16"/>
  <c r="D42" i="16"/>
  <c r="Q41" i="16"/>
  <c r="P41" i="16"/>
  <c r="O41" i="16"/>
  <c r="R41" i="16" s="1"/>
  <c r="L41" i="16"/>
  <c r="I41" i="16"/>
  <c r="F41" i="16"/>
  <c r="R40" i="16"/>
  <c r="Q40" i="16"/>
  <c r="P40" i="16"/>
  <c r="O40" i="16"/>
  <c r="L40" i="16"/>
  <c r="I40" i="16"/>
  <c r="F40" i="16"/>
  <c r="Q39" i="16"/>
  <c r="P39" i="16"/>
  <c r="O39" i="16"/>
  <c r="R39" i="16" s="1"/>
  <c r="L39" i="16"/>
  <c r="I39" i="16"/>
  <c r="F39" i="16"/>
  <c r="R38" i="16"/>
  <c r="Q38" i="16"/>
  <c r="P38" i="16"/>
  <c r="O38" i="16"/>
  <c r="L38" i="16"/>
  <c r="I38" i="16"/>
  <c r="F38" i="16"/>
  <c r="Q37" i="16"/>
  <c r="P37" i="16"/>
  <c r="O37" i="16"/>
  <c r="R37" i="16" s="1"/>
  <c r="L37" i="16"/>
  <c r="I37" i="16"/>
  <c r="E37" i="16"/>
  <c r="D37" i="16"/>
  <c r="Q36" i="16"/>
  <c r="P36" i="16"/>
  <c r="O36" i="16"/>
  <c r="R36" i="16" s="1"/>
  <c r="L36" i="16"/>
  <c r="I36" i="16"/>
  <c r="F36" i="16"/>
  <c r="R35" i="16"/>
  <c r="Q35" i="16"/>
  <c r="P35" i="16"/>
  <c r="O35" i="16"/>
  <c r="L35" i="16"/>
  <c r="I35" i="16"/>
  <c r="F35" i="16"/>
  <c r="Q34" i="16"/>
  <c r="P34" i="16"/>
  <c r="O34" i="16"/>
  <c r="R34" i="16" s="1"/>
  <c r="L34" i="16"/>
  <c r="I34" i="16"/>
  <c r="F34" i="16"/>
  <c r="R33" i="16"/>
  <c r="Q33" i="16"/>
  <c r="P33" i="16"/>
  <c r="O33" i="16"/>
  <c r="L33" i="16"/>
  <c r="I33" i="16"/>
  <c r="F33" i="16"/>
  <c r="Q32" i="16"/>
  <c r="P32" i="16"/>
  <c r="O32" i="16"/>
  <c r="R32" i="16" s="1"/>
  <c r="L32" i="16"/>
  <c r="I32" i="16"/>
  <c r="E32" i="16"/>
  <c r="D32" i="16"/>
  <c r="Q31" i="16"/>
  <c r="P31" i="16"/>
  <c r="O31" i="16"/>
  <c r="R31" i="16" s="1"/>
  <c r="L31" i="16"/>
  <c r="I31" i="16"/>
  <c r="F31" i="16"/>
  <c r="R30" i="16"/>
  <c r="Q30" i="16"/>
  <c r="P30" i="16"/>
  <c r="O30" i="16"/>
  <c r="L30" i="16"/>
  <c r="I30" i="16"/>
  <c r="F30" i="16"/>
  <c r="Q29" i="16"/>
  <c r="P29" i="16"/>
  <c r="O29" i="16"/>
  <c r="R29" i="16" s="1"/>
  <c r="L29" i="16"/>
  <c r="I29" i="16"/>
  <c r="F29" i="16"/>
  <c r="R28" i="16"/>
  <c r="Q28" i="16"/>
  <c r="P28" i="16"/>
  <c r="O28" i="16"/>
  <c r="L28" i="16"/>
  <c r="I28" i="16"/>
  <c r="F28" i="16"/>
  <c r="Q27" i="16"/>
  <c r="P27" i="16"/>
  <c r="O27" i="16"/>
  <c r="R27" i="16" s="1"/>
  <c r="L27" i="16"/>
  <c r="I27" i="16"/>
  <c r="E27" i="16"/>
  <c r="D27" i="16"/>
  <c r="Q26" i="16"/>
  <c r="P26" i="16"/>
  <c r="O26" i="16"/>
  <c r="R26" i="16" s="1"/>
  <c r="L26" i="16"/>
  <c r="I26" i="16"/>
  <c r="Q25" i="16"/>
  <c r="P25" i="16"/>
  <c r="O25" i="16"/>
  <c r="R25" i="16" s="1"/>
  <c r="L25" i="16"/>
  <c r="I25" i="16"/>
  <c r="Q24" i="16"/>
  <c r="P24" i="16"/>
  <c r="O24" i="16"/>
  <c r="R24" i="16" s="1"/>
  <c r="L24" i="16"/>
  <c r="I24" i="16"/>
  <c r="R23" i="16"/>
  <c r="Q23" i="16"/>
  <c r="P23" i="16"/>
  <c r="O23" i="16"/>
  <c r="L23" i="16"/>
  <c r="I23" i="16"/>
  <c r="R22" i="16"/>
  <c r="Q22" i="16"/>
  <c r="P22" i="16"/>
  <c r="O22" i="16"/>
  <c r="L22" i="16"/>
  <c r="I22" i="16"/>
  <c r="R21" i="16"/>
  <c r="Q21" i="16"/>
  <c r="P21" i="16"/>
  <c r="O21" i="16"/>
  <c r="L21" i="16"/>
  <c r="I21" i="16"/>
  <c r="F21" i="16"/>
  <c r="Q20" i="16"/>
  <c r="P20" i="16"/>
  <c r="O20" i="16"/>
  <c r="R20" i="16" s="1"/>
  <c r="L20" i="16"/>
  <c r="I20" i="16"/>
  <c r="F20" i="16"/>
  <c r="R19" i="16"/>
  <c r="Q19" i="16"/>
  <c r="P19" i="16"/>
  <c r="O19" i="16"/>
  <c r="L19" i="16"/>
  <c r="I19" i="16"/>
  <c r="F19" i="16"/>
  <c r="Q18" i="16"/>
  <c r="P18" i="16"/>
  <c r="O18" i="16"/>
  <c r="R18" i="16" s="1"/>
  <c r="L18" i="16"/>
  <c r="I18" i="16"/>
  <c r="F18" i="16"/>
  <c r="R17" i="16"/>
  <c r="Q17" i="16"/>
  <c r="P17" i="16"/>
  <c r="O17" i="16"/>
  <c r="L17" i="16"/>
  <c r="I17" i="16"/>
  <c r="E17" i="16"/>
  <c r="D17" i="16"/>
  <c r="D24" i="16" s="1"/>
  <c r="R16" i="16"/>
  <c r="Q16" i="16"/>
  <c r="P16" i="16"/>
  <c r="O16" i="16"/>
  <c r="L16" i="16"/>
  <c r="I16" i="16"/>
  <c r="F16" i="16"/>
  <c r="Q15" i="16"/>
  <c r="P15" i="16"/>
  <c r="O15" i="16"/>
  <c r="R15" i="16" s="1"/>
  <c r="L15" i="16"/>
  <c r="I15" i="16"/>
  <c r="F15" i="16"/>
  <c r="R14" i="16"/>
  <c r="P64" i="16" s="1"/>
  <c r="Q14" i="16"/>
  <c r="P14" i="16"/>
  <c r="O14" i="16"/>
  <c r="L14" i="16"/>
  <c r="I14" i="16"/>
  <c r="F14" i="16"/>
  <c r="Q13" i="16"/>
  <c r="P13" i="16"/>
  <c r="O13" i="16"/>
  <c r="R13" i="16" s="1"/>
  <c r="P63" i="16" s="1"/>
  <c r="L13" i="16"/>
  <c r="I13" i="16"/>
  <c r="F13" i="16"/>
  <c r="R12" i="16"/>
  <c r="P62" i="16" s="1"/>
  <c r="Q12" i="16"/>
  <c r="P12" i="16"/>
  <c r="O12" i="16"/>
  <c r="U62" i="16" s="1"/>
  <c r="L12" i="16"/>
  <c r="I12" i="16"/>
  <c r="E12" i="16"/>
  <c r="D12" i="16"/>
  <c r="P6" i="16"/>
  <c r="N6" i="16"/>
  <c r="M6" i="16"/>
  <c r="L6" i="16"/>
  <c r="K6" i="16"/>
  <c r="J6" i="16"/>
  <c r="H6" i="16"/>
  <c r="G6" i="16"/>
  <c r="P5" i="16"/>
  <c r="N5" i="16"/>
  <c r="M5" i="16"/>
  <c r="L5" i="16"/>
  <c r="K5" i="16"/>
  <c r="J5" i="16"/>
  <c r="H5" i="16"/>
  <c r="G5" i="16"/>
  <c r="R4" i="16"/>
  <c r="Q4" i="16"/>
  <c r="P4" i="16"/>
  <c r="O4" i="16"/>
  <c r="N4" i="16"/>
  <c r="M4" i="16"/>
  <c r="L4" i="16"/>
  <c r="K4" i="16"/>
  <c r="J4" i="16"/>
  <c r="I4" i="16"/>
  <c r="H4" i="16"/>
  <c r="G4" i="16"/>
  <c r="H1" i="16"/>
  <c r="G1" i="16"/>
  <c r="U104" i="15"/>
  <c r="T104" i="15"/>
  <c r="S104" i="15"/>
  <c r="T54" i="15"/>
  <c r="B54" i="15"/>
  <c r="Q52" i="15"/>
  <c r="P52" i="15"/>
  <c r="O52" i="15"/>
  <c r="R52" i="15" s="1"/>
  <c r="L52" i="15"/>
  <c r="I52" i="15"/>
  <c r="F52" i="15" s="1"/>
  <c r="E52" i="15" s="1"/>
  <c r="D52" i="15" s="1"/>
  <c r="R51" i="15" s="1"/>
  <c r="Q51" i="15"/>
  <c r="P51" i="15"/>
  <c r="O51" i="15"/>
  <c r="L51" i="15"/>
  <c r="I51" i="15"/>
  <c r="F51" i="15"/>
  <c r="Q50" i="15"/>
  <c r="P50" i="15"/>
  <c r="O50" i="15"/>
  <c r="R50" i="15" s="1"/>
  <c r="L50" i="15"/>
  <c r="I50" i="15"/>
  <c r="F50" i="15"/>
  <c r="Q49" i="15"/>
  <c r="P49" i="15"/>
  <c r="O49" i="15"/>
  <c r="L49" i="15"/>
  <c r="I49" i="15"/>
  <c r="F49" i="15"/>
  <c r="R48" i="15"/>
  <c r="Q48" i="15"/>
  <c r="P48" i="15"/>
  <c r="O48" i="15"/>
  <c r="L48" i="15"/>
  <c r="I48" i="15"/>
  <c r="F48" i="15"/>
  <c r="R47" i="15" s="1"/>
  <c r="Q47" i="15"/>
  <c r="P47" i="15"/>
  <c r="O47" i="15"/>
  <c r="L47" i="15"/>
  <c r="I47" i="15"/>
  <c r="E47" i="15"/>
  <c r="D47" i="15"/>
  <c r="Q46" i="15"/>
  <c r="P46" i="15"/>
  <c r="O46" i="15"/>
  <c r="R46" i="15" s="1"/>
  <c r="L46" i="15"/>
  <c r="I46" i="15"/>
  <c r="F46" i="15"/>
  <c r="Q45" i="15"/>
  <c r="P45" i="15"/>
  <c r="O45" i="15"/>
  <c r="L45" i="15"/>
  <c r="I45" i="15"/>
  <c r="F45" i="15"/>
  <c r="Q44" i="15"/>
  <c r="P44" i="15"/>
  <c r="O44" i="15"/>
  <c r="R44" i="15" s="1"/>
  <c r="L44" i="15"/>
  <c r="I44" i="15"/>
  <c r="F44" i="15"/>
  <c r="Q43" i="15"/>
  <c r="P43" i="15"/>
  <c r="O43" i="15"/>
  <c r="L43" i="15"/>
  <c r="I43" i="15"/>
  <c r="F43" i="15"/>
  <c r="Q42" i="15"/>
  <c r="P42" i="15"/>
  <c r="O42" i="15"/>
  <c r="R42" i="15" s="1"/>
  <c r="L42" i="15"/>
  <c r="I42" i="15"/>
  <c r="E42" i="15"/>
  <c r="D42" i="15"/>
  <c r="R41" i="15" s="1"/>
  <c r="Q41" i="15"/>
  <c r="P41" i="15"/>
  <c r="O41" i="15"/>
  <c r="L41" i="15"/>
  <c r="I41" i="15"/>
  <c r="F41" i="15"/>
  <c r="Q40" i="15"/>
  <c r="P40" i="15"/>
  <c r="O40" i="15"/>
  <c r="R40" i="15" s="1"/>
  <c r="L40" i="15"/>
  <c r="I40" i="15"/>
  <c r="F40" i="15"/>
  <c r="Q39" i="15"/>
  <c r="P39" i="15"/>
  <c r="O39" i="15"/>
  <c r="L39" i="15"/>
  <c r="I39" i="15"/>
  <c r="F39" i="15"/>
  <c r="R38" i="15"/>
  <c r="Q38" i="15"/>
  <c r="P38" i="15"/>
  <c r="O38" i="15"/>
  <c r="L38" i="15"/>
  <c r="I38" i="15"/>
  <c r="F38" i="15"/>
  <c r="R37" i="15" s="1"/>
  <c r="Q37" i="15"/>
  <c r="P37" i="15"/>
  <c r="O37" i="15"/>
  <c r="L37" i="15"/>
  <c r="I37" i="15"/>
  <c r="E37" i="15"/>
  <c r="D37" i="15"/>
  <c r="F37" i="15" s="1"/>
  <c r="Q36" i="15"/>
  <c r="P36" i="15"/>
  <c r="O36" i="15"/>
  <c r="R36" i="15" s="1"/>
  <c r="L36" i="15"/>
  <c r="I36" i="15"/>
  <c r="F36" i="15"/>
  <c r="Q35" i="15"/>
  <c r="P35" i="15"/>
  <c r="O35" i="15"/>
  <c r="L35" i="15"/>
  <c r="I35" i="15"/>
  <c r="F35" i="15"/>
  <c r="R34" i="15"/>
  <c r="Q34" i="15"/>
  <c r="P34" i="15"/>
  <c r="O34" i="15"/>
  <c r="L34" i="15"/>
  <c r="I34" i="15"/>
  <c r="F34" i="15"/>
  <c r="R33" i="15" s="1"/>
  <c r="Q33" i="15"/>
  <c r="P33" i="15"/>
  <c r="O33" i="15"/>
  <c r="L33" i="15"/>
  <c r="I33" i="15"/>
  <c r="F33" i="15"/>
  <c r="Q32" i="15"/>
  <c r="P32" i="15"/>
  <c r="O32" i="15"/>
  <c r="R32" i="15" s="1"/>
  <c r="L32" i="15"/>
  <c r="I32" i="15"/>
  <c r="E32" i="15"/>
  <c r="D32" i="15"/>
  <c r="R31" i="15" s="1"/>
  <c r="Q31" i="15"/>
  <c r="Q53" i="15" s="1"/>
  <c r="P31" i="15"/>
  <c r="P53" i="15" s="1"/>
  <c r="O31" i="15"/>
  <c r="L31" i="15"/>
  <c r="I31" i="15"/>
  <c r="F31" i="15"/>
  <c r="F30" i="15"/>
  <c r="F29" i="15"/>
  <c r="F28" i="15"/>
  <c r="E27" i="15"/>
  <c r="D27" i="15"/>
  <c r="F27" i="15" s="1"/>
  <c r="F21" i="15"/>
  <c r="F20" i="15"/>
  <c r="F19" i="15"/>
  <c r="F18" i="15"/>
  <c r="E17" i="15"/>
  <c r="D17" i="15"/>
  <c r="F17" i="15" s="1"/>
  <c r="F16" i="15"/>
  <c r="F15" i="15"/>
  <c r="F14" i="15"/>
  <c r="F13" i="15"/>
  <c r="E12" i="15"/>
  <c r="D12" i="15"/>
  <c r="P6" i="15"/>
  <c r="O6" i="15"/>
  <c r="N6" i="15"/>
  <c r="M6" i="15"/>
  <c r="L6" i="15"/>
  <c r="K6" i="15"/>
  <c r="J6" i="15"/>
  <c r="H6" i="15"/>
  <c r="G6" i="15"/>
  <c r="P5" i="15"/>
  <c r="O5" i="15"/>
  <c r="O7" i="15" s="1"/>
  <c r="N5" i="15"/>
  <c r="M5" i="15"/>
  <c r="L5" i="15"/>
  <c r="K5" i="15"/>
  <c r="J5" i="15"/>
  <c r="H5" i="15"/>
  <c r="G5" i="15" s="1"/>
  <c r="R4" i="15"/>
  <c r="Q4" i="15"/>
  <c r="T4" i="15" s="1"/>
  <c r="S4" i="15" s="1"/>
  <c r="P4" i="15"/>
  <c r="O4" i="15"/>
  <c r="N4" i="15"/>
  <c r="M4" i="15"/>
  <c r="L4" i="15"/>
  <c r="K4" i="15"/>
  <c r="J4" i="15"/>
  <c r="I4" i="15"/>
  <c r="H4" i="15"/>
  <c r="G4" i="15"/>
  <c r="H1" i="15"/>
  <c r="G1" i="15"/>
  <c r="T104" i="14"/>
  <c r="Q103" i="14"/>
  <c r="P103" i="14"/>
  <c r="Q102" i="14"/>
  <c r="P102" i="14"/>
  <c r="Q101" i="14"/>
  <c r="P101" i="14"/>
  <c r="Q100" i="14"/>
  <c r="P100" i="14"/>
  <c r="Q99" i="14"/>
  <c r="P99" i="14"/>
  <c r="Q98" i="14"/>
  <c r="P98" i="14"/>
  <c r="Q97" i="14"/>
  <c r="P97" i="14"/>
  <c r="Q96" i="14"/>
  <c r="P96" i="14"/>
  <c r="Q95" i="14"/>
  <c r="P95" i="14"/>
  <c r="Q94" i="14"/>
  <c r="P94" i="14"/>
  <c r="Q93" i="14"/>
  <c r="P93" i="14"/>
  <c r="Q92" i="14"/>
  <c r="P92" i="14"/>
  <c r="Q91" i="14"/>
  <c r="P91" i="14"/>
  <c r="Q90" i="14"/>
  <c r="P90" i="14"/>
  <c r="Q89" i="14"/>
  <c r="P89" i="14"/>
  <c r="Q88" i="14"/>
  <c r="P88" i="14"/>
  <c r="Q87" i="14"/>
  <c r="P87" i="14"/>
  <c r="Q86" i="14"/>
  <c r="P86" i="14"/>
  <c r="Q85" i="14"/>
  <c r="P85" i="14"/>
  <c r="Q84" i="14"/>
  <c r="P84" i="14"/>
  <c r="Q83" i="14"/>
  <c r="P83" i="14"/>
  <c r="Q82" i="14"/>
  <c r="P82" i="14"/>
  <c r="Q81" i="14"/>
  <c r="P81" i="14"/>
  <c r="Q80" i="14"/>
  <c r="P80" i="14"/>
  <c r="Q79" i="14"/>
  <c r="P79" i="14"/>
  <c r="Q78" i="14"/>
  <c r="P78" i="14"/>
  <c r="Q77" i="14"/>
  <c r="P77" i="14"/>
  <c r="Q76" i="14"/>
  <c r="P76" i="14"/>
  <c r="Q75" i="14"/>
  <c r="P75" i="14"/>
  <c r="Q104" i="14"/>
  <c r="P104" i="14"/>
  <c r="T54" i="14"/>
  <c r="B54" i="14"/>
  <c r="Q53" i="14"/>
  <c r="P53" i="14"/>
  <c r="R53" i="14" s="1"/>
  <c r="O53" i="14"/>
  <c r="L53" i="14"/>
  <c r="I53" i="14"/>
  <c r="Q52" i="14"/>
  <c r="P52" i="14"/>
  <c r="R52" i="14" s="1"/>
  <c r="O52" i="14"/>
  <c r="L52" i="14"/>
  <c r="I52" i="14"/>
  <c r="Q51" i="14"/>
  <c r="P51" i="14"/>
  <c r="R51" i="14" s="1"/>
  <c r="O51" i="14"/>
  <c r="L51" i="14"/>
  <c r="I51" i="14"/>
  <c r="F51" i="14"/>
  <c r="Q50" i="14"/>
  <c r="P50" i="14"/>
  <c r="R50" i="14" s="1"/>
  <c r="O50" i="14"/>
  <c r="L50" i="14"/>
  <c r="I50" i="14"/>
  <c r="F50" i="14"/>
  <c r="Q49" i="14"/>
  <c r="P49" i="14"/>
  <c r="R49" i="14" s="1"/>
  <c r="O49" i="14"/>
  <c r="L49" i="14"/>
  <c r="I49" i="14"/>
  <c r="F49" i="14"/>
  <c r="Q48" i="14"/>
  <c r="P48" i="14"/>
  <c r="R48" i="14" s="1"/>
  <c r="O48" i="14"/>
  <c r="L48" i="14"/>
  <c r="I48" i="14"/>
  <c r="F48" i="14"/>
  <c r="Q47" i="14"/>
  <c r="P47" i="14"/>
  <c r="R47" i="14" s="1"/>
  <c r="O47" i="14"/>
  <c r="L47" i="14"/>
  <c r="I47" i="14"/>
  <c r="E47" i="14"/>
  <c r="D47" i="14"/>
  <c r="Q46" i="14"/>
  <c r="P46" i="14"/>
  <c r="R46" i="14" s="1"/>
  <c r="O46" i="14"/>
  <c r="L46" i="14"/>
  <c r="I46" i="14"/>
  <c r="F46" i="14"/>
  <c r="Q45" i="14"/>
  <c r="P45" i="14"/>
  <c r="R45" i="14" s="1"/>
  <c r="O45" i="14"/>
  <c r="L45" i="14"/>
  <c r="I45" i="14"/>
  <c r="F45" i="14"/>
  <c r="Q44" i="14"/>
  <c r="P44" i="14"/>
  <c r="R44" i="14" s="1"/>
  <c r="O44" i="14"/>
  <c r="L44" i="14"/>
  <c r="I44" i="14"/>
  <c r="F44" i="14"/>
  <c r="Q43" i="14"/>
  <c r="P43" i="14"/>
  <c r="R43" i="14" s="1"/>
  <c r="O43" i="14"/>
  <c r="L43" i="14"/>
  <c r="I43" i="14"/>
  <c r="F43" i="14"/>
  <c r="Q42" i="14"/>
  <c r="P42" i="14"/>
  <c r="R42" i="14" s="1"/>
  <c r="O42" i="14"/>
  <c r="L42" i="14"/>
  <c r="I42" i="14"/>
  <c r="E42" i="14"/>
  <c r="D42" i="14"/>
  <c r="Q41" i="14"/>
  <c r="P41" i="14"/>
  <c r="R41" i="14" s="1"/>
  <c r="O41" i="14"/>
  <c r="L41" i="14"/>
  <c r="I41" i="14"/>
  <c r="F41" i="14"/>
  <c r="Q40" i="14"/>
  <c r="P40" i="14"/>
  <c r="R40" i="14" s="1"/>
  <c r="O40" i="14"/>
  <c r="L40" i="14"/>
  <c r="I40" i="14"/>
  <c r="F40" i="14"/>
  <c r="Q39" i="14"/>
  <c r="P39" i="14"/>
  <c r="R39" i="14" s="1"/>
  <c r="O39" i="14"/>
  <c r="L39" i="14"/>
  <c r="I39" i="14"/>
  <c r="F39" i="14"/>
  <c r="Q38" i="14"/>
  <c r="P38" i="14"/>
  <c r="R38" i="14" s="1"/>
  <c r="O38" i="14"/>
  <c r="L38" i="14"/>
  <c r="I38" i="14"/>
  <c r="F38" i="14"/>
  <c r="Q37" i="14"/>
  <c r="P37" i="14"/>
  <c r="R37" i="14" s="1"/>
  <c r="O37" i="14"/>
  <c r="L37" i="14"/>
  <c r="I37" i="14"/>
  <c r="D37" i="14"/>
  <c r="Q36" i="14"/>
  <c r="P36" i="14"/>
  <c r="R36" i="14" s="1"/>
  <c r="O36" i="14"/>
  <c r="L36" i="14"/>
  <c r="I36" i="14"/>
  <c r="F36" i="14"/>
  <c r="Q35" i="14"/>
  <c r="P35" i="14"/>
  <c r="R35" i="14" s="1"/>
  <c r="O35" i="14"/>
  <c r="L35" i="14"/>
  <c r="I35" i="14"/>
  <c r="F35" i="14"/>
  <c r="Q34" i="14"/>
  <c r="P34" i="14"/>
  <c r="R34" i="14" s="1"/>
  <c r="O34" i="14"/>
  <c r="L34" i="14"/>
  <c r="I34" i="14"/>
  <c r="F34" i="14"/>
  <c r="Q33" i="14"/>
  <c r="P33" i="14"/>
  <c r="R33" i="14" s="1"/>
  <c r="O33" i="14"/>
  <c r="L33" i="14"/>
  <c r="I33" i="14"/>
  <c r="F33" i="14"/>
  <c r="Q32" i="14"/>
  <c r="P32" i="14"/>
  <c r="R32" i="14" s="1"/>
  <c r="O32" i="14"/>
  <c r="L32" i="14"/>
  <c r="I32" i="14"/>
  <c r="E32" i="14"/>
  <c r="D32" i="14"/>
  <c r="Q31" i="14"/>
  <c r="P31" i="14"/>
  <c r="R31" i="14" s="1"/>
  <c r="O31" i="14"/>
  <c r="L31" i="14"/>
  <c r="I31" i="14"/>
  <c r="F31" i="14"/>
  <c r="Q30" i="14"/>
  <c r="P30" i="14"/>
  <c r="R30" i="14" s="1"/>
  <c r="O30" i="14"/>
  <c r="L30" i="14"/>
  <c r="I30" i="14"/>
  <c r="F30" i="14"/>
  <c r="Q29" i="14"/>
  <c r="P29" i="14"/>
  <c r="R29" i="14" s="1"/>
  <c r="O29" i="14"/>
  <c r="L29" i="14"/>
  <c r="I29" i="14"/>
  <c r="F29" i="14"/>
  <c r="Q28" i="14"/>
  <c r="P28" i="14"/>
  <c r="R28" i="14" s="1"/>
  <c r="O28" i="14"/>
  <c r="L28" i="14"/>
  <c r="I28" i="14"/>
  <c r="F28" i="14"/>
  <c r="Q27" i="14"/>
  <c r="P27" i="14"/>
  <c r="R27" i="14" s="1"/>
  <c r="O27" i="14"/>
  <c r="L27" i="14"/>
  <c r="I27" i="14"/>
  <c r="E27" i="14"/>
  <c r="D27" i="14"/>
  <c r="F27" i="14" s="1"/>
  <c r="Q26" i="14"/>
  <c r="P26" i="14"/>
  <c r="R26" i="14" s="1"/>
  <c r="O26" i="14"/>
  <c r="L26" i="14"/>
  <c r="I26" i="14"/>
  <c r="Q25" i="14"/>
  <c r="P25" i="14"/>
  <c r="R25" i="14" s="1"/>
  <c r="O25" i="14"/>
  <c r="L25" i="14"/>
  <c r="I25" i="14"/>
  <c r="Q24" i="14"/>
  <c r="P24" i="14"/>
  <c r="R24" i="14" s="1"/>
  <c r="O24" i="14"/>
  <c r="L24" i="14"/>
  <c r="I24" i="14"/>
  <c r="D24" i="14"/>
  <c r="Q23" i="14"/>
  <c r="P23" i="14"/>
  <c r="O23" i="14"/>
  <c r="L23" i="14"/>
  <c r="I23" i="14"/>
  <c r="Q22" i="14"/>
  <c r="P22" i="14"/>
  <c r="O22" i="14"/>
  <c r="Q21" i="14"/>
  <c r="P21" i="14"/>
  <c r="O21" i="14"/>
  <c r="F21" i="14"/>
  <c r="Q20" i="14"/>
  <c r="P20" i="14"/>
  <c r="O20" i="14"/>
  <c r="F20" i="14"/>
  <c r="Q19" i="14"/>
  <c r="P19" i="14"/>
  <c r="O19" i="14"/>
  <c r="F19" i="14"/>
  <c r="Q18" i="14"/>
  <c r="P18" i="14"/>
  <c r="O18" i="14"/>
  <c r="F18" i="14"/>
  <c r="Q17" i="14"/>
  <c r="P17" i="14"/>
  <c r="O17" i="14"/>
  <c r="E17" i="14"/>
  <c r="H6" i="14" s="1"/>
  <c r="D17" i="14"/>
  <c r="Q16" i="14"/>
  <c r="P16" i="14"/>
  <c r="O16" i="14"/>
  <c r="F16" i="14"/>
  <c r="Q15" i="14"/>
  <c r="P15" i="14"/>
  <c r="O15" i="14"/>
  <c r="F15" i="14"/>
  <c r="Q14" i="14"/>
  <c r="P14" i="14"/>
  <c r="O14" i="14"/>
  <c r="F14" i="14"/>
  <c r="Q13" i="14"/>
  <c r="P13" i="14"/>
  <c r="O13" i="14"/>
  <c r="F13" i="14"/>
  <c r="Q12" i="14"/>
  <c r="P12" i="14"/>
  <c r="O12" i="14"/>
  <c r="G104" i="14" s="1"/>
  <c r="E12" i="14"/>
  <c r="E23" i="14" s="1"/>
  <c r="D23" i="14" s="1"/>
  <c r="D12" i="14"/>
  <c r="F12" i="14" s="1"/>
  <c r="P6" i="14"/>
  <c r="N6" i="14"/>
  <c r="M6" i="14"/>
  <c r="K6" i="14"/>
  <c r="J6" i="14"/>
  <c r="G6" i="14"/>
  <c r="P5" i="14"/>
  <c r="N5" i="14"/>
  <c r="M5" i="14"/>
  <c r="L5" i="14"/>
  <c r="K5" i="14"/>
  <c r="J5" i="14"/>
  <c r="H5" i="14"/>
  <c r="G5" i="14"/>
  <c r="R4" i="14"/>
  <c r="Q4" i="14"/>
  <c r="P4" i="14"/>
  <c r="O4" i="14"/>
  <c r="N4" i="14"/>
  <c r="M4" i="14"/>
  <c r="L4" i="14"/>
  <c r="K4" i="14"/>
  <c r="J4" i="14"/>
  <c r="I4" i="14"/>
  <c r="H4" i="14"/>
  <c r="G4" i="14"/>
  <c r="H1" i="14"/>
  <c r="G1" i="14"/>
  <c r="I104" i="13"/>
  <c r="T103" i="13"/>
  <c r="S103" i="13"/>
  <c r="Q103" i="13"/>
  <c r="P103" i="13"/>
  <c r="T102" i="13"/>
  <c r="S102" i="13"/>
  <c r="Q102" i="13"/>
  <c r="P102" i="13"/>
  <c r="T101" i="13"/>
  <c r="S101" i="13"/>
  <c r="Q101" i="13"/>
  <c r="P101" i="13"/>
  <c r="T100" i="13"/>
  <c r="S100" i="13"/>
  <c r="Q100" i="13"/>
  <c r="P100" i="13"/>
  <c r="T99" i="13"/>
  <c r="S99" i="13"/>
  <c r="Q99" i="13"/>
  <c r="P99" i="13"/>
  <c r="T98" i="13"/>
  <c r="S98" i="13"/>
  <c r="Q98" i="13"/>
  <c r="P98" i="13"/>
  <c r="T97" i="13"/>
  <c r="S97" i="13"/>
  <c r="Q97" i="13"/>
  <c r="P97" i="13"/>
  <c r="T96" i="13"/>
  <c r="S96" i="13"/>
  <c r="Q96" i="13"/>
  <c r="P96" i="13"/>
  <c r="T95" i="13"/>
  <c r="S95" i="13"/>
  <c r="Q95" i="13"/>
  <c r="P95" i="13"/>
  <c r="T94" i="13"/>
  <c r="S94" i="13"/>
  <c r="Q94" i="13"/>
  <c r="P94" i="13"/>
  <c r="T93" i="13"/>
  <c r="S93" i="13"/>
  <c r="Q93" i="13"/>
  <c r="P93" i="13"/>
  <c r="T92" i="13"/>
  <c r="S92" i="13"/>
  <c r="Q92" i="13"/>
  <c r="P92" i="13"/>
  <c r="T91" i="13"/>
  <c r="S91" i="13"/>
  <c r="Q91" i="13"/>
  <c r="P91" i="13"/>
  <c r="T90" i="13"/>
  <c r="S90" i="13"/>
  <c r="Q90" i="13"/>
  <c r="P90" i="13"/>
  <c r="T89" i="13"/>
  <c r="S89" i="13"/>
  <c r="Q89" i="13"/>
  <c r="P89" i="13"/>
  <c r="T88" i="13"/>
  <c r="S88" i="13"/>
  <c r="Q88" i="13"/>
  <c r="P88" i="13"/>
  <c r="T87" i="13"/>
  <c r="S87" i="13"/>
  <c r="Q87" i="13"/>
  <c r="P87" i="13"/>
  <c r="T86" i="13"/>
  <c r="S86" i="13"/>
  <c r="Q86" i="13"/>
  <c r="P86" i="13"/>
  <c r="T85" i="13"/>
  <c r="S85" i="13"/>
  <c r="Q85" i="13"/>
  <c r="P85" i="13"/>
  <c r="T84" i="13"/>
  <c r="S84" i="13"/>
  <c r="Q84" i="13"/>
  <c r="P84" i="13"/>
  <c r="T83" i="13"/>
  <c r="S83" i="13"/>
  <c r="Q83" i="13"/>
  <c r="P83" i="13"/>
  <c r="T82" i="13"/>
  <c r="S82" i="13"/>
  <c r="Q82" i="13"/>
  <c r="P82" i="13"/>
  <c r="T81" i="13"/>
  <c r="S81" i="13"/>
  <c r="Q81" i="13"/>
  <c r="P81" i="13"/>
  <c r="T80" i="13"/>
  <c r="S80" i="13"/>
  <c r="Q80" i="13"/>
  <c r="P80" i="13"/>
  <c r="T79" i="13"/>
  <c r="S79" i="13"/>
  <c r="Q79" i="13"/>
  <c r="P79" i="13"/>
  <c r="T78" i="13"/>
  <c r="S78" i="13"/>
  <c r="Q78" i="13"/>
  <c r="P78" i="13"/>
  <c r="T77" i="13"/>
  <c r="S77" i="13"/>
  <c r="Q77" i="13"/>
  <c r="P77" i="13"/>
  <c r="T76" i="13"/>
  <c r="S76" i="13"/>
  <c r="Q76" i="13"/>
  <c r="P76" i="13"/>
  <c r="T75" i="13"/>
  <c r="S75" i="13"/>
  <c r="Q75" i="13"/>
  <c r="P75" i="13"/>
  <c r="T74" i="13"/>
  <c r="S74" i="13"/>
  <c r="Q74" i="13"/>
  <c r="P74" i="13"/>
  <c r="T73" i="13"/>
  <c r="S73" i="13"/>
  <c r="Q73" i="13"/>
  <c r="P73" i="13"/>
  <c r="T72" i="13"/>
  <c r="S72" i="13"/>
  <c r="Q72" i="13"/>
  <c r="P72" i="13"/>
  <c r="T71" i="13"/>
  <c r="S71" i="13"/>
  <c r="Q71" i="13"/>
  <c r="P71" i="13"/>
  <c r="U70" i="13"/>
  <c r="T70" i="13"/>
  <c r="S70" i="13"/>
  <c r="U69" i="13"/>
  <c r="T69" i="13"/>
  <c r="S69" i="13"/>
  <c r="U68" i="13"/>
  <c r="T68" i="13"/>
  <c r="S68" i="13"/>
  <c r="U67" i="13"/>
  <c r="T67" i="13"/>
  <c r="S67" i="13"/>
  <c r="U66" i="13"/>
  <c r="T66" i="13"/>
  <c r="S66" i="13"/>
  <c r="U65" i="13"/>
  <c r="T65" i="13"/>
  <c r="S65" i="13"/>
  <c r="U64" i="13"/>
  <c r="T64" i="13"/>
  <c r="S64" i="13"/>
  <c r="U63" i="13"/>
  <c r="T63" i="13"/>
  <c r="S63" i="13"/>
  <c r="U62" i="13"/>
  <c r="T62" i="13"/>
  <c r="S62" i="13"/>
  <c r="T54" i="13"/>
  <c r="B54" i="13"/>
  <c r="Q53" i="13"/>
  <c r="P53" i="13"/>
  <c r="O53" i="13"/>
  <c r="R53" i="13" s="1"/>
  <c r="L53" i="13"/>
  <c r="I53" i="13"/>
  <c r="R52" i="13" s="1"/>
  <c r="Q52" i="13"/>
  <c r="P52" i="13"/>
  <c r="O52" i="13"/>
  <c r="U102" i="13" s="1"/>
  <c r="L52" i="13"/>
  <c r="I52" i="13"/>
  <c r="Q51" i="13"/>
  <c r="P51" i="13"/>
  <c r="O51" i="13"/>
  <c r="R51" i="13" s="1"/>
  <c r="L51" i="13"/>
  <c r="I51" i="13"/>
  <c r="F51" i="13"/>
  <c r="Q50" i="13"/>
  <c r="P50" i="13"/>
  <c r="O50" i="13"/>
  <c r="U100" i="13" s="1"/>
  <c r="L50" i="13"/>
  <c r="I50" i="13"/>
  <c r="F50" i="13"/>
  <c r="R49" i="13"/>
  <c r="Q49" i="13"/>
  <c r="P49" i="13"/>
  <c r="O49" i="13"/>
  <c r="L49" i="13"/>
  <c r="I49" i="13"/>
  <c r="F49" i="13"/>
  <c r="R48" i="13" s="1"/>
  <c r="Q48" i="13"/>
  <c r="P48" i="13"/>
  <c r="O48" i="13"/>
  <c r="U98" i="13" s="1"/>
  <c r="L48" i="13"/>
  <c r="I48" i="13"/>
  <c r="F48" i="13"/>
  <c r="Q47" i="13"/>
  <c r="P47" i="13"/>
  <c r="O47" i="13"/>
  <c r="R47" i="13" s="1"/>
  <c r="L47" i="13"/>
  <c r="I47" i="13"/>
  <c r="E47" i="13"/>
  <c r="D47" i="13"/>
  <c r="R46" i="13" s="1"/>
  <c r="Q46" i="13"/>
  <c r="P46" i="13"/>
  <c r="O46" i="13"/>
  <c r="U96" i="13" s="1"/>
  <c r="L46" i="13"/>
  <c r="I46" i="13"/>
  <c r="F46" i="13"/>
  <c r="Q45" i="13"/>
  <c r="P45" i="13"/>
  <c r="O45" i="13"/>
  <c r="R45" i="13" s="1"/>
  <c r="L45" i="13"/>
  <c r="I45" i="13"/>
  <c r="F45" i="13"/>
  <c r="Q44" i="13"/>
  <c r="P44" i="13"/>
  <c r="O44" i="13"/>
  <c r="U94" i="13" s="1"/>
  <c r="L44" i="13"/>
  <c r="I44" i="13"/>
  <c r="F44" i="13"/>
  <c r="R43" i="13"/>
  <c r="Q43" i="13"/>
  <c r="P43" i="13"/>
  <c r="O43" i="13"/>
  <c r="L43" i="13"/>
  <c r="I43" i="13"/>
  <c r="F43" i="13"/>
  <c r="R42" i="13" s="1"/>
  <c r="Q42" i="13"/>
  <c r="P42" i="13"/>
  <c r="O42" i="13"/>
  <c r="U92" i="13" s="1"/>
  <c r="L42" i="13"/>
  <c r="I42" i="13"/>
  <c r="E42" i="13"/>
  <c r="D42" i="13"/>
  <c r="R41" i="13"/>
  <c r="Q41" i="13"/>
  <c r="P41" i="13"/>
  <c r="O41" i="13"/>
  <c r="L41" i="13"/>
  <c r="I41" i="13"/>
  <c r="F41" i="13"/>
  <c r="R40" i="13" s="1"/>
  <c r="Q40" i="13"/>
  <c r="P40" i="13"/>
  <c r="O40" i="13"/>
  <c r="U90" i="13" s="1"/>
  <c r="L40" i="13"/>
  <c r="I40" i="13"/>
  <c r="F40" i="13"/>
  <c r="Q39" i="13"/>
  <c r="P39" i="13"/>
  <c r="O39" i="13"/>
  <c r="R39" i="13" s="1"/>
  <c r="L39" i="13"/>
  <c r="I39" i="13"/>
  <c r="F39" i="13"/>
  <c r="Q38" i="13"/>
  <c r="P38" i="13"/>
  <c r="O38" i="13"/>
  <c r="U88" i="13" s="1"/>
  <c r="L38" i="13"/>
  <c r="I38" i="13"/>
  <c r="F38" i="13" s="1"/>
  <c r="E38" i="13"/>
  <c r="R37" i="13"/>
  <c r="Q37" i="13"/>
  <c r="P37" i="13"/>
  <c r="O37" i="13"/>
  <c r="L37" i="13"/>
  <c r="I37" i="13"/>
  <c r="D37" i="13"/>
  <c r="R36" i="13"/>
  <c r="Q36" i="13"/>
  <c r="P36" i="13"/>
  <c r="O36" i="13"/>
  <c r="L36" i="13"/>
  <c r="I36" i="13"/>
  <c r="F36" i="13"/>
  <c r="Q35" i="13"/>
  <c r="P35" i="13"/>
  <c r="O35" i="13"/>
  <c r="R35" i="13" s="1"/>
  <c r="L35" i="13"/>
  <c r="I35" i="13"/>
  <c r="F35" i="13"/>
  <c r="R34" i="13"/>
  <c r="Q34" i="13"/>
  <c r="P34" i="13"/>
  <c r="O34" i="13"/>
  <c r="L34" i="13"/>
  <c r="I34" i="13"/>
  <c r="F34" i="13"/>
  <c r="Q33" i="13"/>
  <c r="P33" i="13"/>
  <c r="O33" i="13"/>
  <c r="R33" i="13" s="1"/>
  <c r="L33" i="13"/>
  <c r="I33" i="13"/>
  <c r="F33" i="13"/>
  <c r="R32" i="13"/>
  <c r="Q32" i="13"/>
  <c r="P32" i="13"/>
  <c r="O32" i="13"/>
  <c r="L32" i="13"/>
  <c r="I32" i="13"/>
  <c r="E32" i="13"/>
  <c r="D32" i="13"/>
  <c r="R31" i="13"/>
  <c r="Q31" i="13"/>
  <c r="P31" i="13"/>
  <c r="O31" i="13"/>
  <c r="L31" i="13"/>
  <c r="I31" i="13"/>
  <c r="F31" i="13"/>
  <c r="Q30" i="13"/>
  <c r="P30" i="13"/>
  <c r="O30" i="13"/>
  <c r="R30" i="13" s="1"/>
  <c r="L30" i="13"/>
  <c r="I30" i="13"/>
  <c r="F30" i="13"/>
  <c r="R29" i="13"/>
  <c r="Q29" i="13"/>
  <c r="P29" i="13"/>
  <c r="O29" i="13"/>
  <c r="L29" i="13"/>
  <c r="I29" i="13"/>
  <c r="F29" i="13"/>
  <c r="Q28" i="13"/>
  <c r="P28" i="13"/>
  <c r="O28" i="13"/>
  <c r="R28" i="13" s="1"/>
  <c r="L28" i="13"/>
  <c r="I28" i="13"/>
  <c r="F28" i="13"/>
  <c r="R27" i="13"/>
  <c r="Q27" i="13"/>
  <c r="P27" i="13"/>
  <c r="O27" i="13"/>
  <c r="L27" i="13"/>
  <c r="I27" i="13"/>
  <c r="E27" i="13"/>
  <c r="D27" i="13"/>
  <c r="F27" i="13" s="1"/>
  <c r="Q26" i="13"/>
  <c r="P26" i="13"/>
  <c r="O26" i="13"/>
  <c r="R26" i="13" s="1"/>
  <c r="L26" i="13"/>
  <c r="I26" i="13"/>
  <c r="Q25" i="13"/>
  <c r="P25" i="13"/>
  <c r="O25" i="13"/>
  <c r="R25" i="13" s="1"/>
  <c r="L25" i="13"/>
  <c r="I25" i="13"/>
  <c r="Q24" i="13"/>
  <c r="P24" i="13"/>
  <c r="O24" i="13"/>
  <c r="R24" i="13" s="1"/>
  <c r="L24" i="13"/>
  <c r="I24" i="13"/>
  <c r="R23" i="13"/>
  <c r="Q23" i="13"/>
  <c r="P23" i="13"/>
  <c r="O23" i="13"/>
  <c r="L23" i="13"/>
  <c r="I23" i="13"/>
  <c r="D23" i="13"/>
  <c r="Q22" i="13"/>
  <c r="P22" i="13"/>
  <c r="O22" i="13"/>
  <c r="R22" i="13" s="1"/>
  <c r="L22" i="13"/>
  <c r="I22" i="13"/>
  <c r="Q21" i="13"/>
  <c r="Q54" i="13" s="1"/>
  <c r="P21" i="13"/>
  <c r="P54" i="13" s="1"/>
  <c r="O21" i="13"/>
  <c r="G104" i="13" s="1"/>
  <c r="U103" i="13" s="1"/>
  <c r="L21" i="13"/>
  <c r="I21" i="13"/>
  <c r="F21" i="13"/>
  <c r="F20" i="13"/>
  <c r="F19" i="13"/>
  <c r="F18" i="13"/>
  <c r="E17" i="13"/>
  <c r="D17" i="13"/>
  <c r="D24" i="13" s="1"/>
  <c r="D22" i="13" s="1"/>
  <c r="F16" i="13"/>
  <c r="F15" i="13"/>
  <c r="F14" i="13"/>
  <c r="F13" i="13"/>
  <c r="E12" i="13"/>
  <c r="D12" i="13"/>
  <c r="P6" i="13"/>
  <c r="N6" i="13"/>
  <c r="M6" i="13"/>
  <c r="K6" i="13"/>
  <c r="J6" i="13"/>
  <c r="H6" i="13"/>
  <c r="P5" i="13"/>
  <c r="N5" i="13"/>
  <c r="M5" i="13"/>
  <c r="L5" i="13"/>
  <c r="K5" i="13"/>
  <c r="J5" i="13"/>
  <c r="J7" i="13" s="1"/>
  <c r="H5" i="13"/>
  <c r="G5" i="13"/>
  <c r="R4" i="13"/>
  <c r="Q4" i="13"/>
  <c r="P4" i="13"/>
  <c r="O4" i="13"/>
  <c r="N4" i="13"/>
  <c r="M4" i="13"/>
  <c r="L4" i="13"/>
  <c r="K4" i="13"/>
  <c r="J4" i="13"/>
  <c r="I4" i="13"/>
  <c r="H4" i="13"/>
  <c r="G4" i="13"/>
  <c r="H1" i="13"/>
  <c r="G1" i="13"/>
  <c r="T104" i="12"/>
  <c r="S104" i="12"/>
  <c r="I104" i="12"/>
  <c r="Q103" i="12"/>
  <c r="P103" i="12"/>
  <c r="Q102" i="12"/>
  <c r="P102" i="12"/>
  <c r="Q101" i="12"/>
  <c r="P101" i="12"/>
  <c r="Q100" i="12"/>
  <c r="P100" i="12"/>
  <c r="Q99" i="12"/>
  <c r="P99" i="12"/>
  <c r="Q98" i="12"/>
  <c r="P98" i="12"/>
  <c r="Q97" i="12"/>
  <c r="P97" i="12"/>
  <c r="Q96" i="12"/>
  <c r="P96" i="12"/>
  <c r="Q95" i="12"/>
  <c r="P95" i="12"/>
  <c r="Q94" i="12"/>
  <c r="P94" i="12"/>
  <c r="Q93" i="12"/>
  <c r="P93" i="12"/>
  <c r="Q92" i="12"/>
  <c r="P92" i="12"/>
  <c r="Q91" i="12"/>
  <c r="P91" i="12"/>
  <c r="Q90" i="12"/>
  <c r="P90" i="12"/>
  <c r="Q89" i="12"/>
  <c r="Q104" i="12" s="1"/>
  <c r="P89" i="12"/>
  <c r="T54" i="12"/>
  <c r="B54" i="12"/>
  <c r="Q53" i="12"/>
  <c r="P53" i="12"/>
  <c r="O53" i="12"/>
  <c r="L53" i="12"/>
  <c r="I53" i="12"/>
  <c r="Q52" i="12"/>
  <c r="P52" i="12"/>
  <c r="O52" i="12"/>
  <c r="L52" i="12"/>
  <c r="I52" i="12"/>
  <c r="Q51" i="12"/>
  <c r="P51" i="12"/>
  <c r="O51" i="12"/>
  <c r="L51" i="12"/>
  <c r="I51" i="12"/>
  <c r="F51" i="12"/>
  <c r="Q50" i="12"/>
  <c r="P50" i="12"/>
  <c r="O50" i="12"/>
  <c r="L50" i="12"/>
  <c r="I50" i="12"/>
  <c r="F50" i="12"/>
  <c r="Q49" i="12"/>
  <c r="P49" i="12"/>
  <c r="O49" i="12"/>
  <c r="L49" i="12"/>
  <c r="I49" i="12"/>
  <c r="F49" i="12"/>
  <c r="Q48" i="12"/>
  <c r="P48" i="12"/>
  <c r="O48" i="12"/>
  <c r="L48" i="12"/>
  <c r="I48" i="12"/>
  <c r="F48" i="12"/>
  <c r="Q47" i="12"/>
  <c r="P47" i="12"/>
  <c r="O47" i="12"/>
  <c r="L47" i="12"/>
  <c r="I47" i="12"/>
  <c r="E47" i="12"/>
  <c r="D47" i="12"/>
  <c r="Q46" i="12"/>
  <c r="P46" i="12"/>
  <c r="O46" i="12"/>
  <c r="L46" i="12"/>
  <c r="I46" i="12"/>
  <c r="F46" i="12"/>
  <c r="Q45" i="12"/>
  <c r="P45" i="12"/>
  <c r="O45" i="12"/>
  <c r="L45" i="12"/>
  <c r="I45" i="12"/>
  <c r="F45" i="12"/>
  <c r="Q44" i="12"/>
  <c r="P44" i="12"/>
  <c r="O44" i="12"/>
  <c r="L44" i="12"/>
  <c r="I44" i="12"/>
  <c r="F44" i="12"/>
  <c r="Q43" i="12"/>
  <c r="P43" i="12"/>
  <c r="O43" i="12"/>
  <c r="L43" i="12"/>
  <c r="I43" i="12"/>
  <c r="F43" i="12"/>
  <c r="Q42" i="12"/>
  <c r="P42" i="12"/>
  <c r="O42" i="12"/>
  <c r="L42" i="12"/>
  <c r="I42" i="12"/>
  <c r="E42" i="12"/>
  <c r="D42" i="12"/>
  <c r="Q41" i="12"/>
  <c r="P41" i="12"/>
  <c r="O41" i="12"/>
  <c r="L41" i="12"/>
  <c r="I41" i="12"/>
  <c r="F41" i="12"/>
  <c r="Q40" i="12"/>
  <c r="P40" i="12"/>
  <c r="O40" i="12"/>
  <c r="L40" i="12"/>
  <c r="I40" i="12"/>
  <c r="F40" i="12"/>
  <c r="Q39" i="12"/>
  <c r="P39" i="12"/>
  <c r="O39" i="12"/>
  <c r="L39" i="12"/>
  <c r="I39" i="12"/>
  <c r="F39" i="12"/>
  <c r="Q38" i="12"/>
  <c r="P38" i="12"/>
  <c r="R38" i="12" s="1"/>
  <c r="O38" i="12"/>
  <c r="L38" i="12"/>
  <c r="I38" i="12"/>
  <c r="F38" i="12"/>
  <c r="Q37" i="12"/>
  <c r="P37" i="12"/>
  <c r="O37" i="12"/>
  <c r="E37" i="12"/>
  <c r="D37" i="12"/>
  <c r="F37" i="12" s="1"/>
  <c r="Q36" i="12"/>
  <c r="P36" i="12"/>
  <c r="O36" i="12"/>
  <c r="F36" i="12"/>
  <c r="Q35" i="12"/>
  <c r="P35" i="12"/>
  <c r="O35" i="12"/>
  <c r="F35" i="12"/>
  <c r="Q34" i="12"/>
  <c r="P34" i="12"/>
  <c r="O34" i="12"/>
  <c r="F34" i="12"/>
  <c r="Q33" i="12"/>
  <c r="P33" i="12"/>
  <c r="O33" i="12"/>
  <c r="F33" i="12"/>
  <c r="Q32" i="12"/>
  <c r="P32" i="12"/>
  <c r="O32" i="12"/>
  <c r="E32" i="12"/>
  <c r="D32" i="12"/>
  <c r="Q31" i="12"/>
  <c r="P31" i="12"/>
  <c r="O31" i="12"/>
  <c r="F31" i="12"/>
  <c r="Q30" i="12"/>
  <c r="P30" i="12"/>
  <c r="O30" i="12"/>
  <c r="F30" i="12"/>
  <c r="Q29" i="12"/>
  <c r="P29" i="12"/>
  <c r="O29" i="12"/>
  <c r="F29" i="12"/>
  <c r="Q28" i="12"/>
  <c r="P28" i="12"/>
  <c r="O28" i="12"/>
  <c r="F28" i="12"/>
  <c r="Q27" i="12"/>
  <c r="P27" i="12"/>
  <c r="O27" i="12"/>
  <c r="E27" i="12"/>
  <c r="D27" i="12"/>
  <c r="F27" i="12" s="1"/>
  <c r="Q26" i="12"/>
  <c r="P26" i="12"/>
  <c r="O26" i="12"/>
  <c r="Q25" i="12"/>
  <c r="P25" i="12"/>
  <c r="O25" i="12"/>
  <c r="Q24" i="12"/>
  <c r="P24" i="12"/>
  <c r="O24" i="12"/>
  <c r="Q23" i="12"/>
  <c r="P23" i="12"/>
  <c r="O23" i="12"/>
  <c r="Q22" i="12"/>
  <c r="P22" i="12"/>
  <c r="O22" i="12"/>
  <c r="Q21" i="12"/>
  <c r="P21" i="12"/>
  <c r="O21" i="12"/>
  <c r="F21" i="12"/>
  <c r="Q20" i="12"/>
  <c r="P20" i="12"/>
  <c r="O20" i="12"/>
  <c r="F20" i="12"/>
  <c r="Q19" i="12"/>
  <c r="P19" i="12"/>
  <c r="O19" i="12"/>
  <c r="F19" i="12"/>
  <c r="Q18" i="12"/>
  <c r="P18" i="12"/>
  <c r="O18" i="12"/>
  <c r="F18" i="12"/>
  <c r="Q17" i="12"/>
  <c r="P17" i="12"/>
  <c r="O17" i="12"/>
  <c r="E17" i="12"/>
  <c r="D17" i="12"/>
  <c r="D24" i="12" s="1"/>
  <c r="Q16" i="12"/>
  <c r="P16" i="12"/>
  <c r="O16" i="12"/>
  <c r="F16" i="12"/>
  <c r="Q15" i="12"/>
  <c r="P15" i="12"/>
  <c r="O15" i="12"/>
  <c r="F15" i="12"/>
  <c r="Q14" i="12"/>
  <c r="P14" i="12"/>
  <c r="O14" i="12"/>
  <c r="F14" i="12"/>
  <c r="Q13" i="12"/>
  <c r="P13" i="12"/>
  <c r="O13" i="12"/>
  <c r="F13" i="12"/>
  <c r="Q12" i="12"/>
  <c r="Q54" i="12" s="1"/>
  <c r="P12" i="12"/>
  <c r="O12" i="12"/>
  <c r="G104" i="12" s="1"/>
  <c r="E12" i="12"/>
  <c r="E23" i="12" s="1"/>
  <c r="D23" i="12" s="1"/>
  <c r="D12" i="12"/>
  <c r="F12" i="12" s="1"/>
  <c r="J7" i="12"/>
  <c r="P6" i="12"/>
  <c r="N6" i="12"/>
  <c r="M6" i="12"/>
  <c r="L6" i="12"/>
  <c r="K6" i="12"/>
  <c r="J6" i="12" s="1"/>
  <c r="H6" i="12"/>
  <c r="G6" i="12" s="1"/>
  <c r="P5" i="12"/>
  <c r="N5" i="12"/>
  <c r="M5" i="12"/>
  <c r="L5" i="12"/>
  <c r="K5" i="12"/>
  <c r="J5" i="12" s="1"/>
  <c r="H5" i="12"/>
  <c r="G5" i="12"/>
  <c r="R4" i="12"/>
  <c r="Q4" i="12"/>
  <c r="P4" i="12"/>
  <c r="O4" i="12"/>
  <c r="N4" i="12"/>
  <c r="M4" i="12"/>
  <c r="L4" i="12"/>
  <c r="K4" i="12"/>
  <c r="J4" i="12"/>
  <c r="I4" i="12"/>
  <c r="H4" i="12"/>
  <c r="G4" i="12"/>
  <c r="H1" i="12"/>
  <c r="G1" i="12"/>
  <c r="Q104" i="11"/>
  <c r="P104" i="11"/>
  <c r="I104" i="11"/>
  <c r="T103" i="11"/>
  <c r="S103" i="11"/>
  <c r="R103" i="11"/>
  <c r="Q103" i="11"/>
  <c r="P103" i="11"/>
  <c r="T102" i="11"/>
  <c r="S102" i="11"/>
  <c r="R102" i="11"/>
  <c r="Q102" i="11"/>
  <c r="P102" i="11"/>
  <c r="T101" i="11"/>
  <c r="S101" i="11"/>
  <c r="R101" i="11"/>
  <c r="Q101" i="11"/>
  <c r="P101" i="11"/>
  <c r="T100" i="11"/>
  <c r="S100" i="11"/>
  <c r="R100" i="11"/>
  <c r="Q100" i="11"/>
  <c r="P100" i="11"/>
  <c r="T99" i="11"/>
  <c r="S99" i="11"/>
  <c r="R99" i="11"/>
  <c r="Q99" i="11"/>
  <c r="P99" i="11"/>
  <c r="T98" i="11"/>
  <c r="S98" i="11"/>
  <c r="R98" i="11"/>
  <c r="Q98" i="11"/>
  <c r="P98" i="11"/>
  <c r="T97" i="11"/>
  <c r="S97" i="11"/>
  <c r="R97" i="11"/>
  <c r="Q97" i="11"/>
  <c r="P97" i="11"/>
  <c r="T96" i="11"/>
  <c r="S96" i="11"/>
  <c r="R96" i="11"/>
  <c r="Q96" i="11"/>
  <c r="P96" i="11"/>
  <c r="T95" i="11"/>
  <c r="S95" i="11"/>
  <c r="R95" i="11"/>
  <c r="Q95" i="11"/>
  <c r="P95" i="11"/>
  <c r="T94" i="11"/>
  <c r="S94" i="11"/>
  <c r="R94" i="11"/>
  <c r="Q94" i="11"/>
  <c r="P94" i="11"/>
  <c r="T93" i="11"/>
  <c r="S93" i="11"/>
  <c r="R93" i="11"/>
  <c r="Q93" i="11"/>
  <c r="P93" i="11"/>
  <c r="T92" i="11"/>
  <c r="S92" i="11"/>
  <c r="R92" i="11"/>
  <c r="Q92" i="11"/>
  <c r="P92" i="11"/>
  <c r="T91" i="11"/>
  <c r="S91" i="11"/>
  <c r="R91" i="11"/>
  <c r="Q91" i="11"/>
  <c r="P91" i="11"/>
  <c r="T90" i="11"/>
  <c r="S90" i="11"/>
  <c r="R90" i="11"/>
  <c r="Q90" i="11"/>
  <c r="P90" i="11"/>
  <c r="T89" i="11"/>
  <c r="S89" i="11"/>
  <c r="R89" i="11"/>
  <c r="Q89" i="11"/>
  <c r="P89" i="11"/>
  <c r="T88" i="11"/>
  <c r="S88" i="11"/>
  <c r="R88" i="11"/>
  <c r="Q88" i="11"/>
  <c r="P88" i="11"/>
  <c r="T87" i="11"/>
  <c r="S87" i="11"/>
  <c r="R87" i="11"/>
  <c r="Q87" i="11"/>
  <c r="P87" i="11"/>
  <c r="T86" i="11"/>
  <c r="S86" i="11"/>
  <c r="R86" i="11"/>
  <c r="Q86" i="11"/>
  <c r="P86" i="11"/>
  <c r="T85" i="11"/>
  <c r="S85" i="11"/>
  <c r="R85" i="11"/>
  <c r="Q85" i="11"/>
  <c r="P85" i="11"/>
  <c r="T84" i="11"/>
  <c r="S84" i="11"/>
  <c r="R84" i="11"/>
  <c r="Q84" i="11"/>
  <c r="P84" i="11"/>
  <c r="T83" i="11"/>
  <c r="S83" i="11"/>
  <c r="R83" i="11"/>
  <c r="Q83" i="11"/>
  <c r="P83" i="11"/>
  <c r="T82" i="11"/>
  <c r="S82" i="11"/>
  <c r="R82" i="11"/>
  <c r="Q82" i="11"/>
  <c r="P82" i="11"/>
  <c r="T81" i="11"/>
  <c r="S81" i="11"/>
  <c r="R81" i="11"/>
  <c r="Q81" i="11"/>
  <c r="P81" i="11"/>
  <c r="T80" i="11"/>
  <c r="S80" i="11"/>
  <c r="R80" i="11"/>
  <c r="Q80" i="11"/>
  <c r="P80" i="11"/>
  <c r="T79" i="11"/>
  <c r="S79" i="11"/>
  <c r="R79" i="11"/>
  <c r="Q79" i="11"/>
  <c r="P79" i="11"/>
  <c r="T78" i="11"/>
  <c r="S78" i="11"/>
  <c r="R78" i="11"/>
  <c r="Q78" i="11"/>
  <c r="P78" i="11"/>
  <c r="T77" i="11"/>
  <c r="S77" i="11"/>
  <c r="R77" i="11"/>
  <c r="Q77" i="11"/>
  <c r="P77" i="11"/>
  <c r="T76" i="11"/>
  <c r="S76" i="11"/>
  <c r="R76" i="11"/>
  <c r="Q76" i="11"/>
  <c r="P76" i="11"/>
  <c r="T75" i="11"/>
  <c r="S75" i="11"/>
  <c r="R75" i="11"/>
  <c r="Q75" i="11"/>
  <c r="P75" i="11"/>
  <c r="T74" i="11"/>
  <c r="S74" i="11"/>
  <c r="R74" i="11"/>
  <c r="Q74" i="11"/>
  <c r="P74" i="11"/>
  <c r="T73" i="11"/>
  <c r="S73" i="11"/>
  <c r="R73" i="11"/>
  <c r="Q73" i="11"/>
  <c r="P73" i="11"/>
  <c r="T72" i="11"/>
  <c r="S72" i="11"/>
  <c r="R72" i="11"/>
  <c r="Q72" i="11"/>
  <c r="P72" i="11"/>
  <c r="T71" i="11"/>
  <c r="S71" i="11"/>
  <c r="R71" i="11"/>
  <c r="Q71" i="11"/>
  <c r="P71" i="11"/>
  <c r="T70" i="11"/>
  <c r="S70" i="11"/>
  <c r="R70" i="11"/>
  <c r="Q70" i="11"/>
  <c r="P70" i="11"/>
  <c r="T69" i="11"/>
  <c r="S69" i="11"/>
  <c r="R69" i="11"/>
  <c r="Q69" i="11"/>
  <c r="P69" i="11"/>
  <c r="T68" i="11"/>
  <c r="S68" i="11"/>
  <c r="R68" i="11"/>
  <c r="Q68" i="11"/>
  <c r="P68" i="11"/>
  <c r="T67" i="11"/>
  <c r="S67" i="11"/>
  <c r="R67" i="11"/>
  <c r="Q67" i="11"/>
  <c r="P67" i="11"/>
  <c r="T66" i="11"/>
  <c r="S66" i="11"/>
  <c r="R66" i="11"/>
  <c r="Q66" i="11"/>
  <c r="P66" i="11"/>
  <c r="T65" i="11"/>
  <c r="S65" i="11"/>
  <c r="R65" i="11"/>
  <c r="Q65" i="11"/>
  <c r="P65" i="11"/>
  <c r="T64" i="11"/>
  <c r="S64" i="11"/>
  <c r="R64" i="11"/>
  <c r="Q64" i="11"/>
  <c r="P64" i="11"/>
  <c r="T63" i="11"/>
  <c r="S63" i="11"/>
  <c r="R63" i="11"/>
  <c r="Q63" i="11"/>
  <c r="P63" i="11"/>
  <c r="T62" i="11"/>
  <c r="S62" i="11"/>
  <c r="R62" i="11"/>
  <c r="Q62" i="11"/>
  <c r="P62" i="11"/>
  <c r="T54" i="11"/>
  <c r="B54" i="11"/>
  <c r="R53" i="11"/>
  <c r="Q53" i="11"/>
  <c r="P53" i="11"/>
  <c r="O53" i="11"/>
  <c r="L53" i="11"/>
  <c r="I53" i="11"/>
  <c r="R52" i="11"/>
  <c r="Q52" i="11"/>
  <c r="P52" i="11"/>
  <c r="O52" i="11"/>
  <c r="L52" i="11"/>
  <c r="I52" i="11"/>
  <c r="Q51" i="11"/>
  <c r="P51" i="11"/>
  <c r="O51" i="11"/>
  <c r="R51" i="11" s="1"/>
  <c r="L51" i="11"/>
  <c r="I51" i="11"/>
  <c r="F51" i="11"/>
  <c r="R50" i="11"/>
  <c r="Q50" i="11"/>
  <c r="P50" i="11"/>
  <c r="O50" i="11"/>
  <c r="L50" i="11"/>
  <c r="I50" i="11"/>
  <c r="F50" i="11"/>
  <c r="Q49" i="11"/>
  <c r="P49" i="11"/>
  <c r="O49" i="11"/>
  <c r="R49" i="11" s="1"/>
  <c r="L49" i="11"/>
  <c r="I49" i="11"/>
  <c r="F49" i="11"/>
  <c r="R48" i="11"/>
  <c r="Q48" i="11"/>
  <c r="P48" i="11"/>
  <c r="O48" i="11"/>
  <c r="L48" i="11"/>
  <c r="I48" i="11"/>
  <c r="F48" i="11"/>
  <c r="Q47" i="11"/>
  <c r="P47" i="11"/>
  <c r="O47" i="11"/>
  <c r="R47" i="11" s="1"/>
  <c r="L47" i="11"/>
  <c r="I47" i="11"/>
  <c r="E47" i="11"/>
  <c r="D47" i="11"/>
  <c r="Q46" i="11"/>
  <c r="P46" i="11"/>
  <c r="O46" i="11"/>
  <c r="R46" i="11" s="1"/>
  <c r="L46" i="11"/>
  <c r="I46" i="11"/>
  <c r="F46" i="11"/>
  <c r="R45" i="11"/>
  <c r="Q45" i="11"/>
  <c r="P45" i="11"/>
  <c r="O45" i="11"/>
  <c r="L45" i="11"/>
  <c r="I45" i="11"/>
  <c r="F45" i="11"/>
  <c r="Q44" i="11"/>
  <c r="P44" i="11"/>
  <c r="O44" i="11"/>
  <c r="R44" i="11" s="1"/>
  <c r="L44" i="11"/>
  <c r="I44" i="11"/>
  <c r="F44" i="11"/>
  <c r="R43" i="11"/>
  <c r="Q43" i="11"/>
  <c r="P43" i="11"/>
  <c r="O43" i="11"/>
  <c r="L43" i="11"/>
  <c r="I43" i="11"/>
  <c r="F43" i="11"/>
  <c r="Q42" i="11"/>
  <c r="P42" i="11"/>
  <c r="O42" i="11"/>
  <c r="R42" i="11" s="1"/>
  <c r="L42" i="11"/>
  <c r="I42" i="11"/>
  <c r="E42" i="11"/>
  <c r="D42" i="11"/>
  <c r="Q41" i="11"/>
  <c r="P41" i="11"/>
  <c r="O41" i="11"/>
  <c r="R41" i="11" s="1"/>
  <c r="L41" i="11"/>
  <c r="I41" i="11"/>
  <c r="F41" i="11"/>
  <c r="R40" i="11"/>
  <c r="Q40" i="11"/>
  <c r="P40" i="11"/>
  <c r="O40" i="11"/>
  <c r="L40" i="11"/>
  <c r="I40" i="11"/>
  <c r="F40" i="11"/>
  <c r="Q39" i="11"/>
  <c r="P39" i="11"/>
  <c r="O39" i="11"/>
  <c r="R39" i="11" s="1"/>
  <c r="L39" i="11"/>
  <c r="I39" i="11"/>
  <c r="F39" i="11"/>
  <c r="R38" i="11"/>
  <c r="Q38" i="11"/>
  <c r="P38" i="11"/>
  <c r="O38" i="11"/>
  <c r="L38" i="11"/>
  <c r="I38" i="11"/>
  <c r="F38" i="11"/>
  <c r="Q37" i="11"/>
  <c r="P37" i="11"/>
  <c r="O37" i="11"/>
  <c r="R37" i="11" s="1"/>
  <c r="L37" i="11"/>
  <c r="I37" i="11"/>
  <c r="E37" i="11"/>
  <c r="D37" i="11"/>
  <c r="Q36" i="11"/>
  <c r="P36" i="11"/>
  <c r="O36" i="11"/>
  <c r="R36" i="11" s="1"/>
  <c r="L36" i="11"/>
  <c r="I36" i="11"/>
  <c r="F36" i="11"/>
  <c r="R35" i="11"/>
  <c r="Q35" i="11"/>
  <c r="P35" i="11"/>
  <c r="O35" i="11"/>
  <c r="L35" i="11"/>
  <c r="I35" i="11"/>
  <c r="F35" i="11"/>
  <c r="Q34" i="11"/>
  <c r="P34" i="11"/>
  <c r="O34" i="11"/>
  <c r="R34" i="11" s="1"/>
  <c r="L34" i="11"/>
  <c r="I34" i="11"/>
  <c r="F34" i="11"/>
  <c r="R33" i="11"/>
  <c r="Q33" i="11"/>
  <c r="P33" i="11"/>
  <c r="O33" i="11"/>
  <c r="L33" i="11"/>
  <c r="I33" i="11"/>
  <c r="F33" i="11"/>
  <c r="Q32" i="11"/>
  <c r="P32" i="11"/>
  <c r="O32" i="11"/>
  <c r="R32" i="11" s="1"/>
  <c r="L32" i="11"/>
  <c r="I32" i="11"/>
  <c r="E32" i="11"/>
  <c r="D32" i="11"/>
  <c r="Q31" i="11"/>
  <c r="P31" i="11"/>
  <c r="O31" i="11"/>
  <c r="R31" i="11" s="1"/>
  <c r="L31" i="11"/>
  <c r="I31" i="11"/>
  <c r="F31" i="11"/>
  <c r="R30" i="11"/>
  <c r="Q30" i="11"/>
  <c r="P30" i="11"/>
  <c r="O30" i="11"/>
  <c r="L30" i="11"/>
  <c r="I30" i="11"/>
  <c r="F30" i="11"/>
  <c r="R29" i="11" s="1"/>
  <c r="Q29" i="11"/>
  <c r="P29" i="11"/>
  <c r="O29" i="11"/>
  <c r="U79" i="11" s="1"/>
  <c r="L29" i="11"/>
  <c r="I29" i="11"/>
  <c r="F29" i="11"/>
  <c r="Q28" i="11"/>
  <c r="P28" i="11"/>
  <c r="O28" i="11"/>
  <c r="R28" i="11" s="1"/>
  <c r="L28" i="11"/>
  <c r="I28" i="11"/>
  <c r="F28" i="11"/>
  <c r="Q27" i="11"/>
  <c r="P27" i="11"/>
  <c r="O27" i="11"/>
  <c r="U77" i="11" s="1"/>
  <c r="L27" i="11"/>
  <c r="I27" i="11"/>
  <c r="E27" i="11"/>
  <c r="D27" i="11"/>
  <c r="Q26" i="11"/>
  <c r="P26" i="11"/>
  <c r="O26" i="11"/>
  <c r="R26" i="11" s="1"/>
  <c r="L26" i="11"/>
  <c r="I26" i="11"/>
  <c r="Q25" i="11"/>
  <c r="P25" i="11"/>
  <c r="O25" i="11"/>
  <c r="R25" i="11" s="1"/>
  <c r="L25" i="11"/>
  <c r="I25" i="11"/>
  <c r="Q24" i="11"/>
  <c r="P24" i="11"/>
  <c r="O24" i="11"/>
  <c r="R24" i="11" s="1"/>
  <c r="L24" i="11"/>
  <c r="I24" i="11"/>
  <c r="R23" i="11"/>
  <c r="Q23" i="11"/>
  <c r="P23" i="11"/>
  <c r="O23" i="11"/>
  <c r="L23" i="11"/>
  <c r="I23" i="11"/>
  <c r="R22" i="11"/>
  <c r="Q22" i="11"/>
  <c r="P22" i="11"/>
  <c r="O22" i="11"/>
  <c r="L22" i="11"/>
  <c r="I22" i="11"/>
  <c r="R21" i="11"/>
  <c r="Q21" i="11"/>
  <c r="P21" i="11"/>
  <c r="O21" i="11"/>
  <c r="L21" i="11"/>
  <c r="I21" i="11"/>
  <c r="F21" i="11"/>
  <c r="Q20" i="11"/>
  <c r="P20" i="11"/>
  <c r="O20" i="11"/>
  <c r="R20" i="11" s="1"/>
  <c r="L20" i="11"/>
  <c r="I20" i="11"/>
  <c r="F20" i="11"/>
  <c r="R19" i="11"/>
  <c r="Q19" i="11"/>
  <c r="P19" i="11"/>
  <c r="O19" i="11"/>
  <c r="L19" i="11"/>
  <c r="I19" i="11"/>
  <c r="F19" i="11"/>
  <c r="Q18" i="11"/>
  <c r="P18" i="11"/>
  <c r="O18" i="11"/>
  <c r="R18" i="11" s="1"/>
  <c r="L18" i="11"/>
  <c r="I18" i="11"/>
  <c r="F18" i="11"/>
  <c r="R17" i="11"/>
  <c r="Q17" i="11"/>
  <c r="P17" i="11"/>
  <c r="O17" i="11"/>
  <c r="L17" i="11"/>
  <c r="I17" i="11"/>
  <c r="E17" i="11"/>
  <c r="D17" i="11"/>
  <c r="D24" i="11" s="1"/>
  <c r="R16" i="11"/>
  <c r="Q16" i="11"/>
  <c r="P16" i="11"/>
  <c r="O16" i="11"/>
  <c r="L16" i="11"/>
  <c r="I16" i="11"/>
  <c r="F16" i="11"/>
  <c r="Q15" i="11"/>
  <c r="P15" i="11"/>
  <c r="O15" i="11"/>
  <c r="R15" i="11" s="1"/>
  <c r="L15" i="11"/>
  <c r="I15" i="11"/>
  <c r="F15" i="11"/>
  <c r="R14" i="11"/>
  <c r="Q14" i="11"/>
  <c r="P14" i="11"/>
  <c r="O14" i="11"/>
  <c r="L14" i="11"/>
  <c r="I14" i="11"/>
  <c r="F14" i="11"/>
  <c r="Q13" i="11"/>
  <c r="P13" i="11"/>
  <c r="O13" i="11"/>
  <c r="R13" i="11" s="1"/>
  <c r="L13" i="11"/>
  <c r="I13" i="11"/>
  <c r="F13" i="11"/>
  <c r="R12" i="11"/>
  <c r="Q12" i="11"/>
  <c r="P12" i="11"/>
  <c r="O12" i="11"/>
  <c r="U62" i="11" s="1"/>
  <c r="L12" i="11"/>
  <c r="I12" i="11"/>
  <c r="E12" i="11"/>
  <c r="D12" i="11"/>
  <c r="P6" i="11"/>
  <c r="N6" i="11"/>
  <c r="M6" i="11"/>
  <c r="L6" i="11"/>
  <c r="K6" i="11"/>
  <c r="J6" i="11"/>
  <c r="H6" i="11"/>
  <c r="G6" i="11"/>
  <c r="P5" i="11"/>
  <c r="N5" i="11"/>
  <c r="M5" i="11"/>
  <c r="L5" i="11"/>
  <c r="K5" i="11"/>
  <c r="J5" i="11"/>
  <c r="H5" i="11"/>
  <c r="G5" i="11"/>
  <c r="R4" i="11"/>
  <c r="Q4" i="11"/>
  <c r="P4" i="11"/>
  <c r="O4" i="11"/>
  <c r="N4" i="11"/>
  <c r="M4" i="11"/>
  <c r="L4" i="11"/>
  <c r="K4" i="11"/>
  <c r="J4" i="11"/>
  <c r="I4" i="11"/>
  <c r="H4" i="11"/>
  <c r="G4" i="11"/>
  <c r="H1" i="11"/>
  <c r="G1" i="11"/>
  <c r="I104" i="10"/>
  <c r="T103" i="10"/>
  <c r="S103" i="10"/>
  <c r="Q103" i="10"/>
  <c r="P103" i="10"/>
  <c r="T102" i="10"/>
  <c r="S102" i="10"/>
  <c r="Q102" i="10"/>
  <c r="P102" i="10"/>
  <c r="T101" i="10"/>
  <c r="S101" i="10"/>
  <c r="Q101" i="10"/>
  <c r="P101" i="10"/>
  <c r="T100" i="10"/>
  <c r="S100" i="10"/>
  <c r="Q100" i="10"/>
  <c r="P100" i="10"/>
  <c r="T99" i="10"/>
  <c r="S99" i="10"/>
  <c r="Q99" i="10"/>
  <c r="P99" i="10"/>
  <c r="T98" i="10"/>
  <c r="S98" i="10"/>
  <c r="Q98" i="10"/>
  <c r="P98" i="10"/>
  <c r="T97" i="10"/>
  <c r="S97" i="10"/>
  <c r="Q97" i="10"/>
  <c r="P97" i="10"/>
  <c r="T96" i="10"/>
  <c r="S96" i="10"/>
  <c r="Q96" i="10"/>
  <c r="P96" i="10"/>
  <c r="T95" i="10"/>
  <c r="S95" i="10"/>
  <c r="Q95" i="10"/>
  <c r="P95" i="10"/>
  <c r="T94" i="10"/>
  <c r="S94" i="10"/>
  <c r="Q94" i="10"/>
  <c r="P94" i="10"/>
  <c r="T93" i="10"/>
  <c r="S93" i="10"/>
  <c r="Q93" i="10"/>
  <c r="P93" i="10"/>
  <c r="T92" i="10"/>
  <c r="S92" i="10"/>
  <c r="Q92" i="10"/>
  <c r="P92" i="10"/>
  <c r="T91" i="10"/>
  <c r="S91" i="10"/>
  <c r="Q91" i="10"/>
  <c r="P91" i="10"/>
  <c r="T90" i="10"/>
  <c r="S90" i="10"/>
  <c r="Q90" i="10"/>
  <c r="P90" i="10"/>
  <c r="T89" i="10"/>
  <c r="S89" i="10"/>
  <c r="Q89" i="10"/>
  <c r="P89" i="10"/>
  <c r="T88" i="10"/>
  <c r="S88" i="10"/>
  <c r="Q88" i="10"/>
  <c r="P88" i="10"/>
  <c r="T87" i="10"/>
  <c r="S87" i="10"/>
  <c r="Q87" i="10"/>
  <c r="P87" i="10"/>
  <c r="T86" i="10"/>
  <c r="S86" i="10"/>
  <c r="Q86" i="10"/>
  <c r="P86" i="10"/>
  <c r="T85" i="10"/>
  <c r="S85" i="10"/>
  <c r="Q85" i="10"/>
  <c r="P85" i="10"/>
  <c r="T84" i="10"/>
  <c r="S84" i="10"/>
  <c r="Q84" i="10"/>
  <c r="P84" i="10"/>
  <c r="T83" i="10"/>
  <c r="S83" i="10"/>
  <c r="Q83" i="10"/>
  <c r="P83" i="10"/>
  <c r="T82" i="10"/>
  <c r="S82" i="10"/>
  <c r="Q82" i="10"/>
  <c r="P82" i="10"/>
  <c r="T81" i="10"/>
  <c r="S81" i="10"/>
  <c r="Q81" i="10"/>
  <c r="P81" i="10"/>
  <c r="T80" i="10"/>
  <c r="S80" i="10"/>
  <c r="Q80" i="10"/>
  <c r="P80" i="10"/>
  <c r="T79" i="10"/>
  <c r="S79" i="10"/>
  <c r="Q79" i="10"/>
  <c r="P79" i="10"/>
  <c r="T78" i="10"/>
  <c r="S78" i="10"/>
  <c r="Q78" i="10"/>
  <c r="P78" i="10"/>
  <c r="T77" i="10"/>
  <c r="S77" i="10"/>
  <c r="Q77" i="10"/>
  <c r="P77" i="10"/>
  <c r="T76" i="10"/>
  <c r="S76" i="10"/>
  <c r="Q76" i="10"/>
  <c r="P76" i="10"/>
  <c r="T75" i="10"/>
  <c r="S75" i="10"/>
  <c r="Q75" i="10"/>
  <c r="P75" i="10"/>
  <c r="T74" i="10"/>
  <c r="S74" i="10"/>
  <c r="Q74" i="10"/>
  <c r="P74" i="10"/>
  <c r="T73" i="10"/>
  <c r="S73" i="10"/>
  <c r="Q73" i="10"/>
  <c r="P73" i="10"/>
  <c r="T72" i="10"/>
  <c r="S72" i="10"/>
  <c r="Q72" i="10"/>
  <c r="P72" i="10"/>
  <c r="T71" i="10"/>
  <c r="S71" i="10"/>
  <c r="Q71" i="10"/>
  <c r="P71" i="10"/>
  <c r="T70" i="10"/>
  <c r="T104" i="10" s="1"/>
  <c r="S70" i="10"/>
  <c r="S104" i="10" s="1"/>
  <c r="Q70" i="10"/>
  <c r="Q104" i="10" s="1"/>
  <c r="P70" i="10"/>
  <c r="T54" i="10"/>
  <c r="B54" i="10"/>
  <c r="Q53" i="10"/>
  <c r="P53" i="10"/>
  <c r="O53" i="10"/>
  <c r="R53" i="10" s="1"/>
  <c r="L53" i="10"/>
  <c r="I53" i="10"/>
  <c r="R52" i="10" s="1"/>
  <c r="Q52" i="10"/>
  <c r="P52" i="10"/>
  <c r="O52" i="10"/>
  <c r="U102" i="10" s="1"/>
  <c r="L52" i="10"/>
  <c r="I52" i="10"/>
  <c r="Q51" i="10"/>
  <c r="P51" i="10"/>
  <c r="O51" i="10"/>
  <c r="R51" i="10" s="1"/>
  <c r="L51" i="10"/>
  <c r="I51" i="10"/>
  <c r="F51" i="10"/>
  <c r="Q50" i="10"/>
  <c r="P50" i="10"/>
  <c r="O50" i="10"/>
  <c r="U100" i="10" s="1"/>
  <c r="L50" i="10"/>
  <c r="I50" i="10"/>
  <c r="F50" i="10"/>
  <c r="R49" i="10"/>
  <c r="Q49" i="10"/>
  <c r="P49" i="10"/>
  <c r="O49" i="10"/>
  <c r="L49" i="10"/>
  <c r="I49" i="10"/>
  <c r="F49" i="10"/>
  <c r="R48" i="10" s="1"/>
  <c r="Q48" i="10"/>
  <c r="P48" i="10"/>
  <c r="O48" i="10"/>
  <c r="U98" i="10" s="1"/>
  <c r="L48" i="10"/>
  <c r="I48" i="10"/>
  <c r="F48" i="10"/>
  <c r="Q47" i="10"/>
  <c r="P47" i="10"/>
  <c r="O47" i="10"/>
  <c r="R47" i="10" s="1"/>
  <c r="L47" i="10"/>
  <c r="I47" i="10"/>
  <c r="E47" i="10"/>
  <c r="D47" i="10"/>
  <c r="R46" i="10" s="1"/>
  <c r="Q46" i="10"/>
  <c r="P46" i="10"/>
  <c r="O46" i="10"/>
  <c r="U96" i="10" s="1"/>
  <c r="L46" i="10"/>
  <c r="I46" i="10"/>
  <c r="F46" i="10"/>
  <c r="Q45" i="10"/>
  <c r="P45" i="10"/>
  <c r="O45" i="10"/>
  <c r="R45" i="10" s="1"/>
  <c r="L45" i="10"/>
  <c r="I45" i="10"/>
  <c r="F45" i="10"/>
  <c r="Q44" i="10"/>
  <c r="P44" i="10"/>
  <c r="O44" i="10"/>
  <c r="U94" i="10" s="1"/>
  <c r="L44" i="10"/>
  <c r="I44" i="10"/>
  <c r="F44" i="10"/>
  <c r="R43" i="10"/>
  <c r="Q43" i="10"/>
  <c r="P43" i="10"/>
  <c r="O43" i="10"/>
  <c r="L43" i="10"/>
  <c r="I43" i="10"/>
  <c r="F43" i="10"/>
  <c r="R42" i="10" s="1"/>
  <c r="Q42" i="10"/>
  <c r="P42" i="10"/>
  <c r="O42" i="10"/>
  <c r="U92" i="10" s="1"/>
  <c r="L42" i="10"/>
  <c r="I42" i="10"/>
  <c r="E42" i="10"/>
  <c r="D42" i="10"/>
  <c r="R41" i="10"/>
  <c r="Q41" i="10"/>
  <c r="P41" i="10"/>
  <c r="O41" i="10"/>
  <c r="L41" i="10"/>
  <c r="I41" i="10"/>
  <c r="F41" i="10"/>
  <c r="R40" i="10" s="1"/>
  <c r="Q40" i="10"/>
  <c r="P40" i="10"/>
  <c r="O40" i="10"/>
  <c r="U90" i="10" s="1"/>
  <c r="L40" i="10"/>
  <c r="I40" i="10"/>
  <c r="F40" i="10"/>
  <c r="Q39" i="10"/>
  <c r="P39" i="10"/>
  <c r="O39" i="10"/>
  <c r="R39" i="10" s="1"/>
  <c r="L39" i="10"/>
  <c r="I39" i="10"/>
  <c r="F39" i="10"/>
  <c r="Q38" i="10"/>
  <c r="P38" i="10"/>
  <c r="O38" i="10"/>
  <c r="U88" i="10" s="1"/>
  <c r="L38" i="10"/>
  <c r="I38" i="10"/>
  <c r="F38" i="10"/>
  <c r="R37" i="10"/>
  <c r="Q37" i="10"/>
  <c r="P37" i="10"/>
  <c r="O37" i="10"/>
  <c r="L37" i="10"/>
  <c r="I37" i="10"/>
  <c r="E37" i="10"/>
  <c r="D37" i="10"/>
  <c r="Q36" i="10"/>
  <c r="P36" i="10"/>
  <c r="O36" i="10"/>
  <c r="U86" i="10" s="1"/>
  <c r="L36" i="10"/>
  <c r="I36" i="10"/>
  <c r="F36" i="10"/>
  <c r="R35" i="10"/>
  <c r="Q35" i="10"/>
  <c r="P35" i="10"/>
  <c r="O35" i="10"/>
  <c r="L35" i="10"/>
  <c r="I35" i="10"/>
  <c r="F35" i="10"/>
  <c r="R34" i="10" s="1"/>
  <c r="Q34" i="10"/>
  <c r="P34" i="10"/>
  <c r="O34" i="10"/>
  <c r="U84" i="10" s="1"/>
  <c r="L34" i="10"/>
  <c r="I34" i="10"/>
  <c r="F34" i="10"/>
  <c r="Q33" i="10"/>
  <c r="P33" i="10"/>
  <c r="O33" i="10"/>
  <c r="R33" i="10" s="1"/>
  <c r="L33" i="10"/>
  <c r="I33" i="10"/>
  <c r="F33" i="10"/>
  <c r="Q32" i="10"/>
  <c r="P32" i="10"/>
  <c r="O32" i="10"/>
  <c r="U82" i="10" s="1"/>
  <c r="L32" i="10"/>
  <c r="I32" i="10"/>
  <c r="E32" i="10"/>
  <c r="D32" i="10"/>
  <c r="Q31" i="10"/>
  <c r="P31" i="10"/>
  <c r="O31" i="10"/>
  <c r="R31" i="10" s="1"/>
  <c r="L31" i="10"/>
  <c r="I31" i="10"/>
  <c r="F31" i="10"/>
  <c r="R30" i="10"/>
  <c r="Q30" i="10"/>
  <c r="P30" i="10"/>
  <c r="O30" i="10"/>
  <c r="L30" i="10"/>
  <c r="I30" i="10"/>
  <c r="F30" i="10"/>
  <c r="Q29" i="10"/>
  <c r="P29" i="10"/>
  <c r="O29" i="10"/>
  <c r="R29" i="10" s="1"/>
  <c r="L29" i="10"/>
  <c r="I29" i="10"/>
  <c r="F29" i="10"/>
  <c r="R28" i="10"/>
  <c r="Q28" i="10"/>
  <c r="P28" i="10"/>
  <c r="O28" i="10"/>
  <c r="L28" i="10"/>
  <c r="I28" i="10"/>
  <c r="F28" i="10"/>
  <c r="Q27" i="10"/>
  <c r="P27" i="10"/>
  <c r="O27" i="10"/>
  <c r="R27" i="10" s="1"/>
  <c r="L27" i="10"/>
  <c r="I27" i="10"/>
  <c r="E27" i="10"/>
  <c r="D27" i="10"/>
  <c r="Q26" i="10"/>
  <c r="P26" i="10"/>
  <c r="O26" i="10"/>
  <c r="R26" i="10" s="1"/>
  <c r="L26" i="10"/>
  <c r="I26" i="10"/>
  <c r="Q25" i="10"/>
  <c r="P25" i="10"/>
  <c r="O25" i="10"/>
  <c r="R25" i="10" s="1"/>
  <c r="L25" i="10"/>
  <c r="I25" i="10"/>
  <c r="Q24" i="10"/>
  <c r="P24" i="10"/>
  <c r="O24" i="10"/>
  <c r="R24" i="10" s="1"/>
  <c r="L24" i="10"/>
  <c r="I24" i="10"/>
  <c r="R23" i="10"/>
  <c r="Q23" i="10"/>
  <c r="P23" i="10"/>
  <c r="O23" i="10"/>
  <c r="L23" i="10"/>
  <c r="I23" i="10"/>
  <c r="R22" i="10"/>
  <c r="Q22" i="10"/>
  <c r="P22" i="10"/>
  <c r="O22" i="10"/>
  <c r="L22" i="10"/>
  <c r="I22" i="10"/>
  <c r="R21" i="10"/>
  <c r="Q21" i="10"/>
  <c r="P21" i="10"/>
  <c r="O21" i="10"/>
  <c r="L21" i="10"/>
  <c r="I21" i="10"/>
  <c r="F21" i="10"/>
  <c r="Q20" i="10"/>
  <c r="P20" i="10"/>
  <c r="O20" i="10"/>
  <c r="R20" i="10" s="1"/>
  <c r="L20" i="10"/>
  <c r="I20" i="10"/>
  <c r="F20" i="10"/>
  <c r="R19" i="10"/>
  <c r="Q19" i="10"/>
  <c r="P19" i="10"/>
  <c r="O19" i="10"/>
  <c r="L19" i="10"/>
  <c r="I19" i="10"/>
  <c r="F19" i="10"/>
  <c r="Q18" i="10"/>
  <c r="P18" i="10"/>
  <c r="O18" i="10"/>
  <c r="R18" i="10" s="1"/>
  <c r="L18" i="10"/>
  <c r="I18" i="10"/>
  <c r="F18" i="10" s="1"/>
  <c r="E18" i="10"/>
  <c r="Q17" i="10"/>
  <c r="P17" i="10"/>
  <c r="O17" i="10"/>
  <c r="L17" i="10"/>
  <c r="I17" i="10"/>
  <c r="E17" i="10"/>
  <c r="D17" i="10"/>
  <c r="F17" i="10" s="1"/>
  <c r="R16" i="10"/>
  <c r="Q16" i="10"/>
  <c r="P16" i="10"/>
  <c r="O16" i="10"/>
  <c r="L16" i="10"/>
  <c r="I16" i="10"/>
  <c r="F16" i="10"/>
  <c r="R15" i="10" s="1"/>
  <c r="Q15" i="10"/>
  <c r="P15" i="10"/>
  <c r="O15" i="10"/>
  <c r="L15" i="10"/>
  <c r="I15" i="10"/>
  <c r="F15" i="10"/>
  <c r="Q14" i="10"/>
  <c r="P14" i="10"/>
  <c r="O14" i="10"/>
  <c r="R14" i="10" s="1"/>
  <c r="L14" i="10"/>
  <c r="I14" i="10"/>
  <c r="F14" i="10"/>
  <c r="Q13" i="10"/>
  <c r="P13" i="10"/>
  <c r="O13" i="10"/>
  <c r="L13" i="10"/>
  <c r="I13" i="10"/>
  <c r="F13" i="10"/>
  <c r="R12" i="10"/>
  <c r="Q12" i="10"/>
  <c r="P12" i="10"/>
  <c r="P54" i="10" s="1"/>
  <c r="O12" i="10"/>
  <c r="G104" i="10" s="1"/>
  <c r="U103" i="10" s="1"/>
  <c r="L12" i="10"/>
  <c r="I12" i="10"/>
  <c r="E12" i="10"/>
  <c r="D12" i="10"/>
  <c r="P6" i="10"/>
  <c r="N6" i="10"/>
  <c r="M6" i="10"/>
  <c r="L6" i="10"/>
  <c r="K6" i="10"/>
  <c r="J6" i="10"/>
  <c r="H6" i="10"/>
  <c r="G6" i="10"/>
  <c r="P5" i="10"/>
  <c r="N5" i="10"/>
  <c r="M5" i="10"/>
  <c r="L5" i="10"/>
  <c r="K5" i="10"/>
  <c r="J5" i="10"/>
  <c r="H5" i="10"/>
  <c r="G5" i="10"/>
  <c r="R4" i="10"/>
  <c r="Q4" i="10"/>
  <c r="P4" i="10"/>
  <c r="O4" i="10"/>
  <c r="N4" i="10"/>
  <c r="M4" i="10"/>
  <c r="L4" i="10"/>
  <c r="K4" i="10"/>
  <c r="J4" i="10"/>
  <c r="I4" i="10"/>
  <c r="H4" i="10"/>
  <c r="G4" i="10"/>
  <c r="H1" i="10"/>
  <c r="G1" i="10"/>
  <c r="T103" i="9"/>
  <c r="S103" i="9"/>
  <c r="Q103" i="9"/>
  <c r="P103" i="9"/>
  <c r="T102" i="9"/>
  <c r="S102" i="9"/>
  <c r="Q102" i="9"/>
  <c r="P102" i="9"/>
  <c r="T101" i="9"/>
  <c r="S101" i="9"/>
  <c r="Q101" i="9"/>
  <c r="P101" i="9"/>
  <c r="T100" i="9"/>
  <c r="S100" i="9"/>
  <c r="Q100" i="9"/>
  <c r="P100" i="9"/>
  <c r="T99" i="9"/>
  <c r="S99" i="9"/>
  <c r="Q99" i="9"/>
  <c r="P99" i="9"/>
  <c r="T98" i="9"/>
  <c r="S98" i="9"/>
  <c r="Q98" i="9"/>
  <c r="P98" i="9"/>
  <c r="T97" i="9"/>
  <c r="S97" i="9"/>
  <c r="Q97" i="9"/>
  <c r="P97" i="9"/>
  <c r="T96" i="9"/>
  <c r="S96" i="9"/>
  <c r="Q96" i="9"/>
  <c r="P96" i="9"/>
  <c r="T95" i="9"/>
  <c r="S95" i="9"/>
  <c r="Q95" i="9"/>
  <c r="P95" i="9"/>
  <c r="T94" i="9"/>
  <c r="S94" i="9"/>
  <c r="Q94" i="9"/>
  <c r="P94" i="9"/>
  <c r="T93" i="9"/>
  <c r="S93" i="9"/>
  <c r="Q93" i="9"/>
  <c r="P93" i="9"/>
  <c r="T92" i="9"/>
  <c r="S92" i="9"/>
  <c r="Q92" i="9"/>
  <c r="P92" i="9"/>
  <c r="T91" i="9"/>
  <c r="S91" i="9"/>
  <c r="Q91" i="9"/>
  <c r="P91" i="9"/>
  <c r="T90" i="9"/>
  <c r="S90" i="9"/>
  <c r="Q90" i="9"/>
  <c r="P90" i="9"/>
  <c r="T89" i="9"/>
  <c r="S89" i="9"/>
  <c r="Q89" i="9"/>
  <c r="P89" i="9"/>
  <c r="T88" i="9"/>
  <c r="S88" i="9"/>
  <c r="Q88" i="9"/>
  <c r="P88" i="9"/>
  <c r="T87" i="9"/>
  <c r="S87" i="9"/>
  <c r="Q87" i="9"/>
  <c r="P87" i="9"/>
  <c r="T86" i="9"/>
  <c r="S86" i="9"/>
  <c r="Q86" i="9"/>
  <c r="P86" i="9"/>
  <c r="T85" i="9"/>
  <c r="S85" i="9"/>
  <c r="Q85" i="9"/>
  <c r="P85" i="9"/>
  <c r="T84" i="9"/>
  <c r="S84" i="9"/>
  <c r="Q84" i="9"/>
  <c r="P84" i="9"/>
  <c r="T83" i="9"/>
  <c r="S83" i="9"/>
  <c r="Q83" i="9"/>
  <c r="P83" i="9"/>
  <c r="T82" i="9"/>
  <c r="S82" i="9"/>
  <c r="Q82" i="9"/>
  <c r="P82" i="9"/>
  <c r="T81" i="9"/>
  <c r="S81" i="9"/>
  <c r="Q81" i="9"/>
  <c r="P81" i="9"/>
  <c r="T80" i="9"/>
  <c r="S80" i="9"/>
  <c r="Q80" i="9"/>
  <c r="P80" i="9"/>
  <c r="T79" i="9"/>
  <c r="S79" i="9"/>
  <c r="Q79" i="9"/>
  <c r="P79" i="9"/>
  <c r="T78" i="9"/>
  <c r="T104" i="9" s="1"/>
  <c r="S78" i="9"/>
  <c r="S104" i="9" s="1"/>
  <c r="Q78" i="9"/>
  <c r="P78" i="9"/>
  <c r="P104" i="9" s="1"/>
  <c r="T54" i="9"/>
  <c r="B54" i="9"/>
  <c r="R53" i="9"/>
  <c r="Q53" i="9"/>
  <c r="P53" i="9"/>
  <c r="O53" i="9"/>
  <c r="L53" i="9"/>
  <c r="I53" i="9"/>
  <c r="Q52" i="9"/>
  <c r="P52" i="9"/>
  <c r="O52" i="9"/>
  <c r="U102" i="9" s="1"/>
  <c r="L52" i="9"/>
  <c r="I52" i="9"/>
  <c r="R51" i="9"/>
  <c r="Q51" i="9"/>
  <c r="P51" i="9"/>
  <c r="O51" i="9"/>
  <c r="L51" i="9"/>
  <c r="I51" i="9"/>
  <c r="F51" i="9"/>
  <c r="R50" i="9" s="1"/>
  <c r="Q50" i="9"/>
  <c r="P50" i="9"/>
  <c r="O50" i="9"/>
  <c r="U100" i="9" s="1"/>
  <c r="L50" i="9"/>
  <c r="I50" i="9"/>
  <c r="F50" i="9"/>
  <c r="Q49" i="9"/>
  <c r="P49" i="9"/>
  <c r="O49" i="9"/>
  <c r="R49" i="9" s="1"/>
  <c r="L49" i="9"/>
  <c r="I49" i="9"/>
  <c r="F49" i="9"/>
  <c r="Q48" i="9"/>
  <c r="P48" i="9"/>
  <c r="O48" i="9"/>
  <c r="U98" i="9" s="1"/>
  <c r="L48" i="9"/>
  <c r="I48" i="9"/>
  <c r="F48" i="9"/>
  <c r="R47" i="9"/>
  <c r="Q47" i="9"/>
  <c r="P47" i="9"/>
  <c r="O47" i="9"/>
  <c r="L47" i="9"/>
  <c r="I47" i="9"/>
  <c r="E47" i="9"/>
  <c r="D47" i="9"/>
  <c r="R46" i="9"/>
  <c r="Q46" i="9"/>
  <c r="P46" i="9"/>
  <c r="O46" i="9"/>
  <c r="L46" i="9"/>
  <c r="I46" i="9"/>
  <c r="F46" i="9"/>
  <c r="Q45" i="9"/>
  <c r="P45" i="9"/>
  <c r="O45" i="9"/>
  <c r="R45" i="9" s="1"/>
  <c r="L45" i="9"/>
  <c r="I45" i="9"/>
  <c r="F45" i="9"/>
  <c r="R44" i="9"/>
  <c r="Q44" i="9"/>
  <c r="P44" i="9"/>
  <c r="O44" i="9"/>
  <c r="L44" i="9"/>
  <c r="I44" i="9"/>
  <c r="F44" i="9"/>
  <c r="Q43" i="9"/>
  <c r="P43" i="9"/>
  <c r="O43" i="9"/>
  <c r="R43" i="9" s="1"/>
  <c r="L43" i="9"/>
  <c r="I43" i="9"/>
  <c r="F43" i="9"/>
  <c r="R42" i="9"/>
  <c r="Q42" i="9"/>
  <c r="P42" i="9"/>
  <c r="O42" i="9"/>
  <c r="L42" i="9"/>
  <c r="I42" i="9"/>
  <c r="E42" i="9"/>
  <c r="D42" i="9"/>
  <c r="R41" i="9"/>
  <c r="Q41" i="9"/>
  <c r="P41" i="9"/>
  <c r="O41" i="9"/>
  <c r="L41" i="9"/>
  <c r="I41" i="9"/>
  <c r="F41" i="9"/>
  <c r="Q40" i="9"/>
  <c r="P40" i="9"/>
  <c r="O40" i="9"/>
  <c r="R40" i="9" s="1"/>
  <c r="L40" i="9"/>
  <c r="I40" i="9"/>
  <c r="F40" i="9"/>
  <c r="R39" i="9"/>
  <c r="Q39" i="9"/>
  <c r="P39" i="9"/>
  <c r="O39" i="9"/>
  <c r="L39" i="9"/>
  <c r="I39" i="9"/>
  <c r="F39" i="9"/>
  <c r="Q38" i="9"/>
  <c r="P38" i="9"/>
  <c r="O38" i="9"/>
  <c r="R38" i="9" s="1"/>
  <c r="L38" i="9"/>
  <c r="I38" i="9"/>
  <c r="F38" i="9"/>
  <c r="R37" i="9"/>
  <c r="Q37" i="9"/>
  <c r="P37" i="9"/>
  <c r="O37" i="9"/>
  <c r="L37" i="9"/>
  <c r="I37" i="9"/>
  <c r="E37" i="9"/>
  <c r="D37" i="9"/>
  <c r="Q36" i="9"/>
  <c r="P36" i="9"/>
  <c r="O36" i="9"/>
  <c r="R36" i="9" s="1"/>
  <c r="L36" i="9"/>
  <c r="I36" i="9"/>
  <c r="F36" i="9"/>
  <c r="Q35" i="9"/>
  <c r="P35" i="9"/>
  <c r="O35" i="9"/>
  <c r="R35" i="9" s="1"/>
  <c r="L35" i="9"/>
  <c r="I35" i="9"/>
  <c r="F35" i="9"/>
  <c r="R34" i="9"/>
  <c r="Q34" i="9"/>
  <c r="P34" i="9"/>
  <c r="O34" i="9"/>
  <c r="L34" i="9"/>
  <c r="I34" i="9"/>
  <c r="F34" i="9"/>
  <c r="Q33" i="9"/>
  <c r="P33" i="9"/>
  <c r="O33" i="9"/>
  <c r="R33" i="9" s="1"/>
  <c r="L33" i="9"/>
  <c r="I33" i="9"/>
  <c r="F33" i="9"/>
  <c r="R32" i="9"/>
  <c r="Q32" i="9"/>
  <c r="P32" i="9"/>
  <c r="O32" i="9"/>
  <c r="L32" i="9"/>
  <c r="I32" i="9"/>
  <c r="E32" i="9"/>
  <c r="D32" i="9"/>
  <c r="Q31" i="9"/>
  <c r="P31" i="9"/>
  <c r="O31" i="9"/>
  <c r="R31" i="9" s="1"/>
  <c r="L31" i="9"/>
  <c r="I31" i="9"/>
  <c r="F31" i="9"/>
  <c r="Q30" i="9"/>
  <c r="P30" i="9"/>
  <c r="O30" i="9"/>
  <c r="U80" i="9" s="1"/>
  <c r="L30" i="9"/>
  <c r="I30" i="9"/>
  <c r="F30" i="9"/>
  <c r="Q29" i="9"/>
  <c r="P29" i="9"/>
  <c r="O29" i="9"/>
  <c r="R29" i="9" s="1"/>
  <c r="L29" i="9"/>
  <c r="I29" i="9"/>
  <c r="F29" i="9"/>
  <c r="Q28" i="9"/>
  <c r="P28" i="9"/>
  <c r="O28" i="9"/>
  <c r="U78" i="9" s="1"/>
  <c r="L28" i="9"/>
  <c r="I28" i="9"/>
  <c r="F28" i="9"/>
  <c r="Q27" i="9"/>
  <c r="P27" i="9"/>
  <c r="O27" i="9"/>
  <c r="L27" i="9"/>
  <c r="I27" i="9"/>
  <c r="E27" i="9"/>
  <c r="D27" i="9"/>
  <c r="R26" i="9" s="1"/>
  <c r="Q26" i="9"/>
  <c r="P26" i="9"/>
  <c r="O26" i="9"/>
  <c r="L26" i="9"/>
  <c r="I26" i="9"/>
  <c r="R25" i="9"/>
  <c r="Q25" i="9"/>
  <c r="P25" i="9"/>
  <c r="O25" i="9"/>
  <c r="L25" i="9"/>
  <c r="I25" i="9"/>
  <c r="R24" i="9"/>
  <c r="Q24" i="9"/>
  <c r="P24" i="9"/>
  <c r="O24" i="9"/>
  <c r="L24" i="9"/>
  <c r="I24" i="9"/>
  <c r="Q23" i="9"/>
  <c r="P23" i="9"/>
  <c r="O23" i="9"/>
  <c r="L23" i="9"/>
  <c r="I23" i="9"/>
  <c r="Q22" i="9"/>
  <c r="P22" i="9"/>
  <c r="O22" i="9"/>
  <c r="R22" i="9" s="1"/>
  <c r="L22" i="9"/>
  <c r="I22" i="9"/>
  <c r="Q21" i="9"/>
  <c r="P21" i="9"/>
  <c r="O21" i="9"/>
  <c r="L21" i="9"/>
  <c r="I21" i="9"/>
  <c r="F21" i="9"/>
  <c r="Q20" i="9"/>
  <c r="P20" i="9"/>
  <c r="O20" i="9"/>
  <c r="R20" i="9" s="1"/>
  <c r="L20" i="9"/>
  <c r="I20" i="9"/>
  <c r="F20" i="9"/>
  <c r="Q19" i="9"/>
  <c r="P19" i="9"/>
  <c r="O19" i="9"/>
  <c r="L19" i="9"/>
  <c r="I19" i="9"/>
  <c r="F19" i="9"/>
  <c r="R18" i="9"/>
  <c r="Q18" i="9"/>
  <c r="P18" i="9"/>
  <c r="O18" i="9"/>
  <c r="L18" i="9"/>
  <c r="I18" i="9"/>
  <c r="F18" i="9"/>
  <c r="Q17" i="9"/>
  <c r="P17" i="9"/>
  <c r="O17" i="9"/>
  <c r="L17" i="9"/>
  <c r="I17" i="9"/>
  <c r="E17" i="9"/>
  <c r="D17" i="9"/>
  <c r="F17" i="9" s="1"/>
  <c r="Q16" i="9"/>
  <c r="P16" i="9"/>
  <c r="O16" i="9"/>
  <c r="R16" i="9" s="1"/>
  <c r="L16" i="9"/>
  <c r="I16" i="9"/>
  <c r="F16" i="9"/>
  <c r="Q15" i="9"/>
  <c r="P15" i="9"/>
  <c r="O15" i="9"/>
  <c r="L15" i="9"/>
  <c r="I15" i="9"/>
  <c r="F15" i="9"/>
  <c r="R14" i="9"/>
  <c r="Q14" i="9"/>
  <c r="P14" i="9"/>
  <c r="O14" i="9"/>
  <c r="L14" i="9"/>
  <c r="I14" i="9"/>
  <c r="F14" i="9"/>
  <c r="R13" i="9" s="1"/>
  <c r="Q13" i="9"/>
  <c r="P13" i="9"/>
  <c r="O13" i="9"/>
  <c r="L13" i="9"/>
  <c r="I13" i="9"/>
  <c r="F13" i="9"/>
  <c r="Q12" i="9"/>
  <c r="P12" i="9"/>
  <c r="P54" i="9" s="1"/>
  <c r="O12" i="9"/>
  <c r="G104" i="9" s="1"/>
  <c r="U103" i="9" s="1"/>
  <c r="L12" i="9"/>
  <c r="I12" i="9"/>
  <c r="E12" i="9"/>
  <c r="D12" i="9"/>
  <c r="D23" i="9" s="1"/>
  <c r="P6" i="9"/>
  <c r="N6" i="9"/>
  <c r="M6" i="9"/>
  <c r="L6" i="9"/>
  <c r="K6" i="9"/>
  <c r="J6" i="9"/>
  <c r="H6" i="9"/>
  <c r="G6" i="9"/>
  <c r="P5" i="9"/>
  <c r="N5" i="9"/>
  <c r="M5" i="9"/>
  <c r="L5" i="9"/>
  <c r="L7" i="9" s="1"/>
  <c r="K5" i="9"/>
  <c r="J5" i="9"/>
  <c r="H5" i="9"/>
  <c r="G5" i="9"/>
  <c r="R4" i="9"/>
  <c r="Q4" i="9"/>
  <c r="P4" i="9"/>
  <c r="O4" i="9"/>
  <c r="N4" i="9"/>
  <c r="M4" i="9"/>
  <c r="L4" i="9"/>
  <c r="K4" i="9"/>
  <c r="J4" i="9"/>
  <c r="I4" i="9"/>
  <c r="H4" i="9"/>
  <c r="G4" i="9"/>
  <c r="H1" i="9"/>
  <c r="G1" i="9"/>
  <c r="I104" i="8"/>
  <c r="T103" i="8"/>
  <c r="S103" i="8"/>
  <c r="Q103" i="8"/>
  <c r="P103" i="8"/>
  <c r="T102" i="8"/>
  <c r="S102" i="8"/>
  <c r="Q102" i="8"/>
  <c r="P102" i="8"/>
  <c r="T101" i="8"/>
  <c r="S101" i="8"/>
  <c r="Q101" i="8"/>
  <c r="P101" i="8"/>
  <c r="T100" i="8"/>
  <c r="S100" i="8"/>
  <c r="Q100" i="8"/>
  <c r="P100" i="8"/>
  <c r="T99" i="8"/>
  <c r="S99" i="8"/>
  <c r="Q99" i="8"/>
  <c r="P99" i="8"/>
  <c r="T98" i="8"/>
  <c r="S98" i="8"/>
  <c r="Q98" i="8"/>
  <c r="P98" i="8"/>
  <c r="T97" i="8"/>
  <c r="S97" i="8"/>
  <c r="Q97" i="8"/>
  <c r="P97" i="8"/>
  <c r="T96" i="8"/>
  <c r="S96" i="8"/>
  <c r="Q96" i="8"/>
  <c r="P96" i="8"/>
  <c r="T95" i="8"/>
  <c r="S95" i="8"/>
  <c r="Q95" i="8"/>
  <c r="P95" i="8"/>
  <c r="T94" i="8"/>
  <c r="S94" i="8"/>
  <c r="Q94" i="8"/>
  <c r="P94" i="8"/>
  <c r="T93" i="8"/>
  <c r="S93" i="8"/>
  <c r="Q93" i="8"/>
  <c r="P93" i="8"/>
  <c r="T92" i="8"/>
  <c r="S92" i="8"/>
  <c r="Q92" i="8"/>
  <c r="P92" i="8"/>
  <c r="T91" i="8"/>
  <c r="S91" i="8"/>
  <c r="Q91" i="8"/>
  <c r="P91" i="8"/>
  <c r="T90" i="8"/>
  <c r="S90" i="8"/>
  <c r="Q90" i="8"/>
  <c r="P90" i="8"/>
  <c r="T89" i="8"/>
  <c r="S89" i="8"/>
  <c r="Q89" i="8"/>
  <c r="P89" i="8"/>
  <c r="T88" i="8"/>
  <c r="S88" i="8"/>
  <c r="Q88" i="8"/>
  <c r="P88" i="8"/>
  <c r="T87" i="8"/>
  <c r="S87" i="8"/>
  <c r="Q87" i="8"/>
  <c r="P87" i="8"/>
  <c r="T86" i="8"/>
  <c r="S86" i="8"/>
  <c r="Q86" i="8"/>
  <c r="P86" i="8"/>
  <c r="T85" i="8"/>
  <c r="S85" i="8"/>
  <c r="Q85" i="8"/>
  <c r="P85" i="8"/>
  <c r="T84" i="8"/>
  <c r="S84" i="8"/>
  <c r="Q84" i="8"/>
  <c r="P84" i="8"/>
  <c r="T83" i="8"/>
  <c r="S83" i="8"/>
  <c r="Q83" i="8"/>
  <c r="P83" i="8"/>
  <c r="T82" i="8"/>
  <c r="S82" i="8"/>
  <c r="Q82" i="8"/>
  <c r="P82" i="8"/>
  <c r="T81" i="8"/>
  <c r="S81" i="8"/>
  <c r="Q81" i="8"/>
  <c r="P81" i="8"/>
  <c r="T80" i="8"/>
  <c r="S80" i="8"/>
  <c r="Q80" i="8"/>
  <c r="P80" i="8"/>
  <c r="T79" i="8"/>
  <c r="S79" i="8"/>
  <c r="Q79" i="8"/>
  <c r="P79" i="8"/>
  <c r="T78" i="8"/>
  <c r="S78" i="8"/>
  <c r="Q78" i="8"/>
  <c r="P78" i="8"/>
  <c r="T77" i="8"/>
  <c r="S77" i="8"/>
  <c r="Q77" i="8"/>
  <c r="P77" i="8"/>
  <c r="T76" i="8"/>
  <c r="S76" i="8"/>
  <c r="Q76" i="8"/>
  <c r="P76" i="8"/>
  <c r="T75" i="8"/>
  <c r="S75" i="8"/>
  <c r="Q75" i="8"/>
  <c r="P75" i="8"/>
  <c r="T74" i="8"/>
  <c r="S74" i="8"/>
  <c r="Q74" i="8"/>
  <c r="P74" i="8"/>
  <c r="T73" i="8"/>
  <c r="S73" i="8"/>
  <c r="Q73" i="8"/>
  <c r="P73" i="8"/>
  <c r="T72" i="8"/>
  <c r="S72" i="8"/>
  <c r="Q72" i="8"/>
  <c r="P72" i="8"/>
  <c r="T71" i="8"/>
  <c r="S71" i="8"/>
  <c r="Q71" i="8"/>
  <c r="P71" i="8"/>
  <c r="T70" i="8"/>
  <c r="S70" i="8"/>
  <c r="Q70" i="8"/>
  <c r="P70" i="8"/>
  <c r="T69" i="8"/>
  <c r="S69" i="8"/>
  <c r="Q69" i="8"/>
  <c r="P69" i="8"/>
  <c r="T68" i="8"/>
  <c r="S68" i="8"/>
  <c r="Q68" i="8"/>
  <c r="P68" i="8"/>
  <c r="T67" i="8"/>
  <c r="S67" i="8"/>
  <c r="Q67" i="8"/>
  <c r="P67" i="8"/>
  <c r="T66" i="8"/>
  <c r="S66" i="8"/>
  <c r="Q66" i="8"/>
  <c r="P66" i="8"/>
  <c r="T65" i="8"/>
  <c r="S65" i="8"/>
  <c r="T64" i="8"/>
  <c r="S64" i="8"/>
  <c r="T63" i="8"/>
  <c r="S63" i="8"/>
  <c r="T62" i="8"/>
  <c r="S62" i="8"/>
  <c r="T54" i="8"/>
  <c r="B54" i="8"/>
  <c r="Q53" i="8"/>
  <c r="P53" i="8"/>
  <c r="O53" i="8"/>
  <c r="R53" i="8" s="1"/>
  <c r="L53" i="8"/>
  <c r="I53" i="8"/>
  <c r="Q52" i="8"/>
  <c r="P52" i="8"/>
  <c r="O52" i="8"/>
  <c r="R52" i="8" s="1"/>
  <c r="L52" i="8"/>
  <c r="I52" i="8"/>
  <c r="R51" i="8"/>
  <c r="Q51" i="8"/>
  <c r="P51" i="8"/>
  <c r="O51" i="8"/>
  <c r="L51" i="8"/>
  <c r="I51" i="8"/>
  <c r="F51" i="8"/>
  <c r="Q50" i="8"/>
  <c r="P50" i="8"/>
  <c r="O50" i="8"/>
  <c r="R50" i="8" s="1"/>
  <c r="L50" i="8"/>
  <c r="I50" i="8"/>
  <c r="F50" i="8"/>
  <c r="R49" i="8"/>
  <c r="Q49" i="8"/>
  <c r="P49" i="8"/>
  <c r="O49" i="8"/>
  <c r="L49" i="8"/>
  <c r="I49" i="8"/>
  <c r="F49" i="8"/>
  <c r="Q48" i="8"/>
  <c r="P48" i="8"/>
  <c r="O48" i="8"/>
  <c r="R48" i="8" s="1"/>
  <c r="L48" i="8"/>
  <c r="I48" i="8"/>
  <c r="F48" i="8"/>
  <c r="R47" i="8"/>
  <c r="Q47" i="8"/>
  <c r="P47" i="8"/>
  <c r="O47" i="8"/>
  <c r="L47" i="8"/>
  <c r="I47" i="8"/>
  <c r="E47" i="8"/>
  <c r="D47" i="8"/>
  <c r="R46" i="8"/>
  <c r="Q46" i="8"/>
  <c r="P46" i="8"/>
  <c r="O46" i="8"/>
  <c r="L46" i="8"/>
  <c r="I46" i="8"/>
  <c r="F46" i="8"/>
  <c r="Q45" i="8"/>
  <c r="P45" i="8"/>
  <c r="O45" i="8"/>
  <c r="R45" i="8" s="1"/>
  <c r="L45" i="8"/>
  <c r="I45" i="8"/>
  <c r="F45" i="8"/>
  <c r="R44" i="8"/>
  <c r="Q44" i="8"/>
  <c r="P44" i="8"/>
  <c r="O44" i="8"/>
  <c r="L44" i="8"/>
  <c r="I44" i="8"/>
  <c r="F44" i="8"/>
  <c r="Q43" i="8"/>
  <c r="P43" i="8"/>
  <c r="O43" i="8"/>
  <c r="R43" i="8" s="1"/>
  <c r="L43" i="8"/>
  <c r="I43" i="8"/>
  <c r="F43" i="8"/>
  <c r="R42" i="8"/>
  <c r="Q42" i="8"/>
  <c r="P42" i="8"/>
  <c r="O42" i="8"/>
  <c r="L42" i="8"/>
  <c r="I42" i="8"/>
  <c r="E42" i="8"/>
  <c r="D42" i="8"/>
  <c r="Q41" i="8"/>
  <c r="P41" i="8"/>
  <c r="O41" i="8"/>
  <c r="R41" i="8" s="1"/>
  <c r="L41" i="8"/>
  <c r="I41" i="8"/>
  <c r="F41" i="8"/>
  <c r="Q40" i="8"/>
  <c r="P40" i="8"/>
  <c r="O40" i="8"/>
  <c r="R40" i="8" s="1"/>
  <c r="L40" i="8"/>
  <c r="I40" i="8"/>
  <c r="F40" i="8"/>
  <c r="Q39" i="8"/>
  <c r="P39" i="8"/>
  <c r="O39" i="8"/>
  <c r="R39" i="8" s="1"/>
  <c r="L39" i="8"/>
  <c r="I39" i="8"/>
  <c r="F39" i="8"/>
  <c r="R38" i="8"/>
  <c r="Q38" i="8"/>
  <c r="P38" i="8"/>
  <c r="O38" i="8"/>
  <c r="L38" i="8"/>
  <c r="I38" i="8"/>
  <c r="F38" i="8"/>
  <c r="Q37" i="8"/>
  <c r="P37" i="8"/>
  <c r="O37" i="8"/>
  <c r="R37" i="8" s="1"/>
  <c r="L37" i="8"/>
  <c r="I37" i="8"/>
  <c r="E37" i="8"/>
  <c r="D37" i="8"/>
  <c r="Q36" i="8"/>
  <c r="P36" i="8"/>
  <c r="O36" i="8"/>
  <c r="R36" i="8" s="1"/>
  <c r="L36" i="8"/>
  <c r="I36" i="8"/>
  <c r="F36" i="8"/>
  <c r="R35" i="8"/>
  <c r="Q35" i="8"/>
  <c r="P35" i="8"/>
  <c r="O35" i="8"/>
  <c r="L35" i="8"/>
  <c r="I35" i="8"/>
  <c r="F35" i="8"/>
  <c r="Q34" i="8"/>
  <c r="P34" i="8"/>
  <c r="O34" i="8"/>
  <c r="R34" i="8" s="1"/>
  <c r="L34" i="8"/>
  <c r="I34" i="8"/>
  <c r="F34" i="8"/>
  <c r="R33" i="8"/>
  <c r="Q33" i="8"/>
  <c r="P33" i="8"/>
  <c r="O33" i="8"/>
  <c r="L33" i="8"/>
  <c r="I33" i="8"/>
  <c r="F33" i="8"/>
  <c r="Q32" i="8"/>
  <c r="P32" i="8"/>
  <c r="O32" i="8"/>
  <c r="R32" i="8" s="1"/>
  <c r="L32" i="8"/>
  <c r="I32" i="8"/>
  <c r="E32" i="8"/>
  <c r="D32" i="8"/>
  <c r="Q31" i="8"/>
  <c r="P31" i="8"/>
  <c r="O31" i="8"/>
  <c r="R31" i="8" s="1"/>
  <c r="L31" i="8"/>
  <c r="I31" i="8"/>
  <c r="F31" i="8"/>
  <c r="R30" i="8"/>
  <c r="Q30" i="8"/>
  <c r="P30" i="8"/>
  <c r="O30" i="8"/>
  <c r="L30" i="8"/>
  <c r="I30" i="8"/>
  <c r="F30" i="8"/>
  <c r="Q29" i="8"/>
  <c r="P29" i="8"/>
  <c r="O29" i="8"/>
  <c r="R29" i="8" s="1"/>
  <c r="L29" i="8"/>
  <c r="I29" i="8"/>
  <c r="F29" i="8"/>
  <c r="R28" i="8"/>
  <c r="Q28" i="8"/>
  <c r="P28" i="8"/>
  <c r="O28" i="8"/>
  <c r="L28" i="8"/>
  <c r="I28" i="8"/>
  <c r="F28" i="8"/>
  <c r="Q27" i="8"/>
  <c r="P27" i="8"/>
  <c r="O27" i="8"/>
  <c r="R27" i="8" s="1"/>
  <c r="L27" i="8"/>
  <c r="I27" i="8"/>
  <c r="E27" i="8"/>
  <c r="D27" i="8"/>
  <c r="Q26" i="8"/>
  <c r="P26" i="8"/>
  <c r="O26" i="8"/>
  <c r="R26" i="8" s="1"/>
  <c r="L26" i="8"/>
  <c r="I26" i="8"/>
  <c r="Q25" i="8"/>
  <c r="P25" i="8"/>
  <c r="O25" i="8"/>
  <c r="R25" i="8" s="1"/>
  <c r="L25" i="8"/>
  <c r="I25" i="8"/>
  <c r="Q24" i="8"/>
  <c r="P24" i="8"/>
  <c r="O24" i="8"/>
  <c r="R24" i="8" s="1"/>
  <c r="L24" i="8"/>
  <c r="I24" i="8"/>
  <c r="R23" i="8"/>
  <c r="Q23" i="8"/>
  <c r="P23" i="8"/>
  <c r="O23" i="8"/>
  <c r="L23" i="8"/>
  <c r="I23" i="8"/>
  <c r="R22" i="8"/>
  <c r="Q22" i="8"/>
  <c r="P22" i="8"/>
  <c r="O22" i="8"/>
  <c r="L22" i="8"/>
  <c r="I22" i="8"/>
  <c r="R21" i="8"/>
  <c r="Q21" i="8"/>
  <c r="P21" i="8"/>
  <c r="O21" i="8"/>
  <c r="L21" i="8"/>
  <c r="I21" i="8"/>
  <c r="F21" i="8"/>
  <c r="Q20" i="8"/>
  <c r="P20" i="8"/>
  <c r="O20" i="8"/>
  <c r="R20" i="8" s="1"/>
  <c r="L20" i="8"/>
  <c r="I20" i="8"/>
  <c r="F20" i="8"/>
  <c r="R19" i="8"/>
  <c r="Q19" i="8"/>
  <c r="P19" i="8"/>
  <c r="O19" i="8"/>
  <c r="L19" i="8"/>
  <c r="I19" i="8"/>
  <c r="F19" i="8"/>
  <c r="Q18" i="8"/>
  <c r="P18" i="8"/>
  <c r="O18" i="8"/>
  <c r="R18" i="8" s="1"/>
  <c r="L18" i="8"/>
  <c r="I18" i="8"/>
  <c r="F18" i="8"/>
  <c r="R17" i="8"/>
  <c r="Q17" i="8"/>
  <c r="P17" i="8"/>
  <c r="O17" i="8"/>
  <c r="L17" i="8"/>
  <c r="I17" i="8"/>
  <c r="E17" i="8"/>
  <c r="D17" i="8"/>
  <c r="D24" i="8" s="1"/>
  <c r="R16" i="8"/>
  <c r="Q16" i="8"/>
  <c r="P16" i="8"/>
  <c r="O16" i="8"/>
  <c r="L16" i="8"/>
  <c r="I16" i="8"/>
  <c r="F16" i="8"/>
  <c r="Q15" i="8"/>
  <c r="P15" i="8"/>
  <c r="O15" i="8"/>
  <c r="R15" i="8" s="1"/>
  <c r="L15" i="8"/>
  <c r="I15" i="8"/>
  <c r="F15" i="8"/>
  <c r="R14" i="8"/>
  <c r="P64" i="8" s="1"/>
  <c r="Q14" i="8"/>
  <c r="P14" i="8"/>
  <c r="O14" i="8"/>
  <c r="L14" i="8"/>
  <c r="I14" i="8"/>
  <c r="F14" i="8"/>
  <c r="Q13" i="8"/>
  <c r="P13" i="8"/>
  <c r="O13" i="8"/>
  <c r="R13" i="8" s="1"/>
  <c r="L13" i="8"/>
  <c r="I13" i="8"/>
  <c r="F13" i="8"/>
  <c r="R12" i="8"/>
  <c r="Q12" i="8"/>
  <c r="P12" i="8"/>
  <c r="O12" i="8"/>
  <c r="U62" i="8" s="1"/>
  <c r="L12" i="8"/>
  <c r="I12" i="8"/>
  <c r="E12" i="8"/>
  <c r="D12" i="8"/>
  <c r="P6" i="8"/>
  <c r="N6" i="8"/>
  <c r="M6" i="8"/>
  <c r="L6" i="8"/>
  <c r="K6" i="8"/>
  <c r="J6" i="8"/>
  <c r="H6" i="8"/>
  <c r="G6" i="8"/>
  <c r="P5" i="8"/>
  <c r="N5" i="8"/>
  <c r="M5" i="8"/>
  <c r="L5" i="8"/>
  <c r="K5" i="8"/>
  <c r="J5" i="8"/>
  <c r="H5" i="8"/>
  <c r="G5" i="8"/>
  <c r="R4" i="8"/>
  <c r="Q4" i="8"/>
  <c r="P4" i="8"/>
  <c r="O4" i="8"/>
  <c r="N4" i="8"/>
  <c r="M4" i="8"/>
  <c r="L4" i="8"/>
  <c r="K4" i="8"/>
  <c r="J4" i="8"/>
  <c r="I4" i="8"/>
  <c r="H4" i="8"/>
  <c r="G4" i="8"/>
  <c r="H1" i="8"/>
  <c r="G1" i="8"/>
  <c r="T103" i="7"/>
  <c r="S103" i="7"/>
  <c r="Q103" i="7"/>
  <c r="P103" i="7"/>
  <c r="T102" i="7"/>
  <c r="S102" i="7"/>
  <c r="Q102" i="7"/>
  <c r="P102" i="7"/>
  <c r="T101" i="7"/>
  <c r="S101" i="7"/>
  <c r="Q101" i="7"/>
  <c r="P101" i="7"/>
  <c r="T100" i="7"/>
  <c r="S100" i="7"/>
  <c r="Q100" i="7"/>
  <c r="P100" i="7"/>
  <c r="T99" i="7"/>
  <c r="S99" i="7"/>
  <c r="Q99" i="7"/>
  <c r="P99" i="7"/>
  <c r="T98" i="7"/>
  <c r="S98" i="7"/>
  <c r="Q98" i="7"/>
  <c r="P98" i="7"/>
  <c r="T97" i="7"/>
  <c r="S97" i="7"/>
  <c r="Q97" i="7"/>
  <c r="P97" i="7"/>
  <c r="T96" i="7"/>
  <c r="S96" i="7"/>
  <c r="Q96" i="7"/>
  <c r="P96" i="7"/>
  <c r="T95" i="7"/>
  <c r="S95" i="7"/>
  <c r="Q95" i="7"/>
  <c r="P95" i="7"/>
  <c r="T94" i="7"/>
  <c r="S94" i="7"/>
  <c r="Q94" i="7"/>
  <c r="P94" i="7"/>
  <c r="T93" i="7"/>
  <c r="S93" i="7"/>
  <c r="Q93" i="7"/>
  <c r="P93" i="7"/>
  <c r="T92" i="7"/>
  <c r="S92" i="7"/>
  <c r="Q92" i="7"/>
  <c r="P92" i="7"/>
  <c r="T91" i="7"/>
  <c r="S91" i="7"/>
  <c r="Q91" i="7"/>
  <c r="P91" i="7"/>
  <c r="T90" i="7"/>
  <c r="S90" i="7"/>
  <c r="Q90" i="7"/>
  <c r="P90" i="7"/>
  <c r="T89" i="7"/>
  <c r="S89" i="7"/>
  <c r="Q89" i="7"/>
  <c r="P89" i="7"/>
  <c r="T88" i="7"/>
  <c r="S88" i="7"/>
  <c r="Q88" i="7"/>
  <c r="P88" i="7"/>
  <c r="T87" i="7"/>
  <c r="S87" i="7"/>
  <c r="Q87" i="7"/>
  <c r="P87" i="7"/>
  <c r="T86" i="7"/>
  <c r="S86" i="7"/>
  <c r="Q86" i="7"/>
  <c r="P86" i="7"/>
  <c r="T85" i="7"/>
  <c r="S85" i="7"/>
  <c r="Q85" i="7"/>
  <c r="P85" i="7"/>
  <c r="T84" i="7"/>
  <c r="S84" i="7"/>
  <c r="Q84" i="7"/>
  <c r="P84" i="7"/>
  <c r="T83" i="7"/>
  <c r="S83" i="7"/>
  <c r="Q83" i="7"/>
  <c r="P83" i="7"/>
  <c r="T82" i="7"/>
  <c r="S82" i="7"/>
  <c r="Q82" i="7"/>
  <c r="P82" i="7"/>
  <c r="T81" i="7"/>
  <c r="S81" i="7"/>
  <c r="Q81" i="7"/>
  <c r="P81" i="7"/>
  <c r="T80" i="7"/>
  <c r="S80" i="7"/>
  <c r="Q80" i="7"/>
  <c r="P80" i="7"/>
  <c r="T79" i="7"/>
  <c r="S79" i="7"/>
  <c r="Q79" i="7"/>
  <c r="P79" i="7"/>
  <c r="T78" i="7"/>
  <c r="S78" i="7"/>
  <c r="Q78" i="7"/>
  <c r="P78" i="7"/>
  <c r="T77" i="7"/>
  <c r="S77" i="7"/>
  <c r="Q77" i="7"/>
  <c r="P77" i="7"/>
  <c r="T76" i="7"/>
  <c r="S76" i="7"/>
  <c r="Q76" i="7"/>
  <c r="P76" i="7"/>
  <c r="T75" i="7"/>
  <c r="S75" i="7"/>
  <c r="Q75" i="7"/>
  <c r="P75" i="7"/>
  <c r="T74" i="7"/>
  <c r="S74" i="7"/>
  <c r="Q74" i="7"/>
  <c r="P74" i="7"/>
  <c r="T73" i="7"/>
  <c r="S73" i="7"/>
  <c r="Q73" i="7"/>
  <c r="P73" i="7"/>
  <c r="T72" i="7"/>
  <c r="S72" i="7"/>
  <c r="Q72" i="7"/>
  <c r="P72" i="7"/>
  <c r="T71" i="7"/>
  <c r="S71" i="7"/>
  <c r="Q71" i="7"/>
  <c r="P71" i="7"/>
  <c r="T70" i="7"/>
  <c r="S70" i="7"/>
  <c r="Q70" i="7"/>
  <c r="P70" i="7"/>
  <c r="T69" i="7"/>
  <c r="S69" i="7"/>
  <c r="Q69" i="7"/>
  <c r="P69" i="7"/>
  <c r="T68" i="7"/>
  <c r="S68" i="7"/>
  <c r="Q68" i="7"/>
  <c r="P68" i="7"/>
  <c r="T67" i="7"/>
  <c r="S67" i="7"/>
  <c r="Q67" i="7"/>
  <c r="P67" i="7"/>
  <c r="T66" i="7"/>
  <c r="S66" i="7"/>
  <c r="Q66" i="7"/>
  <c r="P66" i="7"/>
  <c r="T65" i="7"/>
  <c r="S65" i="7"/>
  <c r="Q65" i="7"/>
  <c r="P65" i="7"/>
  <c r="T64" i="7"/>
  <c r="S64" i="7"/>
  <c r="T63" i="7"/>
  <c r="S63" i="7"/>
  <c r="Q63" i="7"/>
  <c r="P63" i="7"/>
  <c r="T54" i="7"/>
  <c r="B54" i="7"/>
  <c r="Q53" i="7"/>
  <c r="P53" i="7"/>
  <c r="O53" i="7"/>
  <c r="R53" i="7" s="1"/>
  <c r="L53" i="7"/>
  <c r="I53" i="7"/>
  <c r="R52" i="7" s="1"/>
  <c r="Q52" i="7"/>
  <c r="P52" i="7"/>
  <c r="O52" i="7"/>
  <c r="U102" i="7" s="1"/>
  <c r="L52" i="7"/>
  <c r="I52" i="7"/>
  <c r="Q51" i="7"/>
  <c r="P51" i="7"/>
  <c r="O51" i="7"/>
  <c r="R51" i="7" s="1"/>
  <c r="L51" i="7"/>
  <c r="I51" i="7"/>
  <c r="F51" i="7"/>
  <c r="Q50" i="7"/>
  <c r="P50" i="7"/>
  <c r="O50" i="7"/>
  <c r="U100" i="7" s="1"/>
  <c r="L50" i="7"/>
  <c r="I50" i="7"/>
  <c r="F50" i="7"/>
  <c r="R49" i="7"/>
  <c r="Q49" i="7"/>
  <c r="P49" i="7"/>
  <c r="O49" i="7"/>
  <c r="L49" i="7"/>
  <c r="I49" i="7"/>
  <c r="F49" i="7"/>
  <c r="Q48" i="7"/>
  <c r="P48" i="7"/>
  <c r="O48" i="7"/>
  <c r="R48" i="7" s="1"/>
  <c r="L48" i="7"/>
  <c r="I48" i="7"/>
  <c r="E48" i="7"/>
  <c r="D48" i="7"/>
  <c r="Q47" i="7"/>
  <c r="P47" i="7"/>
  <c r="O47" i="7"/>
  <c r="R47" i="7" s="1"/>
  <c r="L47" i="7"/>
  <c r="I47" i="7"/>
  <c r="E47" i="7"/>
  <c r="D47" i="7"/>
  <c r="R46" i="7" s="1"/>
  <c r="Q46" i="7"/>
  <c r="P46" i="7"/>
  <c r="O46" i="7"/>
  <c r="U96" i="7" s="1"/>
  <c r="L46" i="7"/>
  <c r="I46" i="7"/>
  <c r="F46" i="7"/>
  <c r="Q45" i="7"/>
  <c r="P45" i="7"/>
  <c r="O45" i="7"/>
  <c r="R45" i="7" s="1"/>
  <c r="L45" i="7"/>
  <c r="I45" i="7"/>
  <c r="F45" i="7"/>
  <c r="Q44" i="7"/>
  <c r="P44" i="7"/>
  <c r="O44" i="7"/>
  <c r="U94" i="7" s="1"/>
  <c r="L44" i="7"/>
  <c r="I44" i="7"/>
  <c r="F44" i="7"/>
  <c r="R43" i="7"/>
  <c r="Q43" i="7"/>
  <c r="P43" i="7"/>
  <c r="O43" i="7"/>
  <c r="L43" i="7"/>
  <c r="I43" i="7"/>
  <c r="F43" i="7"/>
  <c r="R42" i="7" s="1"/>
  <c r="Q42" i="7"/>
  <c r="P42" i="7"/>
  <c r="O42" i="7"/>
  <c r="U92" i="7" s="1"/>
  <c r="L42" i="7"/>
  <c r="I42" i="7"/>
  <c r="E42" i="7"/>
  <c r="D42" i="7"/>
  <c r="R41" i="7"/>
  <c r="Q41" i="7"/>
  <c r="P41" i="7"/>
  <c r="O41" i="7"/>
  <c r="L41" i="7"/>
  <c r="I41" i="7"/>
  <c r="F41" i="7"/>
  <c r="R40" i="7" s="1"/>
  <c r="Q40" i="7"/>
  <c r="P40" i="7"/>
  <c r="O40" i="7"/>
  <c r="U90" i="7" s="1"/>
  <c r="L40" i="7"/>
  <c r="I40" i="7"/>
  <c r="F40" i="7"/>
  <c r="Q39" i="7"/>
  <c r="P39" i="7"/>
  <c r="O39" i="7"/>
  <c r="R39" i="7" s="1"/>
  <c r="L39" i="7"/>
  <c r="I39" i="7"/>
  <c r="F39" i="7"/>
  <c r="Q38" i="7"/>
  <c r="P38" i="7"/>
  <c r="O38" i="7"/>
  <c r="U88" i="7" s="1"/>
  <c r="L38" i="7"/>
  <c r="I38" i="7"/>
  <c r="F38" i="7"/>
  <c r="R37" i="7"/>
  <c r="Q37" i="7"/>
  <c r="P37" i="7"/>
  <c r="O37" i="7"/>
  <c r="L37" i="7"/>
  <c r="I37" i="7"/>
  <c r="E37" i="7"/>
  <c r="D37" i="7"/>
  <c r="Q36" i="7"/>
  <c r="P36" i="7"/>
  <c r="O36" i="7"/>
  <c r="U86" i="7" s="1"/>
  <c r="L36" i="7"/>
  <c r="I36" i="7"/>
  <c r="F36" i="7"/>
  <c r="R35" i="7"/>
  <c r="Q35" i="7"/>
  <c r="P35" i="7"/>
  <c r="O35" i="7"/>
  <c r="L35" i="7"/>
  <c r="I35" i="7"/>
  <c r="F35" i="7"/>
  <c r="R34" i="7" s="1"/>
  <c r="Q34" i="7"/>
  <c r="P34" i="7"/>
  <c r="O34" i="7"/>
  <c r="U84" i="7" s="1"/>
  <c r="L34" i="7"/>
  <c r="I34" i="7"/>
  <c r="F34" i="7"/>
  <c r="Q33" i="7"/>
  <c r="P33" i="7"/>
  <c r="O33" i="7"/>
  <c r="R33" i="7" s="1"/>
  <c r="L33" i="7"/>
  <c r="I33" i="7"/>
  <c r="F33" i="7"/>
  <c r="Q32" i="7"/>
  <c r="P32" i="7"/>
  <c r="O32" i="7"/>
  <c r="U82" i="7" s="1"/>
  <c r="L32" i="7"/>
  <c r="I32" i="7"/>
  <c r="E32" i="7"/>
  <c r="D32" i="7"/>
  <c r="Q31" i="7"/>
  <c r="P31" i="7"/>
  <c r="O31" i="7"/>
  <c r="R31" i="7" s="1"/>
  <c r="L31" i="7"/>
  <c r="I31" i="7"/>
  <c r="F31" i="7"/>
  <c r="R30" i="7"/>
  <c r="Q30" i="7"/>
  <c r="P30" i="7"/>
  <c r="O30" i="7"/>
  <c r="L30" i="7"/>
  <c r="I30" i="7"/>
  <c r="F30" i="7"/>
  <c r="Q29" i="7"/>
  <c r="P29" i="7"/>
  <c r="O29" i="7"/>
  <c r="R29" i="7" s="1"/>
  <c r="L29" i="7"/>
  <c r="I29" i="7"/>
  <c r="F29" i="7"/>
  <c r="R28" i="7"/>
  <c r="Q28" i="7"/>
  <c r="P28" i="7"/>
  <c r="O28" i="7"/>
  <c r="L28" i="7"/>
  <c r="I28" i="7"/>
  <c r="F28" i="7"/>
  <c r="Q27" i="7"/>
  <c r="P27" i="7"/>
  <c r="O27" i="7"/>
  <c r="R27" i="7" s="1"/>
  <c r="L27" i="7"/>
  <c r="I27" i="7"/>
  <c r="E27" i="7"/>
  <c r="D27" i="7"/>
  <c r="Q26" i="7"/>
  <c r="P26" i="7"/>
  <c r="O26" i="7"/>
  <c r="R26" i="7" s="1"/>
  <c r="L26" i="7"/>
  <c r="I26" i="7"/>
  <c r="Q25" i="7"/>
  <c r="P25" i="7"/>
  <c r="O25" i="7"/>
  <c r="R25" i="7" s="1"/>
  <c r="L25" i="7"/>
  <c r="I25" i="7"/>
  <c r="Q24" i="7"/>
  <c r="P24" i="7"/>
  <c r="O24" i="7"/>
  <c r="R24" i="7" s="1"/>
  <c r="L24" i="7"/>
  <c r="I24" i="7"/>
  <c r="R23" i="7"/>
  <c r="Q23" i="7"/>
  <c r="P23" i="7"/>
  <c r="O23" i="7"/>
  <c r="L23" i="7"/>
  <c r="I23" i="7"/>
  <c r="R22" i="7"/>
  <c r="Q22" i="7"/>
  <c r="P22" i="7"/>
  <c r="O22" i="7"/>
  <c r="L22" i="7"/>
  <c r="I22" i="7"/>
  <c r="R21" i="7"/>
  <c r="Q21" i="7"/>
  <c r="P21" i="7"/>
  <c r="O21" i="7"/>
  <c r="L21" i="7"/>
  <c r="I21" i="7"/>
  <c r="F21" i="7"/>
  <c r="Q20" i="7"/>
  <c r="P20" i="7"/>
  <c r="O20" i="7"/>
  <c r="R20" i="7" s="1"/>
  <c r="L20" i="7"/>
  <c r="I20" i="7"/>
  <c r="F20" i="7"/>
  <c r="R19" i="7"/>
  <c r="Q19" i="7"/>
  <c r="P19" i="7"/>
  <c r="O19" i="7"/>
  <c r="L19" i="7"/>
  <c r="I19" i="7"/>
  <c r="F19" i="7"/>
  <c r="Q18" i="7"/>
  <c r="P18" i="7"/>
  <c r="O18" i="7"/>
  <c r="R18" i="7" s="1"/>
  <c r="L18" i="7"/>
  <c r="I18" i="7"/>
  <c r="F18" i="7"/>
  <c r="R17" i="7"/>
  <c r="Q17" i="7"/>
  <c r="P17" i="7"/>
  <c r="O17" i="7"/>
  <c r="L17" i="7"/>
  <c r="I17" i="7"/>
  <c r="E17" i="7"/>
  <c r="D17" i="7"/>
  <c r="F17" i="7" s="1"/>
  <c r="Q16" i="7"/>
  <c r="P16" i="7"/>
  <c r="O16" i="7"/>
  <c r="R16" i="7" s="1"/>
  <c r="L16" i="7"/>
  <c r="I16" i="7"/>
  <c r="F16" i="7"/>
  <c r="R15" i="7"/>
  <c r="Q15" i="7"/>
  <c r="P15" i="7"/>
  <c r="O15" i="7"/>
  <c r="L15" i="7"/>
  <c r="I15" i="7"/>
  <c r="F15" i="7"/>
  <c r="Q14" i="7"/>
  <c r="P14" i="7"/>
  <c r="O14" i="7"/>
  <c r="R14" i="7" s="1"/>
  <c r="L14" i="7"/>
  <c r="I14" i="7"/>
  <c r="F14" i="7"/>
  <c r="R13" i="7"/>
  <c r="Q13" i="7"/>
  <c r="P13" i="7"/>
  <c r="O13" i="7"/>
  <c r="L13" i="7"/>
  <c r="I13" i="7"/>
  <c r="F13" i="7"/>
  <c r="N12" i="7"/>
  <c r="Q12" i="7" s="1"/>
  <c r="P12" i="7" s="1"/>
  <c r="M12" i="7"/>
  <c r="S62" i="7" s="1"/>
  <c r="L12" i="7"/>
  <c r="I12" i="7"/>
  <c r="E12" i="7"/>
  <c r="D12" i="7"/>
  <c r="P6" i="7"/>
  <c r="N6" i="7"/>
  <c r="M6" i="7"/>
  <c r="L6" i="7"/>
  <c r="K6" i="7"/>
  <c r="J6" i="7"/>
  <c r="H6" i="7"/>
  <c r="G6" i="7"/>
  <c r="P5" i="7"/>
  <c r="N5" i="7"/>
  <c r="M5" i="7"/>
  <c r="L5" i="7"/>
  <c r="L7" i="7" s="1"/>
  <c r="K5" i="7"/>
  <c r="J5" i="7"/>
  <c r="H5" i="7"/>
  <c r="R4" i="7"/>
  <c r="Q4" i="7"/>
  <c r="P4" i="7"/>
  <c r="O4" i="7"/>
  <c r="N4" i="7"/>
  <c r="M4" i="7"/>
  <c r="L4" i="7"/>
  <c r="K4" i="7"/>
  <c r="J4" i="7"/>
  <c r="I4" i="7"/>
  <c r="H4" i="7"/>
  <c r="G4" i="7"/>
  <c r="H1" i="7"/>
  <c r="G1" i="7"/>
  <c r="T99" i="5"/>
  <c r="D93" i="5"/>
  <c r="D92" i="5"/>
  <c r="F82" i="5"/>
  <c r="E57" i="5"/>
  <c r="B54" i="5"/>
  <c r="F51" i="5"/>
  <c r="F50" i="5"/>
  <c r="F49" i="5"/>
  <c r="F48" i="5"/>
  <c r="E47" i="5"/>
  <c r="D47" i="5"/>
  <c r="F46" i="5"/>
  <c r="F45" i="5"/>
  <c r="F44" i="5"/>
  <c r="F43" i="5"/>
  <c r="E42" i="5"/>
  <c r="D42" i="5"/>
  <c r="F41" i="5"/>
  <c r="F40" i="5"/>
  <c r="F39" i="5"/>
  <c r="F38" i="5"/>
  <c r="E37" i="5"/>
  <c r="D37" i="5"/>
  <c r="F37" i="5" s="1"/>
  <c r="F36" i="5"/>
  <c r="F35" i="5"/>
  <c r="F34" i="5"/>
  <c r="F33" i="5"/>
  <c r="E32" i="5"/>
  <c r="D32" i="5"/>
  <c r="F32" i="5" s="1"/>
  <c r="F31" i="5"/>
  <c r="F30" i="5"/>
  <c r="F29" i="5"/>
  <c r="F28" i="5"/>
  <c r="E27" i="5"/>
  <c r="D27" i="5"/>
  <c r="J5" i="5" s="1"/>
  <c r="J7" i="5" s="1"/>
  <c r="F21" i="5"/>
  <c r="F20" i="5"/>
  <c r="F19" i="5"/>
  <c r="F18" i="5"/>
  <c r="E17" i="5"/>
  <c r="D17" i="5"/>
  <c r="F17" i="5" s="1"/>
  <c r="F16" i="5"/>
  <c r="F15" i="5"/>
  <c r="F14" i="5"/>
  <c r="F13" i="5"/>
  <c r="E12" i="5"/>
  <c r="D12" i="5"/>
  <c r="G5" i="5" s="1"/>
  <c r="P6" i="5"/>
  <c r="O6" i="5"/>
  <c r="N6" i="5"/>
  <c r="M6" i="5"/>
  <c r="L6" i="5" s="1"/>
  <c r="K6" i="5"/>
  <c r="J6" i="5" s="1"/>
  <c r="G6" i="5"/>
  <c r="P5" i="5"/>
  <c r="N5" i="5"/>
  <c r="M5" i="5"/>
  <c r="L5" i="5"/>
  <c r="K5" i="5"/>
  <c r="K7" i="5" s="1"/>
  <c r="H5" i="5"/>
  <c r="R4" i="5"/>
  <c r="Q4" i="5"/>
  <c r="P4" i="5"/>
  <c r="O4" i="5"/>
  <c r="N4" i="5"/>
  <c r="M4" i="5"/>
  <c r="L4" i="5"/>
  <c r="K4" i="5"/>
  <c r="J4" i="5"/>
  <c r="I4" i="5"/>
  <c r="H4" i="5"/>
  <c r="G4" i="5"/>
  <c r="H1" i="5"/>
  <c r="G1" i="5"/>
  <c r="O50" i="4"/>
  <c r="N49" i="4"/>
  <c r="N48" i="4"/>
  <c r="N47" i="4"/>
  <c r="N46" i="4"/>
  <c r="N42" i="4"/>
  <c r="N41" i="4"/>
  <c r="L41" i="4"/>
  <c r="K41" i="4"/>
  <c r="J41" i="4"/>
  <c r="I41" i="4"/>
  <c r="H41" i="4"/>
  <c r="G41" i="4"/>
  <c r="F41" i="4"/>
  <c r="N40" i="4"/>
  <c r="N39" i="4"/>
  <c r="I39" i="4"/>
  <c r="N38" i="4"/>
  <c r="O36" i="4"/>
  <c r="I36" i="4"/>
  <c r="O29" i="4"/>
  <c r="Q27" i="4"/>
  <c r="Q26" i="4"/>
  <c r="I24" i="2" s="1"/>
  <c r="N25" i="4"/>
  <c r="M25" i="4"/>
  <c r="L25" i="4"/>
  <c r="K25" i="4"/>
  <c r="J25" i="4"/>
  <c r="I25" i="4"/>
  <c r="H25" i="4"/>
  <c r="G25" i="4"/>
  <c r="F25" i="4"/>
  <c r="K15" i="4"/>
  <c r="K14" i="4"/>
  <c r="J14" i="4"/>
  <c r="I14" i="4"/>
  <c r="K9" i="4"/>
  <c r="K8" i="4"/>
  <c r="O68" i="3"/>
  <c r="F64" i="3"/>
  <c r="O61" i="3"/>
  <c r="N60" i="3"/>
  <c r="N59" i="3"/>
  <c r="N58" i="3"/>
  <c r="N57" i="3"/>
  <c r="N53" i="3"/>
  <c r="N52" i="3"/>
  <c r="L52" i="3"/>
  <c r="K52" i="3"/>
  <c r="J52" i="3"/>
  <c r="I52" i="3"/>
  <c r="H52" i="3"/>
  <c r="G52" i="3"/>
  <c r="F52" i="3"/>
  <c r="N51" i="3"/>
  <c r="N50" i="3"/>
  <c r="I50" i="3"/>
  <c r="N49" i="3"/>
  <c r="O47" i="3"/>
  <c r="N47" i="3"/>
  <c r="M47" i="3"/>
  <c r="I47" i="3"/>
  <c r="G47" i="3"/>
  <c r="O45" i="3"/>
  <c r="N45" i="3"/>
  <c r="O40" i="3"/>
  <c r="Q39" i="3"/>
  <c r="Q40" i="3" s="1"/>
  <c r="N39" i="3"/>
  <c r="M39" i="3"/>
  <c r="L39" i="3"/>
  <c r="K39" i="3"/>
  <c r="J39" i="3"/>
  <c r="I39" i="3"/>
  <c r="H39" i="3"/>
  <c r="G39" i="3"/>
  <c r="O35" i="3"/>
  <c r="M34" i="3"/>
  <c r="I34" i="3"/>
  <c r="Q33" i="3"/>
  <c r="Q31" i="3"/>
  <c r="P31" i="3"/>
  <c r="N31" i="3"/>
  <c r="M31" i="3"/>
  <c r="L31" i="3"/>
  <c r="K31" i="3"/>
  <c r="J31" i="3"/>
  <c r="I31" i="3"/>
  <c r="H31" i="3"/>
  <c r="G31" i="3"/>
  <c r="F31" i="3"/>
  <c r="K20" i="3"/>
  <c r="J19" i="3"/>
  <c r="I19" i="3"/>
  <c r="K18" i="3"/>
  <c r="I18" i="3"/>
  <c r="K8" i="3"/>
  <c r="K7" i="7" l="1"/>
  <c r="Q64" i="7"/>
  <c r="P64" i="7"/>
  <c r="P65" i="8"/>
  <c r="Q65" i="8"/>
  <c r="F23" i="12"/>
  <c r="D22" i="12"/>
  <c r="I5" i="13"/>
  <c r="Q63" i="8"/>
  <c r="P63" i="8"/>
  <c r="F23" i="14"/>
  <c r="D22" i="14"/>
  <c r="F12" i="7"/>
  <c r="F27" i="7"/>
  <c r="F32" i="7"/>
  <c r="F47" i="7"/>
  <c r="F48" i="7"/>
  <c r="V4" i="8"/>
  <c r="U4" i="8" s="1"/>
  <c r="T4" i="8" s="1"/>
  <c r="S4" i="8" s="1"/>
  <c r="F12" i="8"/>
  <c r="F27" i="8"/>
  <c r="F32" i="8"/>
  <c r="F37" i="8"/>
  <c r="F42" i="8"/>
  <c r="F47" i="8"/>
  <c r="R54" i="8"/>
  <c r="Q54" i="8" s="1"/>
  <c r="P54" i="8" s="1"/>
  <c r="Q62" i="8"/>
  <c r="F12" i="9"/>
  <c r="R12" i="9"/>
  <c r="R15" i="9"/>
  <c r="R19" i="9"/>
  <c r="F27" i="9"/>
  <c r="R30" i="9"/>
  <c r="V4" i="10"/>
  <c r="U4" i="10" s="1"/>
  <c r="T4" i="10" s="1"/>
  <c r="S4" i="10" s="1"/>
  <c r="F12" i="10"/>
  <c r="F27" i="10"/>
  <c r="F32" i="10"/>
  <c r="F47" i="10"/>
  <c r="V4" i="11"/>
  <c r="U4" i="11" s="1"/>
  <c r="T4" i="11" s="1"/>
  <c r="S4" i="11" s="1"/>
  <c r="F12" i="11"/>
  <c r="F27" i="11"/>
  <c r="F32" i="11"/>
  <c r="F37" i="11"/>
  <c r="F42" i="11"/>
  <c r="F47" i="11"/>
  <c r="F17" i="12"/>
  <c r="F32" i="12"/>
  <c r="F47" i="12"/>
  <c r="V4" i="13"/>
  <c r="U4" i="13" s="1"/>
  <c r="T4" i="13" s="1"/>
  <c r="S4" i="13" s="1"/>
  <c r="G6" i="13"/>
  <c r="F12" i="13"/>
  <c r="R21" i="13"/>
  <c r="E23" i="13"/>
  <c r="F23" i="13" s="1"/>
  <c r="F32" i="13"/>
  <c r="R38" i="13"/>
  <c r="F42" i="13"/>
  <c r="R44" i="13"/>
  <c r="R50" i="13"/>
  <c r="Q104" i="13"/>
  <c r="V4" i="14"/>
  <c r="U4" i="14" s="1"/>
  <c r="T4" i="14" s="1"/>
  <c r="S4" i="14" s="1"/>
  <c r="P54" i="14"/>
  <c r="R13" i="14"/>
  <c r="R14" i="14"/>
  <c r="R15" i="14"/>
  <c r="R16" i="14"/>
  <c r="F17" i="14"/>
  <c r="R22" i="14"/>
  <c r="F32" i="14"/>
  <c r="F42" i="14"/>
  <c r="F47" i="14"/>
  <c r="P68" i="20"/>
  <c r="Q68" i="20"/>
  <c r="Q104" i="21"/>
  <c r="G5" i="7"/>
  <c r="O12" i="7"/>
  <c r="D23" i="7"/>
  <c r="R32" i="7"/>
  <c r="R36" i="7"/>
  <c r="F37" i="7"/>
  <c r="R38" i="7"/>
  <c r="F42" i="7"/>
  <c r="R44" i="7"/>
  <c r="R50" i="7"/>
  <c r="F17" i="8"/>
  <c r="E23" i="8"/>
  <c r="D23" i="8" s="1"/>
  <c r="P62" i="8"/>
  <c r="Q64" i="8"/>
  <c r="V4" i="9"/>
  <c r="U4" i="9" s="1"/>
  <c r="T4" i="9" s="1"/>
  <c r="S4" i="9" s="1"/>
  <c r="R17" i="9"/>
  <c r="R27" i="9"/>
  <c r="R28" i="9"/>
  <c r="F32" i="9"/>
  <c r="F42" i="9"/>
  <c r="F47" i="9"/>
  <c r="R48" i="9"/>
  <c r="R52" i="9"/>
  <c r="R13" i="10"/>
  <c r="R54" i="10" s="1"/>
  <c r="R17" i="10"/>
  <c r="D23" i="10"/>
  <c r="R32" i="10"/>
  <c r="R36" i="10"/>
  <c r="F37" i="10"/>
  <c r="R38" i="10"/>
  <c r="F42" i="10"/>
  <c r="R44" i="10"/>
  <c r="R50" i="10"/>
  <c r="F17" i="11"/>
  <c r="E23" i="11"/>
  <c r="D23" i="11" s="1"/>
  <c r="R27" i="11"/>
  <c r="R54" i="11" s="1"/>
  <c r="V4" i="12"/>
  <c r="U4" i="12" s="1"/>
  <c r="T4" i="12" s="1"/>
  <c r="S4" i="12" s="1"/>
  <c r="G7" i="12"/>
  <c r="F42" i="12"/>
  <c r="F17" i="13"/>
  <c r="F47" i="13"/>
  <c r="O54" i="14"/>
  <c r="N7" i="15"/>
  <c r="M7" i="15" s="1"/>
  <c r="P104" i="16"/>
  <c r="H104" i="18"/>
  <c r="F52" i="18"/>
  <c r="E52" i="18" s="1"/>
  <c r="K7" i="19"/>
  <c r="K7" i="21"/>
  <c r="H7" i="15"/>
  <c r="G7" i="15" s="1"/>
  <c r="L7" i="15"/>
  <c r="F32" i="15"/>
  <c r="F42" i="15"/>
  <c r="R43" i="15"/>
  <c r="F47" i="15"/>
  <c r="R49" i="15"/>
  <c r="D57" i="15"/>
  <c r="F57" i="15"/>
  <c r="V4" i="16"/>
  <c r="U4" i="16" s="1"/>
  <c r="T4" i="16" s="1"/>
  <c r="S4" i="16" s="1"/>
  <c r="F12" i="16"/>
  <c r="F27" i="16"/>
  <c r="F32" i="16"/>
  <c r="F37" i="16"/>
  <c r="F42" i="16"/>
  <c r="F47" i="16"/>
  <c r="Q62" i="16"/>
  <c r="Q63" i="16"/>
  <c r="Q64" i="16"/>
  <c r="K7" i="17"/>
  <c r="J18" i="3" s="1"/>
  <c r="F37" i="17"/>
  <c r="F42" i="17"/>
  <c r="G104" i="17"/>
  <c r="R15" i="18"/>
  <c r="R16" i="18"/>
  <c r="R17" i="18"/>
  <c r="R18" i="18"/>
  <c r="R19" i="18"/>
  <c r="R20" i="18"/>
  <c r="R21" i="18"/>
  <c r="R23" i="18"/>
  <c r="R25" i="18"/>
  <c r="R27" i="18"/>
  <c r="R28" i="18"/>
  <c r="R29" i="18"/>
  <c r="R30" i="18"/>
  <c r="R31" i="18"/>
  <c r="F32" i="18"/>
  <c r="R37" i="18"/>
  <c r="R39" i="18"/>
  <c r="R42" i="18"/>
  <c r="R43" i="18"/>
  <c r="R44" i="18"/>
  <c r="R45" i="18"/>
  <c r="R46" i="18"/>
  <c r="F47" i="18"/>
  <c r="R47" i="18"/>
  <c r="R48" i="18"/>
  <c r="R49" i="18"/>
  <c r="R50" i="18"/>
  <c r="R51" i="18"/>
  <c r="R52" i="18"/>
  <c r="F27" i="19"/>
  <c r="F32" i="19"/>
  <c r="F47" i="19"/>
  <c r="D23" i="20"/>
  <c r="F27" i="20"/>
  <c r="F32" i="20"/>
  <c r="F37" i="20"/>
  <c r="F47" i="20"/>
  <c r="Q66" i="20"/>
  <c r="Q70" i="20"/>
  <c r="G5" i="21"/>
  <c r="R32" i="21"/>
  <c r="R36" i="21"/>
  <c r="R54" i="21" s="1"/>
  <c r="F37" i="21"/>
  <c r="R38" i="21"/>
  <c r="F42" i="21"/>
  <c r="R44" i="21"/>
  <c r="R50" i="21"/>
  <c r="P62" i="21"/>
  <c r="K7" i="25"/>
  <c r="F23" i="26"/>
  <c r="D22" i="26"/>
  <c r="V4" i="15"/>
  <c r="U4" i="15" s="1"/>
  <c r="F12" i="15"/>
  <c r="D23" i="15"/>
  <c r="R35" i="15"/>
  <c r="R53" i="15" s="1"/>
  <c r="R39" i="15"/>
  <c r="R45" i="15"/>
  <c r="E57" i="15"/>
  <c r="F17" i="16"/>
  <c r="E23" i="16"/>
  <c r="D23" i="16" s="1"/>
  <c r="R54" i="16"/>
  <c r="Q54" i="16" s="1"/>
  <c r="P54" i="16" s="1"/>
  <c r="F12" i="17"/>
  <c r="R12" i="17"/>
  <c r="R16" i="17"/>
  <c r="F17" i="17"/>
  <c r="R20" i="17"/>
  <c r="D23" i="17"/>
  <c r="R26" i="17"/>
  <c r="F27" i="17"/>
  <c r="R28" i="17"/>
  <c r="F32" i="17"/>
  <c r="R34" i="17"/>
  <c r="R40" i="17"/>
  <c r="R42" i="17"/>
  <c r="R46" i="17"/>
  <c r="F47" i="17"/>
  <c r="R48" i="17"/>
  <c r="R52" i="17"/>
  <c r="V4" i="18"/>
  <c r="U4" i="18" s="1"/>
  <c r="T4" i="18" s="1"/>
  <c r="S4" i="18" s="1"/>
  <c r="F27" i="18"/>
  <c r="F37" i="18"/>
  <c r="F42" i="18"/>
  <c r="V4" i="19"/>
  <c r="U4" i="19" s="1"/>
  <c r="T4" i="19" s="1"/>
  <c r="S4" i="19" s="1"/>
  <c r="F12" i="19"/>
  <c r="R12" i="19"/>
  <c r="R16" i="19"/>
  <c r="F17" i="19"/>
  <c r="R20" i="19"/>
  <c r="D23" i="19"/>
  <c r="R24" i="19"/>
  <c r="R32" i="19"/>
  <c r="R36" i="19"/>
  <c r="F37" i="19"/>
  <c r="R38" i="19"/>
  <c r="F42" i="19"/>
  <c r="R44" i="19"/>
  <c r="R50" i="19"/>
  <c r="U62" i="19"/>
  <c r="V4" i="20"/>
  <c r="U4" i="20" s="1"/>
  <c r="T4" i="20" s="1"/>
  <c r="S4" i="20" s="1"/>
  <c r="F12" i="20"/>
  <c r="R12" i="20"/>
  <c r="F17" i="20"/>
  <c r="R17" i="20"/>
  <c r="P67" i="20" s="1"/>
  <c r="F42" i="20"/>
  <c r="R44" i="20"/>
  <c r="R50" i="20"/>
  <c r="Q65" i="20"/>
  <c r="Q67" i="20"/>
  <c r="Q69" i="20"/>
  <c r="F12" i="21"/>
  <c r="F27" i="21"/>
  <c r="F32" i="21"/>
  <c r="F47" i="21"/>
  <c r="V4" i="22"/>
  <c r="U4" i="22" s="1"/>
  <c r="T4" i="22" s="1"/>
  <c r="S4" i="22" s="1"/>
  <c r="F27" i="22"/>
  <c r="K7" i="24"/>
  <c r="Q63" i="25"/>
  <c r="P63" i="25"/>
  <c r="P104" i="25" s="1"/>
  <c r="F42" i="22"/>
  <c r="F47" i="22"/>
  <c r="E64" i="22"/>
  <c r="F12" i="24"/>
  <c r="F27" i="24"/>
  <c r="F32" i="24"/>
  <c r="F47" i="24"/>
  <c r="V4" i="25"/>
  <c r="U4" i="25" s="1"/>
  <c r="T4" i="25" s="1"/>
  <c r="S4" i="25" s="1"/>
  <c r="Q62" i="25"/>
  <c r="Q64" i="25"/>
  <c r="V4" i="26"/>
  <c r="U4" i="26" s="1"/>
  <c r="T4" i="26" s="1"/>
  <c r="S4" i="26" s="1"/>
  <c r="V4" i="27"/>
  <c r="U4" i="27" s="1"/>
  <c r="T4" i="27" s="1"/>
  <c r="S4" i="27" s="1"/>
  <c r="L7" i="27"/>
  <c r="F12" i="27"/>
  <c r="R12" i="27"/>
  <c r="D23" i="27"/>
  <c r="R32" i="27"/>
  <c r="R36" i="27"/>
  <c r="F37" i="27"/>
  <c r="R38" i="27"/>
  <c r="F42" i="27"/>
  <c r="R44" i="27"/>
  <c r="R50" i="27"/>
  <c r="P104" i="27"/>
  <c r="S104" i="27"/>
  <c r="U137" i="22"/>
  <c r="U138" i="22"/>
  <c r="U139" i="22"/>
  <c r="U140" i="22"/>
  <c r="U141" i="22"/>
  <c r="U142" i="22"/>
  <c r="U143" i="22"/>
  <c r="G5" i="24"/>
  <c r="D23" i="24"/>
  <c r="R32" i="24"/>
  <c r="R54" i="24" s="1"/>
  <c r="R36" i="24"/>
  <c r="F37" i="24"/>
  <c r="R38" i="24"/>
  <c r="F42" i="24"/>
  <c r="R44" i="24"/>
  <c r="R50" i="24"/>
  <c r="F12" i="25"/>
  <c r="D23" i="25"/>
  <c r="F27" i="25"/>
  <c r="F32" i="25"/>
  <c r="F37" i="25"/>
  <c r="F42" i="25"/>
  <c r="F47" i="25"/>
  <c r="R54" i="25"/>
  <c r="Q54" i="25" s="1"/>
  <c r="P54" i="25" s="1"/>
  <c r="R13" i="26"/>
  <c r="R54" i="26" s="1"/>
  <c r="F17" i="26"/>
  <c r="F27" i="26"/>
  <c r="F32" i="26"/>
  <c r="F42" i="26"/>
  <c r="F47" i="26"/>
  <c r="P104" i="26"/>
  <c r="U72" i="26"/>
  <c r="U73" i="26"/>
  <c r="S104" i="26"/>
  <c r="U104" i="26" s="1"/>
  <c r="F27" i="27"/>
  <c r="F32" i="27"/>
  <c r="F47" i="27"/>
  <c r="D22" i="28"/>
  <c r="V4" i="28"/>
  <c r="U4" i="28" s="1"/>
  <c r="T4" i="28" s="1"/>
  <c r="S4" i="28" s="1"/>
  <c r="F12" i="28"/>
  <c r="R12" i="28"/>
  <c r="R14" i="28"/>
  <c r="P64" i="28" s="1"/>
  <c r="R16" i="28"/>
  <c r="P66" i="28" s="1"/>
  <c r="R17" i="28"/>
  <c r="E23" i="28"/>
  <c r="F23" i="28" s="1"/>
  <c r="F32" i="28"/>
  <c r="R38" i="28"/>
  <c r="F42" i="28"/>
  <c r="R44" i="28"/>
  <c r="R50" i="28"/>
  <c r="P63" i="28"/>
  <c r="Q64" i="28"/>
  <c r="Q65" i="28"/>
  <c r="V4" i="29"/>
  <c r="U4" i="29" s="1"/>
  <c r="T4" i="29" s="1"/>
  <c r="S4" i="29" s="1"/>
  <c r="D23" i="29"/>
  <c r="F37" i="29"/>
  <c r="R38" i="29"/>
  <c r="F42" i="29"/>
  <c r="R44" i="29"/>
  <c r="R50" i="29"/>
  <c r="V4" i="30"/>
  <c r="U4" i="30" s="1"/>
  <c r="T4" i="30" s="1"/>
  <c r="S4" i="30" s="1"/>
  <c r="K7" i="30"/>
  <c r="F12" i="30"/>
  <c r="D23" i="30"/>
  <c r="F27" i="30"/>
  <c r="F32" i="30"/>
  <c r="F47" i="30"/>
  <c r="P62" i="30"/>
  <c r="R16" i="31"/>
  <c r="D24" i="31"/>
  <c r="R23" i="31" s="1"/>
  <c r="F17" i="31"/>
  <c r="F12" i="32"/>
  <c r="G5" i="32"/>
  <c r="R26" i="32"/>
  <c r="J5" i="32"/>
  <c r="J7" i="32" s="1"/>
  <c r="F27" i="32"/>
  <c r="F32" i="32"/>
  <c r="F47" i="32"/>
  <c r="G104" i="33"/>
  <c r="U103" i="33" s="1"/>
  <c r="R12" i="33"/>
  <c r="R36" i="33"/>
  <c r="L5" i="33"/>
  <c r="F37" i="33"/>
  <c r="F42" i="33"/>
  <c r="F17" i="28"/>
  <c r="F47" i="28"/>
  <c r="R54" i="28"/>
  <c r="Q54" i="28" s="1"/>
  <c r="P54" i="28" s="1"/>
  <c r="U62" i="28"/>
  <c r="Q66" i="28"/>
  <c r="F27" i="29"/>
  <c r="F32" i="29"/>
  <c r="R34" i="29"/>
  <c r="R54" i="29" s="1"/>
  <c r="R40" i="29"/>
  <c r="F47" i="29"/>
  <c r="G104" i="30"/>
  <c r="U103" i="30" s="1"/>
  <c r="R32" i="30"/>
  <c r="R36" i="30"/>
  <c r="F37" i="30"/>
  <c r="R38" i="30"/>
  <c r="F42" i="30"/>
  <c r="R44" i="30"/>
  <c r="R50" i="30"/>
  <c r="R54" i="30"/>
  <c r="Q54" i="30" s="1"/>
  <c r="P54" i="30" s="1"/>
  <c r="Q62" i="30"/>
  <c r="H5" i="31"/>
  <c r="G6" i="31"/>
  <c r="T4" i="32"/>
  <c r="S4" i="32" s="1"/>
  <c r="R4" i="32" s="1"/>
  <c r="N7" i="32"/>
  <c r="M7" i="32" s="1"/>
  <c r="L7" i="32" s="1"/>
  <c r="F37" i="32"/>
  <c r="V4" i="33"/>
  <c r="U4" i="33" s="1"/>
  <c r="T4" i="33" s="1"/>
  <c r="S4" i="33" s="1"/>
  <c r="G6" i="33"/>
  <c r="F17" i="33"/>
  <c r="H60" i="92"/>
  <c r="N11" i="59"/>
  <c r="P52" i="3" s="1"/>
  <c r="H53" i="2" s="1"/>
  <c r="H67" i="92"/>
  <c r="O9" i="74"/>
  <c r="V4" i="31"/>
  <c r="U4" i="31" s="1"/>
  <c r="T4" i="31" s="1"/>
  <c r="S4" i="31" s="1"/>
  <c r="Q54" i="31"/>
  <c r="P54" i="31" s="1"/>
  <c r="R17" i="31"/>
  <c r="R18" i="31"/>
  <c r="R19" i="31"/>
  <c r="R20" i="31"/>
  <c r="R24" i="31"/>
  <c r="R26" i="31"/>
  <c r="F27" i="31"/>
  <c r="R29" i="31"/>
  <c r="R30" i="31"/>
  <c r="R31" i="31"/>
  <c r="F32" i="31"/>
  <c r="R33" i="31"/>
  <c r="F37" i="31"/>
  <c r="F42" i="31"/>
  <c r="F47" i="31"/>
  <c r="E52" i="31"/>
  <c r="R25" i="32"/>
  <c r="R28" i="32"/>
  <c r="F42" i="32"/>
  <c r="F12" i="33"/>
  <c r="F27" i="33"/>
  <c r="F32" i="33"/>
  <c r="R34" i="33"/>
  <c r="R40" i="33"/>
  <c r="R42" i="33"/>
  <c r="R46" i="33"/>
  <c r="F47" i="33"/>
  <c r="R48" i="33"/>
  <c r="R52" i="33"/>
  <c r="J60" i="92"/>
  <c r="N11" i="70"/>
  <c r="P41" i="4" s="1"/>
  <c r="J53" i="2" s="1"/>
  <c r="J67" i="92"/>
  <c r="O9" i="78"/>
  <c r="N10" i="81"/>
  <c r="R32" i="34"/>
  <c r="R36" i="34"/>
  <c r="R38" i="34"/>
  <c r="F42" i="34"/>
  <c r="R44" i="34"/>
  <c r="R50" i="34"/>
  <c r="R52" i="34"/>
  <c r="M8" i="36"/>
  <c r="Q28" i="3" s="1"/>
  <c r="G24" i="2" s="1"/>
  <c r="G26" i="92"/>
  <c r="E31" i="37"/>
  <c r="C45" i="37"/>
  <c r="M8" i="38"/>
  <c r="Q30" i="3" s="1"/>
  <c r="G26" i="2" s="1"/>
  <c r="G28" i="92"/>
  <c r="M8" i="42"/>
  <c r="Q34" i="3" s="1"/>
  <c r="G29" i="2" s="1"/>
  <c r="G32" i="92"/>
  <c r="F8" i="43"/>
  <c r="H8" i="43"/>
  <c r="M8" i="44"/>
  <c r="L11" i="58"/>
  <c r="L11" i="59"/>
  <c r="M52" i="3" s="1"/>
  <c r="L11" i="60"/>
  <c r="M53" i="3" s="1"/>
  <c r="L11" i="67"/>
  <c r="K11" i="67" s="1"/>
  <c r="L38" i="4" s="1"/>
  <c r="L12" i="69"/>
  <c r="L11" i="70"/>
  <c r="M41" i="4" s="1"/>
  <c r="L12" i="71"/>
  <c r="M42" i="4" s="1"/>
  <c r="L11" i="73"/>
  <c r="M58" i="3" s="1"/>
  <c r="L11" i="74"/>
  <c r="L12" i="77"/>
  <c r="M47" i="4" s="1"/>
  <c r="L11" i="78"/>
  <c r="E33" i="78"/>
  <c r="L11" i="79"/>
  <c r="G10" i="80"/>
  <c r="G11" i="80"/>
  <c r="N11" i="80" s="1"/>
  <c r="E36" i="80"/>
  <c r="E34" i="81"/>
  <c r="N10" i="82"/>
  <c r="N10" i="83"/>
  <c r="G11" i="83"/>
  <c r="E34" i="83"/>
  <c r="E23" i="38"/>
  <c r="D43" i="38"/>
  <c r="E27" i="42"/>
  <c r="D47" i="45"/>
  <c r="E23" i="46"/>
  <c r="E42" i="46" s="1"/>
  <c r="E48" i="47"/>
  <c r="K10" i="64"/>
  <c r="J35" i="4" s="1"/>
  <c r="C51" i="49"/>
  <c r="D51" i="49"/>
  <c r="U62" i="12"/>
  <c r="U62" i="14"/>
  <c r="S104" i="14"/>
  <c r="R18" i="95"/>
  <c r="R30" i="95"/>
  <c r="R32" i="95"/>
  <c r="R36" i="95"/>
  <c r="R39" i="95"/>
  <c r="R45" i="95"/>
  <c r="R47" i="95"/>
  <c r="R51" i="95"/>
  <c r="E62" i="47"/>
  <c r="V4" i="34"/>
  <c r="U4" i="34" s="1"/>
  <c r="T4" i="34" s="1"/>
  <c r="S4" i="34" s="1"/>
  <c r="F12" i="34"/>
  <c r="R54" i="34"/>
  <c r="F27" i="34"/>
  <c r="F32" i="34"/>
  <c r="F47" i="34"/>
  <c r="L6" i="36"/>
  <c r="H26" i="92" s="1"/>
  <c r="E31" i="36"/>
  <c r="M8" i="37"/>
  <c r="Q29" i="3" s="1"/>
  <c r="G25" i="2" s="1"/>
  <c r="M8" i="40"/>
  <c r="Q32" i="3" s="1"/>
  <c r="G27" i="2" s="1"/>
  <c r="G30" i="92"/>
  <c r="E26" i="43"/>
  <c r="L6" i="45"/>
  <c r="J26" i="92" s="1"/>
  <c r="N10" i="56"/>
  <c r="E33" i="56"/>
  <c r="L11" i="57"/>
  <c r="O7" i="65"/>
  <c r="N36" i="4" s="1"/>
  <c r="M36" i="4" s="1"/>
  <c r="N10" i="67"/>
  <c r="E33" i="67"/>
  <c r="L11" i="68"/>
  <c r="L11" i="72"/>
  <c r="L11" i="75"/>
  <c r="L11" i="76"/>
  <c r="G11" i="81"/>
  <c r="N11" i="81" s="1"/>
  <c r="O11" i="81" s="1"/>
  <c r="N11" i="82"/>
  <c r="O11" i="82" s="1"/>
  <c r="E34" i="82"/>
  <c r="D48" i="36"/>
  <c r="E23" i="45"/>
  <c r="E45" i="45"/>
  <c r="D50" i="47"/>
  <c r="P10" i="64"/>
  <c r="O35" i="4" s="1"/>
  <c r="U104" i="32"/>
  <c r="S198" i="5"/>
  <c r="H48" i="92"/>
  <c r="H47" i="92" s="1"/>
  <c r="G34" i="2"/>
  <c r="H45" i="2"/>
  <c r="J48" i="92"/>
  <c r="J47" i="92" s="1"/>
  <c r="J45" i="2"/>
  <c r="E75" i="35"/>
  <c r="R14" i="32"/>
  <c r="R15" i="32"/>
  <c r="R16" i="32"/>
  <c r="R17" i="32"/>
  <c r="R18" i="32"/>
  <c r="F52" i="32"/>
  <c r="E52" i="32" s="1"/>
  <c r="H104" i="32"/>
  <c r="F12" i="31"/>
  <c r="D23" i="31"/>
  <c r="E57" i="31"/>
  <c r="R5" i="31"/>
  <c r="I18" i="92" s="1"/>
  <c r="R6" i="31"/>
  <c r="G104" i="29"/>
  <c r="U103" i="29" s="1"/>
  <c r="Q104" i="29"/>
  <c r="Q54" i="29"/>
  <c r="P54" i="29" s="1"/>
  <c r="R6" i="29"/>
  <c r="P104" i="29"/>
  <c r="F37" i="22"/>
  <c r="E23" i="22"/>
  <c r="U102" i="22"/>
  <c r="U103" i="22"/>
  <c r="U104" i="22"/>
  <c r="U105" i="22"/>
  <c r="U106" i="22"/>
  <c r="U107" i="22"/>
  <c r="U108" i="22"/>
  <c r="U109" i="22"/>
  <c r="Q104" i="18"/>
  <c r="R12" i="18"/>
  <c r="F12" i="18"/>
  <c r="D23" i="18"/>
  <c r="U104" i="14"/>
  <c r="R23" i="14"/>
  <c r="U4" i="5"/>
  <c r="T4" i="5"/>
  <c r="S4" i="5" s="1"/>
  <c r="V4" i="5"/>
  <c r="Q101" i="5"/>
  <c r="R6" i="5" s="1"/>
  <c r="D24" i="5"/>
  <c r="F24" i="5" s="1"/>
  <c r="F42" i="5"/>
  <c r="F47" i="5"/>
  <c r="D94" i="5"/>
  <c r="P100" i="5"/>
  <c r="R100" i="5" s="1"/>
  <c r="P98" i="5"/>
  <c r="R98" i="5" s="1"/>
  <c r="P96" i="5"/>
  <c r="R96" i="5" s="1"/>
  <c r="P94" i="5"/>
  <c r="R94" i="5" s="1"/>
  <c r="P92" i="5"/>
  <c r="R92" i="5" s="1"/>
  <c r="P90" i="5"/>
  <c r="R90" i="5" s="1"/>
  <c r="P88" i="5"/>
  <c r="R88" i="5" s="1"/>
  <c r="P86" i="5"/>
  <c r="R86" i="5" s="1"/>
  <c r="P84" i="5"/>
  <c r="R84" i="5" s="1"/>
  <c r="P82" i="5"/>
  <c r="R82" i="5" s="1"/>
  <c r="P80" i="5"/>
  <c r="R80" i="5" s="1"/>
  <c r="P78" i="5"/>
  <c r="R78" i="5" s="1"/>
  <c r="P76" i="5"/>
  <c r="R76" i="5" s="1"/>
  <c r="P74" i="5"/>
  <c r="R74" i="5" s="1"/>
  <c r="P72" i="5"/>
  <c r="R72" i="5" s="1"/>
  <c r="P70" i="5"/>
  <c r="R70" i="5" s="1"/>
  <c r="P68" i="5"/>
  <c r="R68" i="5" s="1"/>
  <c r="P66" i="5"/>
  <c r="R66" i="5" s="1"/>
  <c r="P64" i="5"/>
  <c r="R64" i="5" s="1"/>
  <c r="P62" i="5"/>
  <c r="R62" i="5" s="1"/>
  <c r="P60" i="5"/>
  <c r="R60" i="5" s="1"/>
  <c r="P58" i="5"/>
  <c r="R58" i="5" s="1"/>
  <c r="P56" i="5"/>
  <c r="R56" i="5" s="1"/>
  <c r="P54" i="5"/>
  <c r="R54" i="5" s="1"/>
  <c r="P52" i="5"/>
  <c r="R52" i="5" s="1"/>
  <c r="P50" i="5"/>
  <c r="R50" i="5" s="1"/>
  <c r="P48" i="5"/>
  <c r="R48" i="5" s="1"/>
  <c r="P46" i="5"/>
  <c r="R46" i="5" s="1"/>
  <c r="P44" i="5"/>
  <c r="R44" i="5" s="1"/>
  <c r="P42" i="5"/>
  <c r="R42" i="5" s="1"/>
  <c r="P40" i="5"/>
  <c r="R40" i="5" s="1"/>
  <c r="P38" i="5"/>
  <c r="R38" i="5" s="1"/>
  <c r="P36" i="5"/>
  <c r="R36" i="5" s="1"/>
  <c r="P34" i="5"/>
  <c r="R34" i="5" s="1"/>
  <c r="P32" i="5"/>
  <c r="R32" i="5" s="1"/>
  <c r="P30" i="5"/>
  <c r="R30" i="5" s="1"/>
  <c r="P28" i="5"/>
  <c r="R28" i="5" s="1"/>
  <c r="P26" i="5"/>
  <c r="R26" i="5" s="1"/>
  <c r="P24" i="5"/>
  <c r="R24" i="5" s="1"/>
  <c r="P22" i="5"/>
  <c r="R22" i="5" s="1"/>
  <c r="P20" i="5"/>
  <c r="R20" i="5" s="1"/>
  <c r="P18" i="5"/>
  <c r="R18" i="5" s="1"/>
  <c r="P16" i="5"/>
  <c r="R16" i="5" s="1"/>
  <c r="P14" i="5"/>
  <c r="R14" i="5" s="1"/>
  <c r="F27" i="5"/>
  <c r="P12" i="5"/>
  <c r="P99" i="5"/>
  <c r="R99" i="5" s="1"/>
  <c r="P97" i="5"/>
  <c r="R97" i="5" s="1"/>
  <c r="P95" i="5"/>
  <c r="R95" i="5" s="1"/>
  <c r="P93" i="5"/>
  <c r="R93" i="5" s="1"/>
  <c r="P91" i="5"/>
  <c r="R91" i="5" s="1"/>
  <c r="P89" i="5"/>
  <c r="R89" i="5" s="1"/>
  <c r="P87" i="5"/>
  <c r="R87" i="5" s="1"/>
  <c r="P85" i="5"/>
  <c r="R85" i="5" s="1"/>
  <c r="P83" i="5"/>
  <c r="R83" i="5" s="1"/>
  <c r="P81" i="5"/>
  <c r="R81" i="5" s="1"/>
  <c r="P79" i="5"/>
  <c r="R79" i="5" s="1"/>
  <c r="P77" i="5"/>
  <c r="R77" i="5" s="1"/>
  <c r="P75" i="5"/>
  <c r="R75" i="5" s="1"/>
  <c r="P73" i="5"/>
  <c r="R73" i="5" s="1"/>
  <c r="P71" i="5"/>
  <c r="R71" i="5" s="1"/>
  <c r="P69" i="5"/>
  <c r="R69" i="5" s="1"/>
  <c r="P67" i="5"/>
  <c r="R67" i="5" s="1"/>
  <c r="P65" i="5"/>
  <c r="R65" i="5" s="1"/>
  <c r="P63" i="5"/>
  <c r="R63" i="5" s="1"/>
  <c r="P61" i="5"/>
  <c r="R61" i="5" s="1"/>
  <c r="P59" i="5"/>
  <c r="R59" i="5" s="1"/>
  <c r="P57" i="5"/>
  <c r="R57" i="5" s="1"/>
  <c r="P55" i="5"/>
  <c r="R55" i="5" s="1"/>
  <c r="P53" i="5"/>
  <c r="R53" i="5" s="1"/>
  <c r="P51" i="5"/>
  <c r="R51" i="5" s="1"/>
  <c r="P49" i="5"/>
  <c r="R49" i="5" s="1"/>
  <c r="P47" i="5"/>
  <c r="R47" i="5" s="1"/>
  <c r="P45" i="5"/>
  <c r="R45" i="5" s="1"/>
  <c r="P43" i="5"/>
  <c r="R43" i="5" s="1"/>
  <c r="P41" i="5"/>
  <c r="R41" i="5" s="1"/>
  <c r="P39" i="5"/>
  <c r="R39" i="5" s="1"/>
  <c r="P37" i="5"/>
  <c r="R37" i="5" s="1"/>
  <c r="P35" i="5"/>
  <c r="R35" i="5" s="1"/>
  <c r="P33" i="5"/>
  <c r="R33" i="5" s="1"/>
  <c r="P31" i="5"/>
  <c r="R31" i="5" s="1"/>
  <c r="P29" i="5"/>
  <c r="R29" i="5" s="1"/>
  <c r="P27" i="5"/>
  <c r="R27" i="5" s="1"/>
  <c r="P25" i="5"/>
  <c r="R25" i="5" s="1"/>
  <c r="P23" i="5"/>
  <c r="R23" i="5" s="1"/>
  <c r="P21" i="5"/>
  <c r="R21" i="5" s="1"/>
  <c r="P19" i="5"/>
  <c r="R19" i="5" s="1"/>
  <c r="P17" i="5"/>
  <c r="R17" i="5" s="1"/>
  <c r="P15" i="5"/>
  <c r="R15" i="5" s="1"/>
  <c r="P13" i="5"/>
  <c r="R13" i="5" s="1"/>
  <c r="P104" i="8"/>
  <c r="Q104" i="9"/>
  <c r="P104" i="10"/>
  <c r="P104" i="13"/>
  <c r="Q104" i="16"/>
  <c r="Q104" i="17"/>
  <c r="P104" i="18"/>
  <c r="Q104" i="19"/>
  <c r="Q104" i="20"/>
  <c r="P104" i="20" s="1"/>
  <c r="P104" i="21"/>
  <c r="Q104" i="25"/>
  <c r="I6" i="65"/>
  <c r="H6" i="65" s="1"/>
  <c r="G6" i="65" s="1"/>
  <c r="Q6" i="65" s="1"/>
  <c r="G5" i="65"/>
  <c r="K7" i="65"/>
  <c r="M7" i="65"/>
  <c r="L36" i="4" s="1"/>
  <c r="E54" i="65"/>
  <c r="I5" i="65"/>
  <c r="I7" i="65" s="1"/>
  <c r="H36" i="4" s="1"/>
  <c r="F24" i="63"/>
  <c r="D23" i="52"/>
  <c r="I5" i="52" s="1"/>
  <c r="E7" i="36"/>
  <c r="L7" i="36" s="1"/>
  <c r="L8" i="36" s="1"/>
  <c r="P28" i="3" s="1"/>
  <c r="H24" i="2" s="1"/>
  <c r="L7" i="26"/>
  <c r="F37" i="26"/>
  <c r="Q54" i="34"/>
  <c r="P54" i="34" s="1"/>
  <c r="J104" i="34"/>
  <c r="K7" i="34"/>
  <c r="K19" i="4"/>
  <c r="F37" i="34"/>
  <c r="F57" i="32"/>
  <c r="P54" i="32"/>
  <c r="R12" i="32"/>
  <c r="R20" i="32"/>
  <c r="D57" i="32"/>
  <c r="Q54" i="32"/>
  <c r="G7" i="32"/>
  <c r="R24" i="95"/>
  <c r="R25" i="95"/>
  <c r="R26" i="95"/>
  <c r="R20" i="95"/>
  <c r="R22" i="95"/>
  <c r="P54" i="95"/>
  <c r="R5" i="95" s="1"/>
  <c r="M7" i="95"/>
  <c r="L13" i="4" s="1"/>
  <c r="F42" i="95"/>
  <c r="L7" i="95"/>
  <c r="K13" i="4" s="1"/>
  <c r="F37" i="95"/>
  <c r="F27" i="95"/>
  <c r="F17" i="95"/>
  <c r="G7" i="95"/>
  <c r="F13" i="4" s="1"/>
  <c r="E57" i="95"/>
  <c r="O6" i="95"/>
  <c r="D57" i="95"/>
  <c r="O5" i="95"/>
  <c r="F12" i="95"/>
  <c r="E23" i="95"/>
  <c r="E22" i="95" s="1"/>
  <c r="I6" i="95" s="1"/>
  <c r="Q6" i="95" s="1"/>
  <c r="D24" i="95"/>
  <c r="F24" i="95" s="1"/>
  <c r="U62" i="95"/>
  <c r="U64" i="95"/>
  <c r="U66" i="95"/>
  <c r="U88" i="95"/>
  <c r="U90" i="95"/>
  <c r="U92" i="95"/>
  <c r="U94" i="95"/>
  <c r="U96" i="95"/>
  <c r="U98" i="95"/>
  <c r="U100" i="95"/>
  <c r="U102" i="95"/>
  <c r="G104" i="95"/>
  <c r="R13" i="95"/>
  <c r="R15" i="95"/>
  <c r="R17" i="95"/>
  <c r="R19" i="95"/>
  <c r="R21" i="95"/>
  <c r="D23" i="95"/>
  <c r="R23" i="95"/>
  <c r="R27" i="95"/>
  <c r="R29" i="95"/>
  <c r="R31" i="95"/>
  <c r="R33" i="95"/>
  <c r="R35" i="95"/>
  <c r="R37" i="95"/>
  <c r="R53" i="95"/>
  <c r="T144" i="22"/>
  <c r="E52" i="22" s="1"/>
  <c r="U84" i="22"/>
  <c r="P144" i="22"/>
  <c r="Q144" i="22"/>
  <c r="F12" i="22"/>
  <c r="D23" i="22"/>
  <c r="G7" i="22"/>
  <c r="Q54" i="14"/>
  <c r="R17" i="14"/>
  <c r="R18" i="14"/>
  <c r="R19" i="14"/>
  <c r="R20" i="14"/>
  <c r="R21" i="14"/>
  <c r="R12" i="14"/>
  <c r="R54" i="14" s="1"/>
  <c r="N7" i="14"/>
  <c r="U104" i="12"/>
  <c r="F52" i="12" s="1"/>
  <c r="P54" i="12"/>
  <c r="E52" i="12"/>
  <c r="R5" i="12"/>
  <c r="G11" i="92" s="1"/>
  <c r="R12" i="12"/>
  <c r="R13" i="12"/>
  <c r="R14" i="12"/>
  <c r="R15" i="12"/>
  <c r="R16" i="12"/>
  <c r="R17" i="12"/>
  <c r="R18" i="12"/>
  <c r="R19" i="12"/>
  <c r="R20" i="12"/>
  <c r="R21" i="12"/>
  <c r="R23" i="12"/>
  <c r="R24" i="12"/>
  <c r="R26" i="12"/>
  <c r="R27" i="12"/>
  <c r="R28" i="12"/>
  <c r="R29" i="12"/>
  <c r="R30" i="12"/>
  <c r="R31" i="12"/>
  <c r="R39" i="12"/>
  <c r="R40" i="12"/>
  <c r="R41" i="12"/>
  <c r="R47" i="12"/>
  <c r="R48" i="12"/>
  <c r="R49" i="12"/>
  <c r="R50" i="12"/>
  <c r="R51" i="12"/>
  <c r="R52" i="12"/>
  <c r="R6" i="12"/>
  <c r="R22" i="12"/>
  <c r="R25" i="12"/>
  <c r="R32" i="12"/>
  <c r="R33" i="12"/>
  <c r="R34" i="12"/>
  <c r="R35" i="12"/>
  <c r="R36" i="12"/>
  <c r="R37" i="12"/>
  <c r="R42" i="12"/>
  <c r="R43" i="12"/>
  <c r="R44" i="12"/>
  <c r="R45" i="12"/>
  <c r="R46" i="12"/>
  <c r="R53" i="12"/>
  <c r="P104" i="12"/>
  <c r="K7" i="9"/>
  <c r="K10" i="3"/>
  <c r="F37" i="9"/>
  <c r="E23" i="5"/>
  <c r="G7" i="5"/>
  <c r="F12" i="5"/>
  <c r="D23" i="5"/>
  <c r="F13" i="51"/>
  <c r="G5" i="51"/>
  <c r="D24" i="62"/>
  <c r="E25" i="62"/>
  <c r="E24" i="62" s="1"/>
  <c r="I6" i="62" s="1"/>
  <c r="Q6" i="62" s="1"/>
  <c r="O9" i="79"/>
  <c r="E33" i="79"/>
  <c r="G11" i="79"/>
  <c r="O9" i="75"/>
  <c r="E33" i="75"/>
  <c r="G11" i="75"/>
  <c r="L7" i="62"/>
  <c r="F39" i="62"/>
  <c r="K7" i="62"/>
  <c r="J7" i="62" s="1"/>
  <c r="F13" i="62"/>
  <c r="F19" i="62"/>
  <c r="G7" i="62"/>
  <c r="L7" i="51"/>
  <c r="L44" i="3"/>
  <c r="E29" i="51"/>
  <c r="I6" i="51" s="1"/>
  <c r="Q6" i="51" s="1"/>
  <c r="D29" i="51"/>
  <c r="K12" i="77"/>
  <c r="I12" i="77"/>
  <c r="O10" i="77"/>
  <c r="G12" i="77"/>
  <c r="J11" i="76"/>
  <c r="K46" i="4" s="1"/>
  <c r="N9" i="76"/>
  <c r="J65" i="92" s="1"/>
  <c r="I11" i="76"/>
  <c r="O9" i="76"/>
  <c r="G11" i="76"/>
  <c r="E33" i="76"/>
  <c r="K12" i="71"/>
  <c r="I12" i="71"/>
  <c r="O10" i="71"/>
  <c r="G12" i="71"/>
  <c r="K11" i="73"/>
  <c r="I11" i="73"/>
  <c r="O9" i="73"/>
  <c r="G11" i="73"/>
  <c r="I11" i="72"/>
  <c r="N9" i="72"/>
  <c r="H65" i="92" s="1"/>
  <c r="G11" i="72"/>
  <c r="E34" i="72"/>
  <c r="K11" i="60"/>
  <c r="I11" i="60"/>
  <c r="O9" i="60"/>
  <c r="G11" i="60"/>
  <c r="F42" i="65"/>
  <c r="F37" i="65"/>
  <c r="K36" i="4"/>
  <c r="J36" i="4"/>
  <c r="G7" i="65"/>
  <c r="Q5" i="65"/>
  <c r="J46" i="92" s="1"/>
  <c r="D54" i="65"/>
  <c r="F36" i="4"/>
  <c r="F23" i="65"/>
  <c r="F22" i="65" s="1"/>
  <c r="F42" i="54"/>
  <c r="M7" i="54"/>
  <c r="L47" i="3" s="1"/>
  <c r="E54" i="54"/>
  <c r="L7" i="54"/>
  <c r="K47" i="3" s="1"/>
  <c r="F37" i="54"/>
  <c r="F32" i="54"/>
  <c r="K7" i="54"/>
  <c r="J47" i="3" s="1"/>
  <c r="I5" i="54"/>
  <c r="F23" i="54"/>
  <c r="F22" i="54" s="1"/>
  <c r="F12" i="54"/>
  <c r="D54" i="54"/>
  <c r="J10" i="64"/>
  <c r="I35" i="4" s="1"/>
  <c r="Q6" i="53"/>
  <c r="J12" i="69"/>
  <c r="K40" i="4"/>
  <c r="I12" i="69"/>
  <c r="H12" i="69" s="1"/>
  <c r="J40" i="4"/>
  <c r="I40" i="4" s="1"/>
  <c r="O10" i="69"/>
  <c r="G12" i="69"/>
  <c r="F12" i="69" s="1"/>
  <c r="E34" i="69"/>
  <c r="N10" i="58"/>
  <c r="N9" i="58"/>
  <c r="J11" i="58"/>
  <c r="K51" i="3" s="1"/>
  <c r="I11" i="58"/>
  <c r="H11" i="58" s="1"/>
  <c r="O10" i="58"/>
  <c r="G11" i="58"/>
  <c r="F11" i="58" s="1"/>
  <c r="E33" i="58"/>
  <c r="N10" i="68"/>
  <c r="N11" i="68" s="1"/>
  <c r="P39" i="4" s="1"/>
  <c r="J51" i="2" s="1"/>
  <c r="J11" i="68"/>
  <c r="K39" i="4" s="1"/>
  <c r="J39" i="4"/>
  <c r="O10" i="68"/>
  <c r="O9" i="68"/>
  <c r="E33" i="68"/>
  <c r="G11" i="68"/>
  <c r="F11" i="68" s="1"/>
  <c r="N11" i="67"/>
  <c r="J11" i="67"/>
  <c r="I11" i="67" s="1"/>
  <c r="P38" i="4"/>
  <c r="O9" i="67"/>
  <c r="O10" i="67"/>
  <c r="N10" i="57"/>
  <c r="J11" i="57"/>
  <c r="K50" i="3" s="1"/>
  <c r="J50" i="3"/>
  <c r="N11" i="57"/>
  <c r="O10" i="57"/>
  <c r="O9" i="57"/>
  <c r="E33" i="57"/>
  <c r="P50" i="3"/>
  <c r="H51" i="2" s="1"/>
  <c r="H44" i="2" s="1"/>
  <c r="G11" i="57"/>
  <c r="F11" i="57" s="1"/>
  <c r="C43" i="35"/>
  <c r="C45" i="35" s="1"/>
  <c r="E6" i="35" s="1"/>
  <c r="E18" i="35"/>
  <c r="E20" i="35" s="1"/>
  <c r="Q104" i="33"/>
  <c r="P104" i="33" s="1"/>
  <c r="Q104" i="24"/>
  <c r="P104" i="24" s="1"/>
  <c r="Q104" i="8"/>
  <c r="N10" i="48"/>
  <c r="N23" i="48" s="1"/>
  <c r="N9" i="48"/>
  <c r="N9" i="56"/>
  <c r="L11" i="56"/>
  <c r="K11" i="56" s="1"/>
  <c r="L49" i="3" s="1"/>
  <c r="C8" i="49"/>
  <c r="F39" i="3" s="1"/>
  <c r="L6" i="49"/>
  <c r="L6" i="40"/>
  <c r="E31" i="35"/>
  <c r="I6" i="35"/>
  <c r="Q9" i="64"/>
  <c r="F33" i="53"/>
  <c r="L10" i="64"/>
  <c r="K35" i="4" s="1"/>
  <c r="J11" i="56"/>
  <c r="I11" i="56" s="1"/>
  <c r="O9" i="56"/>
  <c r="M8" i="64"/>
  <c r="M10" i="64" s="1"/>
  <c r="L35" i="4" s="1"/>
  <c r="G10" i="64"/>
  <c r="F35" i="4" s="1"/>
  <c r="Q8" i="64"/>
  <c r="J45" i="92" s="1"/>
  <c r="F16" i="64"/>
  <c r="F26" i="64"/>
  <c r="F36" i="64"/>
  <c r="D59" i="64"/>
  <c r="E59" i="64"/>
  <c r="F21" i="64"/>
  <c r="F31" i="64"/>
  <c r="F41" i="64"/>
  <c r="F52" i="64"/>
  <c r="D56" i="52"/>
  <c r="D56" i="53"/>
  <c r="F43" i="53"/>
  <c r="M5" i="53"/>
  <c r="M7" i="53" s="1"/>
  <c r="L46" i="3" s="1"/>
  <c r="H7" i="53"/>
  <c r="G46" i="3" s="1"/>
  <c r="J7" i="53"/>
  <c r="I46" i="3" s="1"/>
  <c r="L7" i="53"/>
  <c r="K46" i="3" s="1"/>
  <c r="N7" i="53"/>
  <c r="M46" i="3" s="1"/>
  <c r="F18" i="53"/>
  <c r="F28" i="53"/>
  <c r="F38" i="53"/>
  <c r="F49" i="53"/>
  <c r="G5" i="53"/>
  <c r="I5" i="53"/>
  <c r="I7" i="53" s="1"/>
  <c r="H46" i="3" s="1"/>
  <c r="K5" i="53"/>
  <c r="K7" i="53" s="1"/>
  <c r="J46" i="3" s="1"/>
  <c r="F13" i="53"/>
  <c r="E56" i="53"/>
  <c r="E35" i="45"/>
  <c r="E47" i="45" s="1"/>
  <c r="C47" i="45"/>
  <c r="E38" i="47"/>
  <c r="E35" i="38"/>
  <c r="C43" i="38"/>
  <c r="E43" i="38" s="1"/>
  <c r="E35" i="36"/>
  <c r="C48" i="36"/>
  <c r="E48" i="36" s="1"/>
  <c r="L7" i="42"/>
  <c r="E39" i="42"/>
  <c r="E54" i="42" s="1"/>
  <c r="I7" i="63"/>
  <c r="H34" i="4" s="1"/>
  <c r="F28" i="63"/>
  <c r="H7" i="63"/>
  <c r="G34" i="4" s="1"/>
  <c r="J5" i="63"/>
  <c r="Q5" i="63" s="1"/>
  <c r="J44" i="92" s="1"/>
  <c r="O7" i="63"/>
  <c r="N34" i="4" s="1"/>
  <c r="P7" i="63"/>
  <c r="O34" i="4" s="1"/>
  <c r="F38" i="63"/>
  <c r="G7" i="63"/>
  <c r="F34" i="4" s="1"/>
  <c r="K7" i="63"/>
  <c r="J34" i="4" s="1"/>
  <c r="M7" i="63"/>
  <c r="L34" i="4" s="1"/>
  <c r="L7" i="63"/>
  <c r="K34" i="4" s="1"/>
  <c r="F23" i="63"/>
  <c r="F33" i="63"/>
  <c r="F44" i="63"/>
  <c r="E56" i="63"/>
  <c r="F13" i="63"/>
  <c r="F18" i="63"/>
  <c r="F49" i="63"/>
  <c r="N6" i="63"/>
  <c r="Q6" i="63" s="1"/>
  <c r="D56" i="63"/>
  <c r="N5" i="52"/>
  <c r="N7" i="52" s="1"/>
  <c r="M45" i="3" s="1"/>
  <c r="F18" i="52"/>
  <c r="F38" i="52"/>
  <c r="I7" i="52"/>
  <c r="H45" i="3" s="1"/>
  <c r="J7" i="52"/>
  <c r="I45" i="3" s="1"/>
  <c r="L5" i="52"/>
  <c r="M7" i="52"/>
  <c r="L45" i="3" s="1"/>
  <c r="G7" i="52"/>
  <c r="F45" i="3" s="1"/>
  <c r="K7" i="52"/>
  <c r="J45" i="3" s="1"/>
  <c r="E56" i="52"/>
  <c r="L6" i="52"/>
  <c r="Q6" i="52" s="1"/>
  <c r="H5" i="52"/>
  <c r="H7" i="52" s="1"/>
  <c r="G45" i="3" s="1"/>
  <c r="F49" i="52"/>
  <c r="F13" i="52"/>
  <c r="F23" i="52"/>
  <c r="F28" i="52"/>
  <c r="F44" i="52"/>
  <c r="F33" i="52"/>
  <c r="D35" i="44"/>
  <c r="E7" i="44" s="1"/>
  <c r="D6" i="43"/>
  <c r="D38" i="43"/>
  <c r="E7" i="43" s="1"/>
  <c r="C38" i="43"/>
  <c r="C35" i="44"/>
  <c r="C26" i="47"/>
  <c r="G6" i="47" s="1"/>
  <c r="G8" i="47" s="1"/>
  <c r="J28" i="4" s="1"/>
  <c r="E22" i="47"/>
  <c r="E26" i="47" s="1"/>
  <c r="E24" i="47"/>
  <c r="L7" i="47"/>
  <c r="C8" i="47"/>
  <c r="F28" i="4" s="1"/>
  <c r="L8" i="46"/>
  <c r="P27" i="4" s="1"/>
  <c r="J28" i="2" s="1"/>
  <c r="C8" i="46"/>
  <c r="F27" i="4" s="1"/>
  <c r="L8" i="45"/>
  <c r="P26" i="4" s="1"/>
  <c r="J24" i="2" s="1"/>
  <c r="C8" i="45"/>
  <c r="F26" i="4" s="1"/>
  <c r="Q25" i="4" s="1"/>
  <c r="I25" i="2" s="1"/>
  <c r="E43" i="44"/>
  <c r="D7" i="44"/>
  <c r="E16" i="44"/>
  <c r="E15" i="44"/>
  <c r="D45" i="44"/>
  <c r="C7" i="44"/>
  <c r="M8" i="43"/>
  <c r="Q24" i="4" s="1"/>
  <c r="I23" i="2" s="1"/>
  <c r="E19" i="43"/>
  <c r="D7" i="43"/>
  <c r="D8" i="43" s="1"/>
  <c r="E18" i="43"/>
  <c r="C7" i="43"/>
  <c r="I8" i="42"/>
  <c r="L34" i="3" s="1"/>
  <c r="C8" i="42"/>
  <c r="F34" i="3" s="1"/>
  <c r="L8" i="42"/>
  <c r="P34" i="3" s="1"/>
  <c r="H29" i="2" s="1"/>
  <c r="E42" i="41"/>
  <c r="L6" i="41"/>
  <c r="I8" i="38"/>
  <c r="L30" i="3" s="1"/>
  <c r="L7" i="38"/>
  <c r="L6" i="38"/>
  <c r="H28" i="92" s="1"/>
  <c r="L6" i="37"/>
  <c r="H27" i="92" s="1"/>
  <c r="L7" i="37"/>
  <c r="J8" i="36"/>
  <c r="M28" i="3" s="1"/>
  <c r="N28" i="3"/>
  <c r="E8" i="36"/>
  <c r="I28" i="3"/>
  <c r="N61" i="3"/>
  <c r="N40" i="3"/>
  <c r="M40" i="3" s="1"/>
  <c r="L40" i="3" s="1"/>
  <c r="K40" i="3" s="1"/>
  <c r="J40" i="3" s="1"/>
  <c r="I40" i="3" s="1"/>
  <c r="H40" i="3" s="1"/>
  <c r="G40" i="3" s="1"/>
  <c r="F40" i="3" s="1"/>
  <c r="N50" i="4"/>
  <c r="M8" i="35"/>
  <c r="Q27" i="3" s="1"/>
  <c r="K6" i="35"/>
  <c r="H6" i="35"/>
  <c r="H8" i="35" s="1"/>
  <c r="K27" i="3" s="1"/>
  <c r="G8" i="35"/>
  <c r="J27" i="3" s="1"/>
  <c r="E41" i="35"/>
  <c r="F7" i="35"/>
  <c r="F8" i="35" s="1"/>
  <c r="I27" i="3" s="1"/>
  <c r="D7" i="35"/>
  <c r="D8" i="35" s="1"/>
  <c r="G27" i="3" s="1"/>
  <c r="E24" i="35"/>
  <c r="K7" i="35"/>
  <c r="E15" i="35"/>
  <c r="K36" i="92"/>
  <c r="F2" i="92"/>
  <c r="J104" i="29" l="1"/>
  <c r="R7" i="29"/>
  <c r="Q14" i="4" s="1"/>
  <c r="Q54" i="24"/>
  <c r="P54" i="24" s="1"/>
  <c r="J104" i="24"/>
  <c r="Q54" i="11"/>
  <c r="P54" i="11" s="1"/>
  <c r="J104" i="11"/>
  <c r="Q54" i="10"/>
  <c r="J104" i="10"/>
  <c r="Q54" i="26"/>
  <c r="P54" i="26" s="1"/>
  <c r="J104" i="26"/>
  <c r="Q54" i="21"/>
  <c r="P54" i="21" s="1"/>
  <c r="J104" i="21"/>
  <c r="H11" i="56"/>
  <c r="J49" i="3"/>
  <c r="L8" i="40"/>
  <c r="P32" i="3" s="1"/>
  <c r="H27" i="2" s="1"/>
  <c r="H30" i="92"/>
  <c r="K30" i="92" s="1"/>
  <c r="H11" i="67"/>
  <c r="J38" i="4"/>
  <c r="E11" i="68"/>
  <c r="F39" i="4" s="1"/>
  <c r="G39" i="4"/>
  <c r="E11" i="58"/>
  <c r="F51" i="3" s="1"/>
  <c r="G51" i="3"/>
  <c r="E12" i="69"/>
  <c r="F40" i="4" s="1"/>
  <c r="G40" i="4"/>
  <c r="F54" i="54"/>
  <c r="D52" i="5"/>
  <c r="U198" i="5"/>
  <c r="K11" i="76"/>
  <c r="L46" i="4" s="1"/>
  <c r="M46" i="4"/>
  <c r="K11" i="72"/>
  <c r="M57" i="3"/>
  <c r="M61" i="3" s="1"/>
  <c r="H77" i="92"/>
  <c r="K77" i="92" s="1"/>
  <c r="O10" i="83"/>
  <c r="K11" i="79"/>
  <c r="M49" i="4"/>
  <c r="K11" i="78"/>
  <c r="M48" i="4"/>
  <c r="K11" i="74"/>
  <c r="M59" i="3"/>
  <c r="K12" i="69"/>
  <c r="L40" i="4" s="1"/>
  <c r="M40" i="4"/>
  <c r="K11" i="58"/>
  <c r="L51" i="3" s="1"/>
  <c r="M51" i="3"/>
  <c r="E43" i="37"/>
  <c r="E45" i="37"/>
  <c r="C50" i="47"/>
  <c r="H75" i="92"/>
  <c r="K75" i="92" s="1"/>
  <c r="N12" i="81"/>
  <c r="M12" i="81" s="1"/>
  <c r="L12" i="81" s="1"/>
  <c r="O10" i="81"/>
  <c r="D52" i="31"/>
  <c r="O6" i="31"/>
  <c r="H7" i="65"/>
  <c r="G36" i="4" s="1"/>
  <c r="L7" i="33"/>
  <c r="R54" i="33"/>
  <c r="Q54" i="33" s="1"/>
  <c r="P54" i="33" s="1"/>
  <c r="P62" i="28"/>
  <c r="J104" i="28"/>
  <c r="Q62" i="28"/>
  <c r="H104" i="26"/>
  <c r="F52" i="26"/>
  <c r="E52" i="26" s="1"/>
  <c r="J7" i="24"/>
  <c r="J8" i="4"/>
  <c r="R22" i="17"/>
  <c r="R54" i="17"/>
  <c r="R7" i="17" s="1"/>
  <c r="V4" i="21"/>
  <c r="U4" i="21" s="1"/>
  <c r="T4" i="21" s="1"/>
  <c r="S4" i="21" s="1"/>
  <c r="K7" i="15"/>
  <c r="J7" i="15" s="1"/>
  <c r="J7" i="21"/>
  <c r="J22" i="3"/>
  <c r="J7" i="19"/>
  <c r="J20" i="3"/>
  <c r="D52" i="18"/>
  <c r="O6" i="18"/>
  <c r="E57" i="18"/>
  <c r="M38" i="4"/>
  <c r="J104" i="8"/>
  <c r="J7" i="7"/>
  <c r="J8" i="3"/>
  <c r="M50" i="4"/>
  <c r="L8" i="41"/>
  <c r="P33" i="3" s="1"/>
  <c r="H28" i="2" s="1"/>
  <c r="H31" i="92"/>
  <c r="L8" i="49"/>
  <c r="P39" i="3" s="1"/>
  <c r="H34" i="2" s="1"/>
  <c r="H37" i="92"/>
  <c r="M49" i="3"/>
  <c r="E11" i="57"/>
  <c r="F50" i="3" s="1"/>
  <c r="G50" i="3"/>
  <c r="K38" i="4"/>
  <c r="H51" i="3"/>
  <c r="N11" i="58"/>
  <c r="P51" i="3" s="1"/>
  <c r="H52" i="2" s="1"/>
  <c r="H59" i="92"/>
  <c r="F54" i="65"/>
  <c r="J7" i="9"/>
  <c r="I10" i="3" s="1"/>
  <c r="J10" i="3"/>
  <c r="M7" i="14"/>
  <c r="L15" i="3" s="1"/>
  <c r="M15" i="3"/>
  <c r="C74" i="22"/>
  <c r="C76" i="22" s="1"/>
  <c r="E57" i="22"/>
  <c r="F52" i="22"/>
  <c r="O6" i="22"/>
  <c r="J7" i="34"/>
  <c r="I19" i="4" s="1"/>
  <c r="J19" i="4"/>
  <c r="K11" i="75"/>
  <c r="M60" i="3"/>
  <c r="K11" i="68"/>
  <c r="L39" i="4" s="1"/>
  <c r="M39" i="4"/>
  <c r="K11" i="57"/>
  <c r="L50" i="3" s="1"/>
  <c r="M50" i="3"/>
  <c r="H76" i="92"/>
  <c r="O10" i="82"/>
  <c r="N12" i="82"/>
  <c r="M12" i="82" s="1"/>
  <c r="Q104" i="30"/>
  <c r="V4" i="32"/>
  <c r="P104" i="30"/>
  <c r="J7" i="30"/>
  <c r="J15" i="4"/>
  <c r="Q67" i="28"/>
  <c r="P67" i="28"/>
  <c r="I5" i="28"/>
  <c r="V4" i="24"/>
  <c r="U4" i="24" s="1"/>
  <c r="T4" i="24" s="1"/>
  <c r="S4" i="24" s="1"/>
  <c r="J104" i="30"/>
  <c r="J104" i="27"/>
  <c r="R54" i="27"/>
  <c r="Q54" i="27" s="1"/>
  <c r="P54" i="27" s="1"/>
  <c r="K7" i="27"/>
  <c r="K11" i="4"/>
  <c r="R54" i="20"/>
  <c r="Q54" i="20" s="1"/>
  <c r="R22" i="19"/>
  <c r="R54" i="19"/>
  <c r="R7" i="19" s="1"/>
  <c r="D22" i="16"/>
  <c r="F23" i="16"/>
  <c r="I5" i="26"/>
  <c r="J7" i="25"/>
  <c r="J9" i="4"/>
  <c r="F23" i="20"/>
  <c r="D22" i="20"/>
  <c r="D22" i="11"/>
  <c r="F23" i="11"/>
  <c r="D22" i="8"/>
  <c r="F23" i="8"/>
  <c r="G104" i="7"/>
  <c r="U103" i="7" s="1"/>
  <c r="R12" i="7"/>
  <c r="U62" i="7"/>
  <c r="V4" i="7"/>
  <c r="U4" i="7" s="1"/>
  <c r="T4" i="7" s="1"/>
  <c r="S4" i="7" s="1"/>
  <c r="R54" i="13"/>
  <c r="J104" i="13" s="1"/>
  <c r="I5" i="14"/>
  <c r="I5" i="12"/>
  <c r="J44" i="2"/>
  <c r="Q35" i="3"/>
  <c r="G23" i="2"/>
  <c r="E57" i="32"/>
  <c r="O6" i="32"/>
  <c r="R22" i="31"/>
  <c r="F23" i="31"/>
  <c r="D22" i="31"/>
  <c r="N7" i="31"/>
  <c r="N7" i="29"/>
  <c r="R5" i="29"/>
  <c r="R54" i="18"/>
  <c r="R7" i="18" s="1"/>
  <c r="Q19" i="3" s="1"/>
  <c r="G17" i="2" s="1"/>
  <c r="J104" i="18"/>
  <c r="H104" i="14"/>
  <c r="F52" i="14"/>
  <c r="R12" i="5"/>
  <c r="P101" i="5"/>
  <c r="E57" i="12"/>
  <c r="H104" i="12"/>
  <c r="Q7" i="65"/>
  <c r="P36" i="4" s="1"/>
  <c r="J43" i="2" s="1"/>
  <c r="K7" i="26"/>
  <c r="K10" i="4"/>
  <c r="V6" i="95"/>
  <c r="U6" i="95"/>
  <c r="T6" i="95"/>
  <c r="F23" i="95"/>
  <c r="D22" i="95"/>
  <c r="E54" i="95"/>
  <c r="E56" i="95" s="1"/>
  <c r="I104" i="95"/>
  <c r="Q104" i="95"/>
  <c r="U104" i="95"/>
  <c r="O7" i="95"/>
  <c r="N13" i="4" s="1"/>
  <c r="R54" i="95"/>
  <c r="R7" i="95" s="1"/>
  <c r="Q13" i="4" s="1"/>
  <c r="I11" i="2" s="1"/>
  <c r="S6" i="95"/>
  <c r="F7" i="4"/>
  <c r="F23" i="22"/>
  <c r="D22" i="22"/>
  <c r="R6" i="14"/>
  <c r="R7" i="14"/>
  <c r="Q15" i="3" s="1"/>
  <c r="G7" i="2" s="1"/>
  <c r="J104" i="14"/>
  <c r="P7" i="14"/>
  <c r="O15" i="3" s="1"/>
  <c r="D52" i="12"/>
  <c r="O6" i="12"/>
  <c r="N7" i="12"/>
  <c r="R54" i="12"/>
  <c r="R7" i="12" s="1"/>
  <c r="D22" i="5"/>
  <c r="F23" i="5"/>
  <c r="E56" i="62"/>
  <c r="E58" i="62" s="1"/>
  <c r="F25" i="62"/>
  <c r="F24" i="62" s="1"/>
  <c r="F56" i="62" s="1"/>
  <c r="F58" i="62" s="1"/>
  <c r="D56" i="62"/>
  <c r="D58" i="62" s="1"/>
  <c r="I5" i="62"/>
  <c r="F11" i="79"/>
  <c r="H49" i="4"/>
  <c r="F11" i="75"/>
  <c r="H60" i="3"/>
  <c r="F29" i="51"/>
  <c r="I5" i="51"/>
  <c r="Q5" i="51" s="1"/>
  <c r="H43" i="92" s="1"/>
  <c r="K7" i="51"/>
  <c r="K44" i="3"/>
  <c r="F61" i="51"/>
  <c r="E61" i="51"/>
  <c r="D61" i="51"/>
  <c r="J12" i="77"/>
  <c r="K47" i="4" s="1"/>
  <c r="L47" i="4"/>
  <c r="H12" i="77"/>
  <c r="I47" i="4" s="1"/>
  <c r="J47" i="4"/>
  <c r="F12" i="77"/>
  <c r="H47" i="4"/>
  <c r="H11" i="76"/>
  <c r="I46" i="4" s="1"/>
  <c r="J46" i="4"/>
  <c r="F11" i="76"/>
  <c r="H46" i="4"/>
  <c r="J12" i="71"/>
  <c r="K42" i="4" s="1"/>
  <c r="L42" i="4"/>
  <c r="H12" i="71"/>
  <c r="I42" i="4" s="1"/>
  <c r="J42" i="4"/>
  <c r="F12" i="71"/>
  <c r="H42" i="4"/>
  <c r="J11" i="73"/>
  <c r="K58" i="3" s="1"/>
  <c r="L58" i="3"/>
  <c r="H11" i="73"/>
  <c r="I58" i="3" s="1"/>
  <c r="J58" i="3"/>
  <c r="F11" i="73"/>
  <c r="H58" i="3"/>
  <c r="H11" i="72"/>
  <c r="I57" i="3" s="1"/>
  <c r="J57" i="3"/>
  <c r="O9" i="72"/>
  <c r="F11" i="72"/>
  <c r="G57" i="3" s="1"/>
  <c r="H57" i="3"/>
  <c r="J11" i="60"/>
  <c r="K53" i="3" s="1"/>
  <c r="L53" i="3"/>
  <c r="H11" i="60"/>
  <c r="I53" i="3" s="1"/>
  <c r="J53" i="3"/>
  <c r="F11" i="60"/>
  <c r="H53" i="3"/>
  <c r="G5" i="54"/>
  <c r="I7" i="54"/>
  <c r="H47" i="3" s="1"/>
  <c r="Q10" i="64"/>
  <c r="P35" i="4" s="1"/>
  <c r="J42" i="2" s="1"/>
  <c r="H40" i="4"/>
  <c r="O9" i="58"/>
  <c r="J51" i="3"/>
  <c r="I51" i="3" s="1"/>
  <c r="H39" i="4"/>
  <c r="H50" i="3"/>
  <c r="N11" i="56"/>
  <c r="P49" i="3" s="1"/>
  <c r="O10" i="56"/>
  <c r="C6" i="35"/>
  <c r="C62" i="35"/>
  <c r="D62" i="35"/>
  <c r="C7" i="35"/>
  <c r="L7" i="35" s="1"/>
  <c r="N22" i="48"/>
  <c r="N11" i="48"/>
  <c r="P38" i="3" s="1"/>
  <c r="P9" i="48"/>
  <c r="P10" i="48"/>
  <c r="K47" i="92"/>
  <c r="H38" i="92"/>
  <c r="K38" i="92" s="1"/>
  <c r="K49" i="3"/>
  <c r="F59" i="64"/>
  <c r="F56" i="53"/>
  <c r="L54" i="3"/>
  <c r="G7" i="53"/>
  <c r="F46" i="3" s="1"/>
  <c r="Q5" i="53"/>
  <c r="H45" i="92" s="1"/>
  <c r="L7" i="43"/>
  <c r="K48" i="92"/>
  <c r="J69" i="92"/>
  <c r="K68" i="92"/>
  <c r="K76" i="92"/>
  <c r="G38" i="92"/>
  <c r="K31" i="92"/>
  <c r="K49" i="92"/>
  <c r="K50" i="92"/>
  <c r="K51" i="92"/>
  <c r="K52" i="92"/>
  <c r="K53" i="92"/>
  <c r="K54" i="92"/>
  <c r="K59" i="92"/>
  <c r="K60" i="92"/>
  <c r="K61" i="92"/>
  <c r="K66" i="92"/>
  <c r="K67" i="92"/>
  <c r="F56" i="63"/>
  <c r="J7" i="63"/>
  <c r="I34" i="4" s="1"/>
  <c r="N7" i="63"/>
  <c r="M34" i="4" s="1"/>
  <c r="Q7" i="63"/>
  <c r="P34" i="4" s="1"/>
  <c r="J41" i="2" s="1"/>
  <c r="Q5" i="52"/>
  <c r="H44" i="92" s="1"/>
  <c r="L7" i="52"/>
  <c r="K45" i="3" s="1"/>
  <c r="F56" i="52"/>
  <c r="E38" i="43"/>
  <c r="E6" i="43"/>
  <c r="E8" i="43" s="1"/>
  <c r="E35" i="44"/>
  <c r="E6" i="44"/>
  <c r="L6" i="44" s="1"/>
  <c r="J27" i="92" s="1"/>
  <c r="E43" i="35"/>
  <c r="E45" i="35" s="1"/>
  <c r="E62" i="35" s="1"/>
  <c r="E8" i="35"/>
  <c r="H27" i="3" s="1"/>
  <c r="C51" i="43"/>
  <c r="C45" i="44"/>
  <c r="E45" i="44" s="1"/>
  <c r="L6" i="47"/>
  <c r="J32" i="92" s="1"/>
  <c r="K26" i="92"/>
  <c r="L7" i="44"/>
  <c r="C8" i="43"/>
  <c r="L8" i="38"/>
  <c r="P30" i="3" s="1"/>
  <c r="H26" i="2" s="1"/>
  <c r="K28" i="92"/>
  <c r="L8" i="37"/>
  <c r="K8" i="37" s="1"/>
  <c r="J8" i="37"/>
  <c r="N29" i="3"/>
  <c r="D8" i="36"/>
  <c r="H28" i="3"/>
  <c r="K65" i="92"/>
  <c r="G33" i="92"/>
  <c r="K37" i="92"/>
  <c r="H69" i="92"/>
  <c r="E11" i="73" l="1"/>
  <c r="F58" i="3" s="1"/>
  <c r="G58" i="3"/>
  <c r="E12" i="71"/>
  <c r="F42" i="4" s="1"/>
  <c r="G42" i="4"/>
  <c r="E11" i="76"/>
  <c r="F46" i="4" s="1"/>
  <c r="G46" i="4"/>
  <c r="E12" i="77"/>
  <c r="F47" i="4" s="1"/>
  <c r="G47" i="4"/>
  <c r="J7" i="26"/>
  <c r="I10" i="4" s="1"/>
  <c r="J10" i="4"/>
  <c r="M7" i="29"/>
  <c r="L14" i="4" s="1"/>
  <c r="M14" i="4"/>
  <c r="T62" i="7"/>
  <c r="I5" i="11"/>
  <c r="I9" i="4"/>
  <c r="I5" i="16"/>
  <c r="J7" i="27"/>
  <c r="J11" i="4"/>
  <c r="L12" i="82"/>
  <c r="N66" i="3"/>
  <c r="J11" i="75"/>
  <c r="I11" i="75" s="1"/>
  <c r="H11" i="75" s="1"/>
  <c r="I60" i="3" s="1"/>
  <c r="L60" i="3"/>
  <c r="K60" i="3" s="1"/>
  <c r="J60" i="3" s="1"/>
  <c r="D57" i="18"/>
  <c r="O5" i="18"/>
  <c r="O7" i="18" s="1"/>
  <c r="N7" i="18" s="1"/>
  <c r="I20" i="3"/>
  <c r="I22" i="3"/>
  <c r="I8" i="4"/>
  <c r="J11" i="72"/>
  <c r="K57" i="3" s="1"/>
  <c r="L57" i="3"/>
  <c r="D87" i="5"/>
  <c r="O5" i="5"/>
  <c r="F52" i="5"/>
  <c r="D57" i="5"/>
  <c r="G11" i="56"/>
  <c r="I49" i="3"/>
  <c r="I8" i="37"/>
  <c r="M29" i="3"/>
  <c r="E11" i="60"/>
  <c r="F53" i="3" s="1"/>
  <c r="G53" i="3"/>
  <c r="E11" i="75"/>
  <c r="G60" i="3"/>
  <c r="E11" i="79"/>
  <c r="G49" i="4"/>
  <c r="M7" i="12"/>
  <c r="M13" i="3"/>
  <c r="M7" i="31"/>
  <c r="M16" i="4"/>
  <c r="P62" i="7"/>
  <c r="Q62" i="7"/>
  <c r="R54" i="7"/>
  <c r="I5" i="8"/>
  <c r="I5" i="20"/>
  <c r="J104" i="20"/>
  <c r="I15" i="4"/>
  <c r="I8" i="3"/>
  <c r="J104" i="17"/>
  <c r="D52" i="26"/>
  <c r="O6" i="26"/>
  <c r="E57" i="26"/>
  <c r="Q104" i="28"/>
  <c r="P104" i="28"/>
  <c r="J104" i="33"/>
  <c r="K7" i="33"/>
  <c r="K18" i="4"/>
  <c r="D57" i="31"/>
  <c r="O5" i="31"/>
  <c r="O7" i="31" s="1"/>
  <c r="N16" i="4" s="1"/>
  <c r="K12" i="81"/>
  <c r="M65" i="3"/>
  <c r="J11" i="74"/>
  <c r="L59" i="3"/>
  <c r="L61" i="3" s="1"/>
  <c r="J11" i="78"/>
  <c r="L48" i="4"/>
  <c r="L50" i="4" s="1"/>
  <c r="J11" i="79"/>
  <c r="I11" i="79" s="1"/>
  <c r="H11" i="79" s="1"/>
  <c r="I49" i="4" s="1"/>
  <c r="L49" i="4"/>
  <c r="G11" i="67"/>
  <c r="I38" i="4"/>
  <c r="P40" i="3"/>
  <c r="H33" i="2"/>
  <c r="R21" i="31"/>
  <c r="R54" i="31" s="1"/>
  <c r="I5" i="31"/>
  <c r="D54" i="31"/>
  <c r="D56" i="31" s="1"/>
  <c r="P7" i="31"/>
  <c r="O16" i="4" s="1"/>
  <c r="P7" i="29"/>
  <c r="O14" i="4" s="1"/>
  <c r="E52" i="14"/>
  <c r="R5" i="5"/>
  <c r="G5" i="92" s="1"/>
  <c r="R101" i="5"/>
  <c r="J104" i="12"/>
  <c r="H104" i="95"/>
  <c r="F52" i="95"/>
  <c r="F57" i="95" s="1"/>
  <c r="F22" i="95"/>
  <c r="I5" i="95"/>
  <c r="D54" i="95"/>
  <c r="D56" i="95" s="1"/>
  <c r="J104" i="95"/>
  <c r="P104" i="95"/>
  <c r="I5" i="22"/>
  <c r="D54" i="22"/>
  <c r="O5" i="12"/>
  <c r="D54" i="12"/>
  <c r="D56" i="12" s="1"/>
  <c r="D57" i="12"/>
  <c r="P7" i="12"/>
  <c r="O13" i="3" s="1"/>
  <c r="Q13" i="3"/>
  <c r="G11" i="2" s="1"/>
  <c r="I5" i="5"/>
  <c r="D54" i="5"/>
  <c r="I7" i="62"/>
  <c r="Q5" i="62"/>
  <c r="J43" i="92" s="1"/>
  <c r="J42" i="92" s="1"/>
  <c r="F49" i="4"/>
  <c r="F60" i="3"/>
  <c r="J7" i="51"/>
  <c r="J44" i="3"/>
  <c r="G7" i="54"/>
  <c r="Q5" i="54"/>
  <c r="H46" i="92" s="1"/>
  <c r="H42" i="92" s="1"/>
  <c r="C8" i="35"/>
  <c r="F27" i="3" s="1"/>
  <c r="K54" i="3"/>
  <c r="Q7" i="53"/>
  <c r="P46" i="3" s="1"/>
  <c r="H42" i="2" s="1"/>
  <c r="K45" i="92"/>
  <c r="K69" i="92"/>
  <c r="Q7" i="52"/>
  <c r="P45" i="3" s="1"/>
  <c r="H41" i="2" s="1"/>
  <c r="L8" i="44"/>
  <c r="P25" i="4" s="1"/>
  <c r="J25" i="2" s="1"/>
  <c r="L6" i="35"/>
  <c r="H24" i="92" s="1"/>
  <c r="L8" i="47"/>
  <c r="P28" i="4" s="1"/>
  <c r="J29" i="2" s="1"/>
  <c r="K32" i="92"/>
  <c r="G8" i="37"/>
  <c r="P29" i="3"/>
  <c r="H25" i="2" s="1"/>
  <c r="K25" i="2" s="1"/>
  <c r="E8" i="37"/>
  <c r="C8" i="36"/>
  <c r="F28" i="3" s="1"/>
  <c r="G28" i="3"/>
  <c r="K8" i="35"/>
  <c r="R7" i="31" l="1"/>
  <c r="J104" i="31"/>
  <c r="F11" i="67"/>
  <c r="H38" i="4"/>
  <c r="I11" i="78"/>
  <c r="K48" i="4"/>
  <c r="I11" i="74"/>
  <c r="K59" i="3"/>
  <c r="J12" i="81"/>
  <c r="L65" i="3"/>
  <c r="Q54" i="7"/>
  <c r="P54" i="7" s="1"/>
  <c r="R7" i="7"/>
  <c r="I64" i="7"/>
  <c r="J104" i="7"/>
  <c r="P104" i="7"/>
  <c r="L7" i="31"/>
  <c r="L16" i="4"/>
  <c r="H8" i="37"/>
  <c r="K29" i="3" s="1"/>
  <c r="K35" i="3" s="1"/>
  <c r="L29" i="3"/>
  <c r="F11" i="56"/>
  <c r="H49" i="3"/>
  <c r="D80" i="5"/>
  <c r="E80" i="5" s="1"/>
  <c r="F80" i="5" s="1"/>
  <c r="E87" i="5"/>
  <c r="F87" i="5" s="1"/>
  <c r="K61" i="3"/>
  <c r="M7" i="18"/>
  <c r="L19" i="3" s="1"/>
  <c r="K19" i="3" s="1"/>
  <c r="M19" i="3"/>
  <c r="K12" i="82"/>
  <c r="M66" i="3"/>
  <c r="F8" i="37"/>
  <c r="I29" i="3" s="1"/>
  <c r="I35" i="3" s="1"/>
  <c r="J29" i="3"/>
  <c r="J35" i="3" s="1"/>
  <c r="J54" i="3"/>
  <c r="K49" i="4"/>
  <c r="J49" i="4" s="1"/>
  <c r="J7" i="33"/>
  <c r="J18" i="4"/>
  <c r="D57" i="26"/>
  <c r="O5" i="26"/>
  <c r="D54" i="26"/>
  <c r="Q104" i="7"/>
  <c r="I62" i="7"/>
  <c r="L7" i="12"/>
  <c r="K7" i="12" s="1"/>
  <c r="L13" i="3"/>
  <c r="I11" i="4"/>
  <c r="Q5" i="31"/>
  <c r="J18" i="92" s="1"/>
  <c r="D52" i="14"/>
  <c r="O6" i="14"/>
  <c r="E57" i="14"/>
  <c r="R7" i="5"/>
  <c r="Q7" i="3" s="1"/>
  <c r="G5" i="2" s="1"/>
  <c r="L8" i="35"/>
  <c r="P27" i="3" s="1"/>
  <c r="H23" i="2" s="1"/>
  <c r="H33" i="92"/>
  <c r="I7" i="95"/>
  <c r="Q5" i="95"/>
  <c r="F54" i="95"/>
  <c r="F56" i="95" s="1"/>
  <c r="G57" i="95" s="1"/>
  <c r="Q5" i="22"/>
  <c r="J5" i="92" s="1"/>
  <c r="Q5" i="12"/>
  <c r="H11" i="92" s="1"/>
  <c r="O7" i="12"/>
  <c r="E22" i="5"/>
  <c r="D56" i="5"/>
  <c r="Q5" i="5"/>
  <c r="H5" i="92" s="1"/>
  <c r="Q7" i="62"/>
  <c r="I7" i="51"/>
  <c r="I44" i="3"/>
  <c r="I54" i="3" s="1"/>
  <c r="K46" i="92"/>
  <c r="Q6" i="54"/>
  <c r="Q7" i="54" s="1"/>
  <c r="P47" i="3" s="1"/>
  <c r="H43" i="2" s="1"/>
  <c r="F47" i="3"/>
  <c r="P35" i="3"/>
  <c r="K44" i="92"/>
  <c r="D8" i="37"/>
  <c r="G29" i="3" s="1"/>
  <c r="F29" i="3" s="1"/>
  <c r="F35" i="3" s="1"/>
  <c r="H29" i="3"/>
  <c r="H35" i="3" s="1"/>
  <c r="J8" i="35"/>
  <c r="N27" i="3"/>
  <c r="N35" i="3" s="1"/>
  <c r="K13" i="3" l="1"/>
  <c r="J13" i="3" s="1"/>
  <c r="I13" i="3" s="1"/>
  <c r="I104" i="7"/>
  <c r="O7" i="26"/>
  <c r="S5" i="26"/>
  <c r="R5" i="26" s="1"/>
  <c r="I14" i="92" s="1"/>
  <c r="Q5" i="26"/>
  <c r="I18" i="4"/>
  <c r="J12" i="82"/>
  <c r="L66" i="3"/>
  <c r="Q8" i="3"/>
  <c r="G10" i="2" s="1"/>
  <c r="K50" i="4"/>
  <c r="S5" i="12"/>
  <c r="E11" i="56"/>
  <c r="F49" i="3" s="1"/>
  <c r="G49" i="3"/>
  <c r="K7" i="31"/>
  <c r="K16" i="4"/>
  <c r="I12" i="81"/>
  <c r="K65" i="3"/>
  <c r="H11" i="74"/>
  <c r="J59" i="3"/>
  <c r="J61" i="3" s="1"/>
  <c r="H11" i="78"/>
  <c r="J48" i="4"/>
  <c r="J50" i="4" s="1"/>
  <c r="E11" i="67"/>
  <c r="F38" i="4" s="1"/>
  <c r="G38" i="4"/>
  <c r="H62" i="92"/>
  <c r="T5" i="31"/>
  <c r="S5" i="31"/>
  <c r="U5" i="31"/>
  <c r="V5" i="31"/>
  <c r="H7" i="31"/>
  <c r="H7" i="18"/>
  <c r="D57" i="14"/>
  <c r="O5" i="14"/>
  <c r="D54" i="14"/>
  <c r="D56" i="14" s="1"/>
  <c r="Q7" i="95"/>
  <c r="P13" i="4" s="1"/>
  <c r="J11" i="2" s="1"/>
  <c r="H13" i="4"/>
  <c r="V7" i="95"/>
  <c r="U7" i="95"/>
  <c r="S7" i="95"/>
  <c r="N103" i="95"/>
  <c r="L103" i="95" s="1"/>
  <c r="O102" i="95"/>
  <c r="M102" i="95" s="1"/>
  <c r="N101" i="95"/>
  <c r="L101" i="95" s="1"/>
  <c r="O100" i="95"/>
  <c r="M100" i="95" s="1"/>
  <c r="N99" i="95"/>
  <c r="L99" i="95" s="1"/>
  <c r="O98" i="95"/>
  <c r="M98" i="95" s="1"/>
  <c r="N97" i="95"/>
  <c r="L97" i="95" s="1"/>
  <c r="O96" i="95"/>
  <c r="M96" i="95" s="1"/>
  <c r="N95" i="95"/>
  <c r="L95" i="95" s="1"/>
  <c r="O94" i="95"/>
  <c r="M94" i="95" s="1"/>
  <c r="N93" i="95"/>
  <c r="L93" i="95" s="1"/>
  <c r="O92" i="95"/>
  <c r="M92" i="95" s="1"/>
  <c r="N91" i="95"/>
  <c r="L91" i="95" s="1"/>
  <c r="O90" i="95"/>
  <c r="M90" i="95" s="1"/>
  <c r="N89" i="95"/>
  <c r="L89" i="95" s="1"/>
  <c r="O88" i="95"/>
  <c r="M88" i="95" s="1"/>
  <c r="N87" i="95"/>
  <c r="L87" i="95" s="1"/>
  <c r="O86" i="95"/>
  <c r="M86" i="95" s="1"/>
  <c r="N85" i="95"/>
  <c r="L85" i="95" s="1"/>
  <c r="O84" i="95"/>
  <c r="M84" i="95" s="1"/>
  <c r="N83" i="95"/>
  <c r="L83" i="95" s="1"/>
  <c r="O82" i="95"/>
  <c r="M82" i="95" s="1"/>
  <c r="N81" i="95"/>
  <c r="L81" i="95" s="1"/>
  <c r="N80" i="95"/>
  <c r="L80" i="95" s="1"/>
  <c r="N79" i="95"/>
  <c r="L79" i="95" s="1"/>
  <c r="N78" i="95"/>
  <c r="L78" i="95" s="1"/>
  <c r="N77" i="95"/>
  <c r="L77" i="95" s="1"/>
  <c r="O103" i="95"/>
  <c r="M103" i="95" s="1"/>
  <c r="N102" i="95"/>
  <c r="L102" i="95" s="1"/>
  <c r="O101" i="95"/>
  <c r="M101" i="95" s="1"/>
  <c r="N100" i="95"/>
  <c r="L100" i="95" s="1"/>
  <c r="O99" i="95"/>
  <c r="M99" i="95" s="1"/>
  <c r="N98" i="95"/>
  <c r="L98" i="95" s="1"/>
  <c r="O97" i="95"/>
  <c r="M97" i="95" s="1"/>
  <c r="N96" i="95"/>
  <c r="L96" i="95" s="1"/>
  <c r="O95" i="95"/>
  <c r="M95" i="95" s="1"/>
  <c r="N94" i="95"/>
  <c r="L94" i="95" s="1"/>
  <c r="O93" i="95"/>
  <c r="M93" i="95" s="1"/>
  <c r="N92" i="95"/>
  <c r="L92" i="95" s="1"/>
  <c r="O91" i="95"/>
  <c r="M91" i="95" s="1"/>
  <c r="N90" i="95"/>
  <c r="L90" i="95" s="1"/>
  <c r="O89" i="95"/>
  <c r="M89" i="95" s="1"/>
  <c r="N88" i="95"/>
  <c r="L88" i="95" s="1"/>
  <c r="O87" i="95"/>
  <c r="M87" i="95" s="1"/>
  <c r="N86" i="95"/>
  <c r="L86" i="95" s="1"/>
  <c r="O85" i="95"/>
  <c r="M85" i="95" s="1"/>
  <c r="N84" i="95"/>
  <c r="L84" i="95" s="1"/>
  <c r="O83" i="95"/>
  <c r="M83" i="95" s="1"/>
  <c r="N82" i="95"/>
  <c r="L82" i="95" s="1"/>
  <c r="O81" i="95"/>
  <c r="M81" i="95" s="1"/>
  <c r="O80" i="95"/>
  <c r="M80" i="95" s="1"/>
  <c r="O79" i="95"/>
  <c r="M79" i="95" s="1"/>
  <c r="O78" i="95"/>
  <c r="M78" i="95" s="1"/>
  <c r="O77" i="95"/>
  <c r="M77" i="95" s="1"/>
  <c r="W80" i="95"/>
  <c r="W78" i="95"/>
  <c r="W76" i="95"/>
  <c r="W74" i="95"/>
  <c r="W72" i="95"/>
  <c r="W70" i="95"/>
  <c r="W68" i="95"/>
  <c r="V71" i="95"/>
  <c r="V75" i="95"/>
  <c r="V77" i="95"/>
  <c r="X80" i="95"/>
  <c r="X78" i="95"/>
  <c r="X76" i="95"/>
  <c r="X74" i="95"/>
  <c r="X72" i="95"/>
  <c r="X70" i="95"/>
  <c r="X68" i="95"/>
  <c r="V70" i="95"/>
  <c r="V73" i="95"/>
  <c r="V80" i="95"/>
  <c r="W79" i="95"/>
  <c r="W77" i="95"/>
  <c r="W75" i="95"/>
  <c r="W73" i="95"/>
  <c r="W71" i="95"/>
  <c r="W69" i="95"/>
  <c r="V68" i="95"/>
  <c r="V74" i="95"/>
  <c r="V76" i="95"/>
  <c r="V78" i="95"/>
  <c r="X79" i="95"/>
  <c r="X77" i="95"/>
  <c r="X75" i="95"/>
  <c r="X73" i="95"/>
  <c r="X71" i="95"/>
  <c r="X69" i="95"/>
  <c r="V69" i="95"/>
  <c r="V72" i="95"/>
  <c r="V79" i="95"/>
  <c r="X62" i="95"/>
  <c r="W67" i="95"/>
  <c r="X67" i="95"/>
  <c r="W63" i="95"/>
  <c r="X63" i="95"/>
  <c r="W65" i="95"/>
  <c r="X65" i="95"/>
  <c r="V62" i="95"/>
  <c r="V66" i="95"/>
  <c r="W64" i="95"/>
  <c r="V67" i="95"/>
  <c r="W66" i="95"/>
  <c r="W62" i="95"/>
  <c r="V65" i="95"/>
  <c r="V64" i="95"/>
  <c r="V63" i="95"/>
  <c r="X64" i="95"/>
  <c r="X66" i="95"/>
  <c r="V5" i="95"/>
  <c r="U5" i="95"/>
  <c r="T5" i="95"/>
  <c r="S5" i="95"/>
  <c r="U5" i="22"/>
  <c r="S5" i="22"/>
  <c r="T5" i="22"/>
  <c r="N13" i="3"/>
  <c r="T5" i="12"/>
  <c r="U5" i="12"/>
  <c r="V5" i="12"/>
  <c r="I6" i="5"/>
  <c r="E54" i="5"/>
  <c r="F22" i="5"/>
  <c r="F54" i="5" s="1"/>
  <c r="F56" i="5" s="1"/>
  <c r="U5" i="5"/>
  <c r="S5" i="5"/>
  <c r="T5" i="5"/>
  <c r="V5" i="5"/>
  <c r="D77" i="5"/>
  <c r="K43" i="92"/>
  <c r="P7" i="62"/>
  <c r="O7" i="62" s="1"/>
  <c r="N7" i="62" s="1"/>
  <c r="M7" i="62" s="1"/>
  <c r="P33" i="4"/>
  <c r="H7" i="51"/>
  <c r="H44" i="3"/>
  <c r="H54" i="3" s="1"/>
  <c r="I8" i="35"/>
  <c r="L27" i="3" s="1"/>
  <c r="L35" i="3" s="1"/>
  <c r="M27" i="3"/>
  <c r="M35" i="3" s="1"/>
  <c r="G35" i="3"/>
  <c r="K33" i="2"/>
  <c r="F2" i="2"/>
  <c r="G7" i="18" l="1"/>
  <c r="G19" i="3"/>
  <c r="G7" i="31"/>
  <c r="F16" i="4" s="1"/>
  <c r="G16" i="4"/>
  <c r="U5" i="26"/>
  <c r="J14" i="92"/>
  <c r="V5" i="26"/>
  <c r="T5" i="26"/>
  <c r="N7" i="26"/>
  <c r="N10" i="4"/>
  <c r="G11" i="78"/>
  <c r="I48" i="4"/>
  <c r="I50" i="4" s="1"/>
  <c r="G11" i="74"/>
  <c r="I59" i="3"/>
  <c r="I61" i="3" s="1"/>
  <c r="H12" i="81"/>
  <c r="J65" i="3"/>
  <c r="J7" i="31"/>
  <c r="I16" i="4" s="1"/>
  <c r="J16" i="4"/>
  <c r="I12" i="82"/>
  <c r="H12" i="82" s="1"/>
  <c r="G12" i="82" s="1"/>
  <c r="K66" i="3"/>
  <c r="O33" i="4"/>
  <c r="O43" i="4" s="1"/>
  <c r="J40" i="2"/>
  <c r="J39" i="2" s="1"/>
  <c r="K42" i="92"/>
  <c r="J62" i="92"/>
  <c r="F19" i="3"/>
  <c r="Q18" i="3" s="1"/>
  <c r="O7" i="14"/>
  <c r="Q5" i="14"/>
  <c r="H7" i="92" s="1"/>
  <c r="T7" i="95"/>
  <c r="N104" i="95"/>
  <c r="L104" i="95" s="1"/>
  <c r="O104" i="95"/>
  <c r="M104" i="95" s="1"/>
  <c r="N33" i="4"/>
  <c r="P7" i="22"/>
  <c r="K11" i="92"/>
  <c r="H6" i="5"/>
  <c r="H7" i="5" s="1"/>
  <c r="G7" i="3" s="1"/>
  <c r="F7" i="3" s="1"/>
  <c r="I7" i="5"/>
  <c r="E56" i="5"/>
  <c r="P7" i="5"/>
  <c r="O7" i="5" s="1"/>
  <c r="N7" i="5" s="1"/>
  <c r="M7" i="5" s="1"/>
  <c r="L7" i="5" s="1"/>
  <c r="K5" i="92"/>
  <c r="G33" i="4"/>
  <c r="F33" i="4" s="1"/>
  <c r="F43" i="4" s="1"/>
  <c r="G7" i="51"/>
  <c r="G44" i="3"/>
  <c r="G54" i="3" s="1"/>
  <c r="K45" i="2"/>
  <c r="K47" i="2"/>
  <c r="K50" i="2"/>
  <c r="K48" i="2"/>
  <c r="K46" i="2"/>
  <c r="K49" i="2"/>
  <c r="O7" i="22" l="1"/>
  <c r="O7" i="4"/>
  <c r="J66" i="3"/>
  <c r="I66" i="3" s="1"/>
  <c r="H66" i="3" s="1"/>
  <c r="G66" i="3" s="1"/>
  <c r="F66" i="3" s="1"/>
  <c r="P65" i="3" s="1"/>
  <c r="G12" i="81"/>
  <c r="F12" i="81" s="1"/>
  <c r="I65" i="3"/>
  <c r="F11" i="74"/>
  <c r="H59" i="3"/>
  <c r="H61" i="3" s="1"/>
  <c r="F11" i="78"/>
  <c r="H48" i="4"/>
  <c r="H50" i="4" s="1"/>
  <c r="M7" i="26"/>
  <c r="L10" i="4" s="1"/>
  <c r="M10" i="4"/>
  <c r="G16" i="2"/>
  <c r="N7" i="22"/>
  <c r="N7" i="4"/>
  <c r="P7" i="18"/>
  <c r="O19" i="3" s="1"/>
  <c r="N19" i="3" s="1"/>
  <c r="T5" i="14"/>
  <c r="N15" i="3"/>
  <c r="S5" i="14"/>
  <c r="R5" i="14" s="1"/>
  <c r="Q6" i="5"/>
  <c r="T6" i="5" s="1"/>
  <c r="M33" i="4"/>
  <c r="N43" i="4"/>
  <c r="Q7" i="5"/>
  <c r="H7" i="3"/>
  <c r="U6" i="5"/>
  <c r="O7" i="3"/>
  <c r="F44" i="3"/>
  <c r="F54" i="3" s="1"/>
  <c r="H35" i="2"/>
  <c r="K35" i="2" s="1"/>
  <c r="G35" i="2"/>
  <c r="K26" i="2"/>
  <c r="K43" i="2"/>
  <c r="V6" i="5" l="1"/>
  <c r="G7" i="92"/>
  <c r="M7" i="22"/>
  <c r="M7" i="4"/>
  <c r="G61" i="3"/>
  <c r="H65" i="3"/>
  <c r="E11" i="78"/>
  <c r="F48" i="4" s="1"/>
  <c r="F50" i="4" s="1"/>
  <c r="G48" i="4"/>
  <c r="G50" i="4" s="1"/>
  <c r="E11" i="74"/>
  <c r="F59" i="3" s="1"/>
  <c r="F61" i="3" s="1"/>
  <c r="G59" i="3"/>
  <c r="E12" i="81"/>
  <c r="G65" i="3"/>
  <c r="N65" i="3"/>
  <c r="H68" i="2"/>
  <c r="K68" i="2" s="1"/>
  <c r="K7" i="22"/>
  <c r="J7" i="22" s="1"/>
  <c r="I7" i="4" s="1"/>
  <c r="K7" i="92"/>
  <c r="V5" i="14"/>
  <c r="U5" i="14" s="1"/>
  <c r="N7" i="3"/>
  <c r="S6" i="5"/>
  <c r="L33" i="4"/>
  <c r="M43" i="4"/>
  <c r="T7" i="5"/>
  <c r="S7" i="5"/>
  <c r="V7" i="5"/>
  <c r="U7" i="5"/>
  <c r="P7" i="3"/>
  <c r="H5" i="2" s="1"/>
  <c r="K44" i="2"/>
  <c r="K28" i="2"/>
  <c r="K34" i="2"/>
  <c r="K62" i="92"/>
  <c r="K53" i="2"/>
  <c r="K42" i="2"/>
  <c r="K24" i="2"/>
  <c r="K27" i="2"/>
  <c r="K51" i="2"/>
  <c r="K41" i="2"/>
  <c r="K29" i="2"/>
  <c r="H30" i="2"/>
  <c r="G30" i="2"/>
  <c r="F65" i="3" l="1"/>
  <c r="L7" i="22"/>
  <c r="K7" i="4" s="1"/>
  <c r="L7" i="4"/>
  <c r="J7" i="4"/>
  <c r="M7" i="3"/>
  <c r="K33" i="4"/>
  <c r="L43" i="4"/>
  <c r="L7" i="3" l="1"/>
  <c r="J33" i="4"/>
  <c r="K43" i="4"/>
  <c r="K6" i="43"/>
  <c r="L6" i="43"/>
  <c r="K8" i="43"/>
  <c r="N24" i="4"/>
  <c r="N29" i="4" s="1"/>
  <c r="M24" i="4"/>
  <c r="M29" i="4" s="1"/>
  <c r="L24" i="4"/>
  <c r="L29" i="4" s="1"/>
  <c r="K24" i="4"/>
  <c r="K29" i="4" s="1"/>
  <c r="J24" i="4"/>
  <c r="I24" i="4"/>
  <c r="I29" i="4" s="1"/>
  <c r="H24" i="4"/>
  <c r="H29" i="4" s="1"/>
  <c r="G24" i="4"/>
  <c r="G29" i="4" s="1"/>
  <c r="F24" i="4"/>
  <c r="F29" i="4" s="1"/>
  <c r="D51" i="43"/>
  <c r="E51" i="43" s="1"/>
  <c r="L8" i="43" l="1"/>
  <c r="P24" i="4" s="1"/>
  <c r="J23" i="2" s="1"/>
  <c r="J30" i="2" s="1"/>
  <c r="K30" i="2" s="1"/>
  <c r="J24" i="92"/>
  <c r="K7" i="3"/>
  <c r="I33" i="4"/>
  <c r="J43" i="4"/>
  <c r="J29" i="4"/>
  <c r="P29" i="4" l="1"/>
  <c r="J7" i="3"/>
  <c r="I7" i="3" s="1"/>
  <c r="H33" i="4"/>
  <c r="H43" i="4" s="1"/>
  <c r="I43" i="4"/>
  <c r="J33" i="92"/>
  <c r="K24" i="92"/>
  <c r="K23" i="2"/>
  <c r="G43" i="4" l="1"/>
  <c r="K33" i="92"/>
  <c r="E13" i="47" l="1"/>
  <c r="E15" i="47" s="1"/>
  <c r="E50" i="47" s="1"/>
  <c r="M7" i="47"/>
  <c r="M6" i="47"/>
  <c r="I32" i="92" s="1"/>
  <c r="I33" i="92" l="1"/>
  <c r="M8" i="47"/>
  <c r="Q28" i="4" s="1"/>
  <c r="I29" i="2" s="1"/>
  <c r="Q29" i="4" l="1"/>
  <c r="I30" i="2" l="1"/>
  <c r="N11" i="69" l="1"/>
  <c r="N12" i="69" s="1"/>
  <c r="P40" i="4" s="1"/>
  <c r="J52" i="2" s="1"/>
  <c r="O11" i="69" l="1"/>
  <c r="K52" i="2"/>
  <c r="N10" i="60" l="1"/>
  <c r="N11" i="60" s="1"/>
  <c r="P53" i="3" s="1"/>
  <c r="H54" i="2" s="1"/>
  <c r="O10" i="60" l="1"/>
  <c r="N10" i="72" l="1"/>
  <c r="N11" i="72" s="1"/>
  <c r="P57" i="3" s="1"/>
  <c r="H58" i="2" s="1"/>
  <c r="O10" i="72" l="1"/>
  <c r="N10" i="73"/>
  <c r="N11" i="73"/>
  <c r="P58" i="3" s="1"/>
  <c r="H59" i="2" s="1"/>
  <c r="O10" i="73"/>
  <c r="N11" i="71" l="1"/>
  <c r="N12" i="71" s="1"/>
  <c r="P42" i="4" s="1"/>
  <c r="J54" i="2" s="1"/>
  <c r="O11" i="71"/>
  <c r="P43" i="4" l="1"/>
  <c r="J55" i="2" l="1"/>
  <c r="K54" i="2"/>
  <c r="N10" i="76" l="1"/>
  <c r="N11" i="76" s="1"/>
  <c r="P46" i="4" s="1"/>
  <c r="J58" i="2" s="1"/>
  <c r="O10" i="76" l="1"/>
  <c r="K58" i="2"/>
  <c r="N11" i="77"/>
  <c r="N12" i="77" s="1"/>
  <c r="P47" i="4" s="1"/>
  <c r="J59" i="2" s="1"/>
  <c r="O11" i="77" l="1"/>
  <c r="K59" i="2" l="1"/>
  <c r="N7" i="51" l="1"/>
  <c r="Q7" i="51" s="1"/>
  <c r="P44" i="3" s="1"/>
  <c r="H40" i="2" s="1"/>
  <c r="H39" i="2" s="1"/>
  <c r="H55" i="2" s="1"/>
  <c r="O7" i="51"/>
  <c r="N44" i="3" s="1"/>
  <c r="N54" i="3" s="1"/>
  <c r="P7" i="51"/>
  <c r="O44" i="3"/>
  <c r="O54" i="3" s="1"/>
  <c r="M44" i="3"/>
  <c r="M54" i="3" s="1"/>
  <c r="P54" i="3" l="1"/>
  <c r="K40" i="2" l="1"/>
  <c r="K55" i="2" l="1"/>
  <c r="K39" i="2"/>
  <c r="N10" i="75" l="1"/>
  <c r="N11" i="75" s="1"/>
  <c r="P60" i="3" s="1"/>
  <c r="H61" i="2" s="1"/>
  <c r="K61" i="2" s="1"/>
  <c r="N10" i="79"/>
  <c r="N11" i="79" s="1"/>
  <c r="P49" i="4" s="1"/>
  <c r="J61" i="2" s="1"/>
  <c r="O10" i="79"/>
  <c r="O10" i="75" l="1"/>
  <c r="P7" i="9"/>
  <c r="O10" i="3" s="1"/>
  <c r="F57" i="12" l="1"/>
  <c r="F57" i="14"/>
  <c r="P72" i="22"/>
  <c r="Q72" i="22"/>
  <c r="R5" i="22"/>
  <c r="I5" i="92" s="1"/>
  <c r="U144" i="22"/>
  <c r="H144" i="22" s="1"/>
  <c r="R72" i="22" l="1"/>
  <c r="R7" i="22"/>
  <c r="V5" i="22"/>
  <c r="R6" i="22"/>
  <c r="Q7" i="4" l="1"/>
  <c r="I5" i="2" s="1"/>
  <c r="I144" i="22"/>
  <c r="O144" i="22" l="1"/>
  <c r="M144" i="22" s="1"/>
  <c r="N144" i="22"/>
  <c r="L144" i="22" s="1"/>
  <c r="D23" i="32"/>
  <c r="F17" i="4"/>
  <c r="G17" i="4"/>
  <c r="Q16" i="4"/>
  <c r="I17" i="2" s="1"/>
  <c r="E23" i="32"/>
  <c r="R22" i="32"/>
  <c r="R54" i="32" s="1"/>
  <c r="R5" i="32"/>
  <c r="I19" i="92" s="1"/>
  <c r="P7" i="32"/>
  <c r="O17" i="4" s="1"/>
  <c r="O7" i="32"/>
  <c r="N17" i="4" s="1"/>
  <c r="M17" i="4" l="1"/>
  <c r="J104" i="32"/>
  <c r="R7" i="32"/>
  <c r="Q17" i="4" s="1"/>
  <c r="I18" i="2" s="1"/>
  <c r="F23" i="32"/>
  <c r="L17" i="4" l="1"/>
  <c r="K17" i="4" l="1"/>
  <c r="J17" i="4" l="1"/>
  <c r="I17" i="4" s="1"/>
  <c r="R6" i="32" l="1"/>
  <c r="R7" i="34" l="1"/>
  <c r="Q19" i="4" s="1"/>
  <c r="I14" i="2" s="1"/>
  <c r="P7" i="34"/>
  <c r="O19" i="4" s="1"/>
  <c r="S104" i="34" l="1"/>
  <c r="D52" i="34"/>
  <c r="O5" i="34" s="1"/>
  <c r="T104" i="34"/>
  <c r="E52" i="34" s="1"/>
  <c r="R5" i="34"/>
  <c r="I15" i="92" s="1"/>
  <c r="U62" i="34"/>
  <c r="U63" i="34"/>
  <c r="U104" i="34" s="1"/>
  <c r="U93" i="34"/>
  <c r="U89" i="34"/>
  <c r="U85" i="34"/>
  <c r="U81" i="34"/>
  <c r="U95" i="34"/>
  <c r="U91" i="34"/>
  <c r="U87" i="34"/>
  <c r="U83" i="34"/>
  <c r="U65" i="34"/>
  <c r="U67" i="34"/>
  <c r="U69" i="34"/>
  <c r="U71" i="34"/>
  <c r="U73" i="34"/>
  <c r="U75" i="34"/>
  <c r="U77" i="34"/>
  <c r="U79" i="34"/>
  <c r="U64" i="34"/>
  <c r="U66" i="34"/>
  <c r="U68" i="34"/>
  <c r="U70" i="34"/>
  <c r="U72" i="34"/>
  <c r="U74" i="34"/>
  <c r="U76" i="34"/>
  <c r="U78" i="34"/>
  <c r="U80" i="34"/>
  <c r="U97" i="34"/>
  <c r="U99" i="34"/>
  <c r="U101" i="34"/>
  <c r="R6" i="34"/>
  <c r="N7" i="34"/>
  <c r="M19" i="4" s="1"/>
  <c r="M7" i="34"/>
  <c r="L19" i="4" s="1"/>
  <c r="D57" i="34"/>
  <c r="F52" i="34" l="1"/>
  <c r="F57" i="34" s="1"/>
  <c r="H104" i="34"/>
  <c r="O7" i="34"/>
  <c r="O6" i="34"/>
  <c r="E57" i="34"/>
  <c r="N19" i="4" l="1"/>
  <c r="R7" i="26"/>
  <c r="I74" i="26" s="1"/>
  <c r="P7" i="26"/>
  <c r="O10" i="4" s="1"/>
  <c r="I104" i="26" l="1"/>
  <c r="R6" i="26" l="1"/>
  <c r="F57" i="26" l="1"/>
  <c r="F57" i="5"/>
  <c r="G57" i="5" s="1"/>
  <c r="D88" i="5"/>
  <c r="D81" i="5" s="1"/>
  <c r="E81" i="5" s="1"/>
  <c r="E88" i="5"/>
  <c r="F88" i="5" s="1"/>
  <c r="F89" i="5" s="1"/>
  <c r="E92" i="5"/>
  <c r="F92" i="5" s="1"/>
  <c r="E93" i="5"/>
  <c r="F93" i="5" s="1"/>
  <c r="D89" i="5" l="1"/>
  <c r="F81" i="5"/>
  <c r="E83" i="5"/>
  <c r="F94" i="5"/>
  <c r="E94" i="5"/>
  <c r="D83" i="5"/>
  <c r="E89" i="5"/>
  <c r="F83" i="5" l="1"/>
  <c r="G81" i="5"/>
  <c r="E23" i="18"/>
  <c r="F57" i="18"/>
  <c r="F23" i="18"/>
  <c r="R6" i="18"/>
  <c r="F57" i="22"/>
  <c r="C69" i="22"/>
  <c r="D69" i="22"/>
  <c r="E69" i="22" s="1"/>
  <c r="E71" i="22" s="1"/>
  <c r="C63" i="22"/>
  <c r="C65" i="22" s="1"/>
  <c r="D71" i="22"/>
  <c r="C71" i="22"/>
  <c r="D74" i="22"/>
  <c r="E74" i="22" s="1"/>
  <c r="E17" i="22"/>
  <c r="F17" i="22" s="1"/>
  <c r="E24" i="22"/>
  <c r="E22" i="22" s="1"/>
  <c r="D56" i="22"/>
  <c r="F24" i="22"/>
  <c r="F22" i="22" l="1"/>
  <c r="F54" i="22" s="1"/>
  <c r="F56" i="22" s="1"/>
  <c r="G57" i="22" s="1"/>
  <c r="I6" i="22"/>
  <c r="I7" i="22" s="1"/>
  <c r="H7" i="4" s="1"/>
  <c r="E63" i="22"/>
  <c r="E65" i="22" s="1"/>
  <c r="E76" i="22"/>
  <c r="E54" i="22"/>
  <c r="E56" i="22" s="1"/>
  <c r="H6" i="22"/>
  <c r="D76" i="22"/>
  <c r="D63" i="22"/>
  <c r="D65" i="22" s="1"/>
  <c r="H7" i="22" l="1"/>
  <c r="Q6" i="22"/>
  <c r="T6" i="22"/>
  <c r="Q7" i="22" l="1"/>
  <c r="G7" i="4"/>
  <c r="T7" i="22"/>
  <c r="V6" i="22"/>
  <c r="S6" i="22"/>
  <c r="U6" i="22"/>
  <c r="P7" i="4" l="1"/>
  <c r="U7" i="22"/>
  <c r="V7" i="22"/>
  <c r="S7" i="22"/>
  <c r="F57" i="31"/>
  <c r="J5" i="2" l="1"/>
  <c r="K5" i="2" l="1"/>
  <c r="G7" i="27"/>
  <c r="H7" i="27"/>
  <c r="D24" i="27"/>
  <c r="D22" i="27"/>
  <c r="I5" i="27"/>
  <c r="E23" i="27"/>
  <c r="E24" i="27"/>
  <c r="E22" i="27"/>
  <c r="I6" i="27"/>
  <c r="I7" i="27"/>
  <c r="M7" i="27"/>
  <c r="N7" i="27"/>
  <c r="D52" i="27"/>
  <c r="O5" i="27"/>
  <c r="E52" i="27"/>
  <c r="O6" i="27"/>
  <c r="O7" i="27"/>
  <c r="P7" i="27"/>
  <c r="Q7" i="27"/>
  <c r="P11" i="4"/>
  <c r="J8" i="2"/>
  <c r="G7" i="28"/>
  <c r="H7" i="28"/>
  <c r="E24" i="28"/>
  <c r="E22" i="28"/>
  <c r="I6" i="28"/>
  <c r="I7" i="28"/>
  <c r="K7" i="28"/>
  <c r="E37" i="28"/>
  <c r="L6" i="28"/>
  <c r="L7" i="28"/>
  <c r="M7" i="28"/>
  <c r="N7" i="28"/>
  <c r="S104" i="28"/>
  <c r="D52" i="28"/>
  <c r="O5" i="28"/>
  <c r="T104" i="28"/>
  <c r="E52" i="28"/>
  <c r="O6" i="28"/>
  <c r="O7" i="28"/>
  <c r="P7" i="28"/>
  <c r="Q7" i="28"/>
  <c r="P12" i="4"/>
  <c r="J12" i="2"/>
  <c r="G7" i="26"/>
  <c r="H7" i="26"/>
  <c r="E24" i="26"/>
  <c r="E22" i="26"/>
  <c r="I6" i="26"/>
  <c r="I7" i="26"/>
  <c r="Q7" i="26"/>
  <c r="P10" i="4"/>
  <c r="J13" i="2"/>
  <c r="G7" i="34"/>
  <c r="H7" i="34"/>
  <c r="D24" i="34"/>
  <c r="D22" i="34"/>
  <c r="I5" i="34"/>
  <c r="E23" i="34"/>
  <c r="E24" i="34"/>
  <c r="E22" i="34"/>
  <c r="I6" i="34"/>
  <c r="I7" i="34"/>
  <c r="Q7" i="34"/>
  <c r="P19" i="4"/>
  <c r="J14" i="2"/>
  <c r="J6" i="2"/>
  <c r="G7" i="30"/>
  <c r="H7" i="30"/>
  <c r="D24" i="30"/>
  <c r="D22" i="30"/>
  <c r="I5" i="30"/>
  <c r="E23" i="30"/>
  <c r="E24" i="30"/>
  <c r="E22" i="30"/>
  <c r="I6" i="30"/>
  <c r="I7" i="30"/>
  <c r="M7" i="30"/>
  <c r="N7" i="30"/>
  <c r="S104" i="30"/>
  <c r="D52" i="30"/>
  <c r="O5" i="30"/>
  <c r="T104" i="30"/>
  <c r="E52" i="30"/>
  <c r="O6" i="30"/>
  <c r="O7" i="30"/>
  <c r="P7" i="30"/>
  <c r="Q7" i="30"/>
  <c r="P15" i="4"/>
  <c r="G7" i="29"/>
  <c r="H7" i="29"/>
  <c r="D24" i="29"/>
  <c r="D22" i="29"/>
  <c r="I5" i="29"/>
  <c r="E23" i="29"/>
  <c r="E24" i="29"/>
  <c r="E22" i="29"/>
  <c r="I6" i="29"/>
  <c r="I7" i="29"/>
  <c r="D52" i="29"/>
  <c r="O5" i="29"/>
  <c r="E52" i="29"/>
  <c r="O6" i="29"/>
  <c r="O7" i="29"/>
  <c r="Q7" i="29"/>
  <c r="P14" i="4"/>
  <c r="J15" i="2"/>
  <c r="E24" i="31"/>
  <c r="E22" i="31"/>
  <c r="I6" i="31"/>
  <c r="I7" i="31"/>
  <c r="Q7" i="31"/>
  <c r="P16" i="4"/>
  <c r="J17" i="2"/>
  <c r="D24" i="32"/>
  <c r="D22" i="32"/>
  <c r="I5" i="32"/>
  <c r="E24" i="32"/>
  <c r="E22" i="32"/>
  <c r="I6" i="32"/>
  <c r="I7" i="32"/>
  <c r="Q7" i="32"/>
  <c r="P17" i="4"/>
  <c r="J18" i="2"/>
  <c r="J20" i="2"/>
  <c r="N10" i="78"/>
  <c r="N11" i="78"/>
  <c r="P48" i="4"/>
  <c r="J60" i="2"/>
  <c r="J62" i="2"/>
  <c r="J64" i="2"/>
  <c r="G7" i="24"/>
  <c r="H7" i="24"/>
  <c r="D24" i="24"/>
  <c r="D22" i="24"/>
  <c r="I5" i="24"/>
  <c r="E23" i="24"/>
  <c r="E24" i="24"/>
  <c r="E22" i="24"/>
  <c r="I6" i="24"/>
  <c r="I7" i="24"/>
  <c r="M7" i="24"/>
  <c r="N7" i="24"/>
  <c r="S104" i="24"/>
  <c r="D52" i="24"/>
  <c r="O5" i="24"/>
  <c r="T104" i="24"/>
  <c r="E52" i="24"/>
  <c r="O6" i="24"/>
  <c r="O7" i="24"/>
  <c r="P7" i="24"/>
  <c r="Q7" i="24"/>
  <c r="P8" i="4"/>
  <c r="G7" i="25"/>
  <c r="H7" i="25"/>
  <c r="D24" i="25"/>
  <c r="D22" i="25"/>
  <c r="I5" i="25"/>
  <c r="E23" i="25"/>
  <c r="E24" i="25"/>
  <c r="E22" i="25"/>
  <c r="I6" i="25"/>
  <c r="I7" i="25"/>
  <c r="M7" i="25"/>
  <c r="N7" i="25"/>
  <c r="S104" i="25"/>
  <c r="D52" i="25"/>
  <c r="O5" i="25"/>
  <c r="T104" i="25"/>
  <c r="E52" i="25"/>
  <c r="O6" i="25"/>
  <c r="O7" i="25"/>
  <c r="P7" i="25"/>
  <c r="Q7" i="25"/>
  <c r="P9" i="4"/>
  <c r="G7" i="33"/>
  <c r="H7" i="33"/>
  <c r="D24" i="33"/>
  <c r="D22" i="33"/>
  <c r="I5" i="33"/>
  <c r="E23" i="33"/>
  <c r="E24" i="33"/>
  <c r="E22" i="33"/>
  <c r="I6" i="33"/>
  <c r="I7" i="33"/>
  <c r="M7" i="33"/>
  <c r="N7" i="33"/>
  <c r="S104" i="33"/>
  <c r="D52" i="33"/>
  <c r="O5" i="33"/>
  <c r="T104" i="33"/>
  <c r="E52" i="33"/>
  <c r="O6" i="33"/>
  <c r="O7" i="33"/>
  <c r="P7" i="33"/>
  <c r="Q7" i="33"/>
  <c r="P18" i="4"/>
  <c r="P20" i="4"/>
  <c r="P50" i="4"/>
  <c r="P52" i="4"/>
  <c r="G8" i="4"/>
  <c r="G9" i="4"/>
  <c r="G10" i="4"/>
  <c r="G11" i="4"/>
  <c r="G12" i="4"/>
  <c r="G14" i="4"/>
  <c r="G15" i="4"/>
  <c r="G18" i="4"/>
  <c r="G19" i="4"/>
  <c r="G20" i="4"/>
  <c r="G52" i="4"/>
  <c r="U72" i="29"/>
  <c r="U73" i="29"/>
  <c r="U74" i="29"/>
  <c r="U75" i="29"/>
  <c r="U76" i="29"/>
  <c r="U77" i="29"/>
  <c r="U78" i="29"/>
  <c r="U79" i="29"/>
  <c r="U80" i="29"/>
  <c r="U81" i="29"/>
  <c r="U83" i="29"/>
  <c r="U85" i="29"/>
  <c r="U87" i="29"/>
  <c r="U89" i="29"/>
  <c r="U91" i="29"/>
  <c r="U93" i="29"/>
  <c r="U95" i="29"/>
  <c r="U97" i="29"/>
  <c r="U99" i="29"/>
  <c r="U101" i="29"/>
  <c r="U104" i="29"/>
  <c r="F52" i="29"/>
  <c r="F57" i="29"/>
  <c r="F22" i="29"/>
  <c r="F54" i="29"/>
  <c r="F56" i="29"/>
  <c r="G57" i="29"/>
  <c r="J75" i="2"/>
  <c r="G7" i="14"/>
  <c r="H7" i="14"/>
  <c r="E24" i="14"/>
  <c r="E22" i="14"/>
  <c r="I6" i="14"/>
  <c r="I7" i="14"/>
  <c r="J7" i="14"/>
  <c r="K7" i="14"/>
  <c r="E37" i="14"/>
  <c r="L6" i="14"/>
  <c r="L7" i="14"/>
  <c r="Q7" i="14"/>
  <c r="P15" i="3"/>
  <c r="H7" i="2"/>
  <c r="G7" i="10"/>
  <c r="H7" i="10"/>
  <c r="D24" i="10"/>
  <c r="D22" i="10"/>
  <c r="I5" i="10"/>
  <c r="E23" i="10"/>
  <c r="E24" i="10"/>
  <c r="E22" i="10"/>
  <c r="I6" i="10"/>
  <c r="I7" i="10"/>
  <c r="J7" i="10"/>
  <c r="K7" i="10"/>
  <c r="L7" i="10"/>
  <c r="M7" i="10"/>
  <c r="N7" i="10"/>
  <c r="D52" i="10"/>
  <c r="O5" i="10"/>
  <c r="E52" i="10"/>
  <c r="O6" i="10"/>
  <c r="O7" i="10"/>
  <c r="P7" i="10"/>
  <c r="Q7" i="10"/>
  <c r="P11" i="3"/>
  <c r="H8" i="2"/>
  <c r="G7" i="8"/>
  <c r="H7" i="8"/>
  <c r="E24" i="8"/>
  <c r="E22" i="8"/>
  <c r="I6" i="8"/>
  <c r="I7" i="8"/>
  <c r="J7" i="8"/>
  <c r="K7" i="8"/>
  <c r="L7" i="8"/>
  <c r="M7" i="8"/>
  <c r="N7" i="8"/>
  <c r="S104" i="8"/>
  <c r="D52" i="8"/>
  <c r="O5" i="8"/>
  <c r="T104" i="8"/>
  <c r="E52" i="8"/>
  <c r="O6" i="8"/>
  <c r="O7" i="8"/>
  <c r="P7" i="8"/>
  <c r="Q7" i="8"/>
  <c r="P9" i="3"/>
  <c r="H9" i="2"/>
  <c r="G7" i="7"/>
  <c r="H7" i="7"/>
  <c r="D24" i="7"/>
  <c r="D22" i="7"/>
  <c r="I5" i="7"/>
  <c r="E23" i="7"/>
  <c r="E24" i="7"/>
  <c r="E22" i="7"/>
  <c r="I6" i="7"/>
  <c r="I7" i="7"/>
  <c r="M7" i="7"/>
  <c r="N7" i="7"/>
  <c r="S104" i="7"/>
  <c r="D52" i="7"/>
  <c r="O5" i="7"/>
  <c r="T104" i="7"/>
  <c r="E52" i="7"/>
  <c r="O6" i="7"/>
  <c r="O7" i="7"/>
  <c r="P7" i="7"/>
  <c r="Q7" i="7"/>
  <c r="P8" i="3"/>
  <c r="H10" i="2"/>
  <c r="H7" i="12"/>
  <c r="E24" i="12"/>
  <c r="E22" i="12"/>
  <c r="I6" i="12"/>
  <c r="I7" i="12"/>
  <c r="Q7" i="12"/>
  <c r="P13" i="3"/>
  <c r="H11" i="2"/>
  <c r="G7" i="13"/>
  <c r="H7" i="13"/>
  <c r="E24" i="13"/>
  <c r="E22" i="13"/>
  <c r="I6" i="13"/>
  <c r="I7" i="13"/>
  <c r="K7" i="13"/>
  <c r="E37" i="13"/>
  <c r="L6" i="13"/>
  <c r="L7" i="13"/>
  <c r="M7" i="13"/>
  <c r="N7" i="13"/>
  <c r="S104" i="13"/>
  <c r="D52" i="13"/>
  <c r="O5" i="13"/>
  <c r="T104" i="13"/>
  <c r="E52" i="13"/>
  <c r="O6" i="13"/>
  <c r="O7" i="13"/>
  <c r="P7" i="13"/>
  <c r="Q7" i="13"/>
  <c r="P14" i="3"/>
  <c r="H12" i="2"/>
  <c r="G7" i="9"/>
  <c r="H7" i="9"/>
  <c r="D24" i="9"/>
  <c r="D22" i="9"/>
  <c r="I5" i="9"/>
  <c r="E23" i="9"/>
  <c r="E24" i="9"/>
  <c r="E22" i="9"/>
  <c r="I6" i="9"/>
  <c r="I7" i="9"/>
  <c r="M7" i="9"/>
  <c r="N7" i="9"/>
  <c r="D52" i="9"/>
  <c r="O5" i="9"/>
  <c r="E52" i="9"/>
  <c r="O6" i="9"/>
  <c r="O7" i="9"/>
  <c r="Q7" i="9"/>
  <c r="P10" i="3"/>
  <c r="H13" i="2"/>
  <c r="G7" i="21"/>
  <c r="H7" i="21"/>
  <c r="D24" i="21"/>
  <c r="D22" i="21"/>
  <c r="I5" i="21"/>
  <c r="E23" i="21"/>
  <c r="E24" i="21"/>
  <c r="E22" i="21"/>
  <c r="I6" i="21"/>
  <c r="I7" i="21"/>
  <c r="M7" i="21"/>
  <c r="N7" i="21"/>
  <c r="S104" i="21"/>
  <c r="D52" i="21"/>
  <c r="O5" i="21"/>
  <c r="T104" i="21"/>
  <c r="E52" i="21"/>
  <c r="O6" i="21"/>
  <c r="O7" i="21"/>
  <c r="P7" i="21"/>
  <c r="Q7" i="21"/>
  <c r="P22" i="3"/>
  <c r="H14" i="2"/>
  <c r="H6" i="2"/>
  <c r="D24" i="15"/>
  <c r="D22" i="15"/>
  <c r="I5" i="15"/>
  <c r="E23" i="15"/>
  <c r="E24" i="15"/>
  <c r="E22" i="15"/>
  <c r="I6" i="15"/>
  <c r="I7" i="15"/>
  <c r="P7" i="15"/>
  <c r="Q7" i="15"/>
  <c r="P16" i="3"/>
  <c r="G7" i="16"/>
  <c r="H7" i="16"/>
  <c r="E24" i="16"/>
  <c r="E22" i="16"/>
  <c r="I6" i="16"/>
  <c r="I7" i="16"/>
  <c r="J7" i="16"/>
  <c r="K7" i="16"/>
  <c r="L7" i="16"/>
  <c r="M7" i="16"/>
  <c r="N7" i="16"/>
  <c r="S104" i="16"/>
  <c r="D52" i="16"/>
  <c r="O5" i="16"/>
  <c r="T104" i="16"/>
  <c r="E52" i="16"/>
  <c r="O6" i="16"/>
  <c r="O7" i="16"/>
  <c r="P7" i="16"/>
  <c r="Q7" i="16"/>
  <c r="P17" i="3"/>
  <c r="H15" i="2"/>
  <c r="G7" i="17"/>
  <c r="H7" i="17"/>
  <c r="D24" i="17"/>
  <c r="D22" i="17"/>
  <c r="I5" i="17"/>
  <c r="E23" i="17"/>
  <c r="E24" i="17"/>
  <c r="E22" i="17"/>
  <c r="I6" i="17"/>
  <c r="I7" i="17"/>
  <c r="M7" i="17"/>
  <c r="N7" i="17"/>
  <c r="S104" i="17"/>
  <c r="D52" i="17"/>
  <c r="O5" i="17"/>
  <c r="T104" i="17"/>
  <c r="E52" i="17"/>
  <c r="O6" i="17"/>
  <c r="O7" i="17"/>
  <c r="P7" i="17"/>
  <c r="Q7" i="17"/>
  <c r="P18" i="3"/>
  <c r="H16" i="2"/>
  <c r="D24" i="18"/>
  <c r="D22" i="18"/>
  <c r="I5" i="18"/>
  <c r="E24" i="18"/>
  <c r="E22" i="18"/>
  <c r="I6" i="18"/>
  <c r="I7" i="18"/>
  <c r="Q7" i="18"/>
  <c r="P19" i="3"/>
  <c r="H17" i="2"/>
  <c r="D24" i="19"/>
  <c r="D22" i="19"/>
  <c r="I5" i="19"/>
  <c r="E23" i="19"/>
  <c r="E24" i="19"/>
  <c r="E22" i="19"/>
  <c r="I6" i="19"/>
  <c r="I7" i="19"/>
  <c r="M7" i="19"/>
  <c r="N7" i="19"/>
  <c r="S104" i="19"/>
  <c r="D52" i="19"/>
  <c r="O5" i="19"/>
  <c r="T104" i="19"/>
  <c r="E52" i="19"/>
  <c r="O6" i="19"/>
  <c r="O7" i="19"/>
  <c r="P7" i="19"/>
  <c r="Q7" i="19"/>
  <c r="P20" i="3"/>
  <c r="H18" i="2"/>
  <c r="G7" i="20"/>
  <c r="H7" i="20"/>
  <c r="E24" i="20"/>
  <c r="E22" i="20"/>
  <c r="I6" i="20"/>
  <c r="I7" i="20"/>
  <c r="J7" i="20"/>
  <c r="K7" i="20"/>
  <c r="L7" i="20"/>
  <c r="M7" i="20"/>
  <c r="N7" i="20"/>
  <c r="S104" i="20"/>
  <c r="D52" i="20"/>
  <c r="O5" i="20"/>
  <c r="T104" i="20"/>
  <c r="E52" i="20"/>
  <c r="O6" i="20"/>
  <c r="O7" i="20"/>
  <c r="P7" i="20"/>
  <c r="Q7" i="20"/>
  <c r="P21" i="3"/>
  <c r="H19" i="2"/>
  <c r="H20" i="2"/>
  <c r="N10" i="74"/>
  <c r="N11" i="74"/>
  <c r="P59" i="3"/>
  <c r="H60" i="2"/>
  <c r="H62" i="2"/>
  <c r="H64" i="2"/>
  <c r="N10" i="80"/>
  <c r="N12" i="80"/>
  <c r="P64" i="3"/>
  <c r="H67" i="2"/>
  <c r="P66" i="3"/>
  <c r="H69" i="2"/>
  <c r="N11" i="83"/>
  <c r="N12" i="83"/>
  <c r="P67" i="3"/>
  <c r="H70" i="2"/>
  <c r="H71" i="2"/>
  <c r="H75" i="2"/>
  <c r="K75" i="2"/>
  <c r="J83" i="2"/>
  <c r="K64" i="2"/>
  <c r="K20" i="2"/>
  <c r="H8" i="4"/>
  <c r="H9" i="4"/>
  <c r="H10" i="4"/>
  <c r="H11" i="4"/>
  <c r="H12" i="4"/>
  <c r="H14" i="4"/>
  <c r="H15" i="4"/>
  <c r="H16" i="4"/>
  <c r="H17" i="4"/>
  <c r="H18" i="4"/>
  <c r="H19" i="4"/>
  <c r="H20" i="4"/>
  <c r="H52" i="4"/>
  <c r="G7" i="11"/>
  <c r="H7" i="11"/>
  <c r="E24" i="11"/>
  <c r="E22" i="11"/>
  <c r="I6" i="11"/>
  <c r="I7" i="11"/>
  <c r="J7" i="11"/>
  <c r="K7" i="11"/>
  <c r="L7" i="11"/>
  <c r="M7" i="11"/>
  <c r="N7" i="11"/>
  <c r="S104" i="11"/>
  <c r="D52" i="11"/>
  <c r="O5" i="11"/>
  <c r="T104" i="11"/>
  <c r="E52" i="11"/>
  <c r="O6" i="11"/>
  <c r="O7" i="11"/>
  <c r="P7" i="11"/>
  <c r="Q7" i="11"/>
  <c r="P12" i="3"/>
  <c r="P23" i="3"/>
  <c r="P61" i="3"/>
  <c r="P68" i="3"/>
  <c r="P70" i="3"/>
  <c r="F22" i="18"/>
  <c r="F54" i="18"/>
  <c r="F56" i="18"/>
  <c r="O101" i="18"/>
  <c r="M101" i="18"/>
  <c r="O99" i="18"/>
  <c r="M99" i="18"/>
  <c r="Q6" i="18"/>
  <c r="V6" i="18"/>
  <c r="T6" i="18"/>
  <c r="U6" i="18"/>
  <c r="S6" i="18"/>
  <c r="N103" i="18"/>
  <c r="L103" i="18"/>
  <c r="N101" i="18"/>
  <c r="L101" i="18"/>
  <c r="N99" i="18"/>
  <c r="L99" i="18"/>
  <c r="O102" i="18"/>
  <c r="M102" i="18"/>
  <c r="O100" i="18"/>
  <c r="M100" i="18"/>
  <c r="E54" i="18"/>
  <c r="E56" i="18"/>
  <c r="O98" i="18"/>
  <c r="O103" i="18"/>
  <c r="O104" i="18"/>
  <c r="M104" i="18"/>
  <c r="N98" i="18"/>
  <c r="N100" i="18"/>
  <c r="N102" i="18"/>
  <c r="N104" i="18"/>
  <c r="L104" i="18"/>
  <c r="H8" i="3"/>
  <c r="H9" i="3"/>
  <c r="H10" i="3"/>
  <c r="H11" i="3"/>
  <c r="H12" i="3"/>
  <c r="H13" i="3"/>
  <c r="H14" i="3"/>
  <c r="H15" i="3"/>
  <c r="H16" i="3"/>
  <c r="H17" i="3"/>
  <c r="H18" i="3"/>
  <c r="H19" i="3"/>
  <c r="H20" i="3"/>
  <c r="H21" i="3"/>
  <c r="H22" i="3"/>
  <c r="H23" i="3"/>
  <c r="G12" i="80"/>
  <c r="H64" i="3"/>
  <c r="G12" i="83"/>
  <c r="H67" i="3"/>
  <c r="H68" i="3"/>
  <c r="H70" i="3"/>
  <c r="M103" i="18"/>
  <c r="L102" i="18"/>
  <c r="L100" i="18"/>
  <c r="D54" i="18"/>
  <c r="D56" i="18"/>
  <c r="M98" i="18"/>
  <c r="S7" i="18"/>
  <c r="U7" i="18"/>
  <c r="K17" i="2"/>
  <c r="T7" i="18"/>
  <c r="V7" i="18"/>
  <c r="L98" i="18"/>
  <c r="V79" i="18"/>
  <c r="X73" i="18"/>
  <c r="V68" i="18"/>
  <c r="X62" i="18"/>
  <c r="X76" i="18"/>
  <c r="W68" i="18"/>
  <c r="G57" i="18"/>
  <c r="X72" i="18"/>
  <c r="W80" i="18"/>
  <c r="X77" i="18"/>
  <c r="V75" i="18"/>
  <c r="V72" i="18"/>
  <c r="W69" i="18"/>
  <c r="X66" i="18"/>
  <c r="V64" i="18"/>
  <c r="X80" i="18"/>
  <c r="V78" i="18"/>
  <c r="W75" i="18"/>
  <c r="W72" i="18"/>
  <c r="X69" i="18"/>
  <c r="V67" i="18"/>
  <c r="W64" i="18"/>
  <c r="X79" i="18"/>
  <c r="V77" i="18"/>
  <c r="W74" i="18"/>
  <c r="V73" i="18"/>
  <c r="V70" i="18"/>
  <c r="W67" i="18"/>
  <c r="X64" i="18"/>
  <c r="V62" i="18"/>
  <c r="X78" i="18"/>
  <c r="V76" i="18"/>
  <c r="W73" i="18"/>
  <c r="W70" i="18"/>
  <c r="X67" i="18"/>
  <c r="V65" i="18"/>
  <c r="W62" i="18"/>
  <c r="W76" i="18"/>
  <c r="X70" i="18"/>
  <c r="W65" i="18"/>
  <c r="W79" i="18"/>
  <c r="V74" i="18"/>
  <c r="V71" i="18"/>
  <c r="X65" i="18"/>
  <c r="V63" i="18"/>
  <c r="W78" i="18"/>
  <c r="X75" i="18"/>
  <c r="W71" i="18"/>
  <c r="X68" i="18"/>
  <c r="V66" i="18"/>
  <c r="W63" i="18"/>
  <c r="V80" i="18"/>
  <c r="W77" i="18"/>
  <c r="X74" i="18"/>
  <c r="X71" i="18"/>
  <c r="V69" i="18"/>
  <c r="W66" i="18"/>
  <c r="X63" i="18"/>
  <c r="G8" i="3"/>
  <c r="G9" i="3"/>
  <c r="G10" i="3"/>
  <c r="G11" i="3"/>
  <c r="G12" i="3"/>
  <c r="G13" i="3"/>
  <c r="G14" i="3"/>
  <c r="G15" i="3"/>
  <c r="G16" i="3"/>
  <c r="G17" i="3"/>
  <c r="G18" i="3"/>
  <c r="G20" i="3"/>
  <c r="G21" i="3"/>
  <c r="G22" i="3"/>
  <c r="G23" i="3"/>
  <c r="F12" i="80"/>
  <c r="G64" i="3"/>
  <c r="F12" i="83"/>
  <c r="G67" i="3"/>
  <c r="G68" i="3"/>
  <c r="G70" i="3"/>
  <c r="Q6" i="26"/>
  <c r="V6" i="26"/>
  <c r="S6" i="26"/>
  <c r="T6" i="26"/>
  <c r="U6" i="26"/>
  <c r="K6" i="2"/>
  <c r="K13" i="2"/>
  <c r="N8" i="4"/>
  <c r="N9" i="4"/>
  <c r="N11" i="4"/>
  <c r="N12" i="4"/>
  <c r="N14" i="4"/>
  <c r="N15" i="4"/>
  <c r="N18" i="4"/>
  <c r="N20" i="4"/>
  <c r="N52" i="4"/>
  <c r="U7" i="26"/>
  <c r="S7" i="26"/>
  <c r="V7" i="26"/>
  <c r="Q5" i="27"/>
  <c r="J8" i="92"/>
  <c r="Q5" i="28"/>
  <c r="J13" i="92"/>
  <c r="Q5" i="34"/>
  <c r="J15" i="92"/>
  <c r="J6" i="92"/>
  <c r="Q5" i="29"/>
  <c r="Q5" i="30"/>
  <c r="J16" i="92"/>
  <c r="Q5" i="32"/>
  <c r="J19" i="92"/>
  <c r="Q5" i="33"/>
  <c r="J20" i="92"/>
  <c r="J21" i="92"/>
  <c r="J71" i="92"/>
  <c r="J82" i="92"/>
  <c r="Q5" i="10"/>
  <c r="H8" i="92"/>
  <c r="Q5" i="8"/>
  <c r="H9" i="92"/>
  <c r="Q5" i="7"/>
  <c r="H10" i="92"/>
  <c r="Q5" i="13"/>
  <c r="H13" i="92"/>
  <c r="Q5" i="9"/>
  <c r="H14" i="92"/>
  <c r="Q5" i="21"/>
  <c r="H15" i="92"/>
  <c r="H6" i="92"/>
  <c r="Q5" i="15"/>
  <c r="Q5" i="16"/>
  <c r="H16" i="92"/>
  <c r="Q5" i="17"/>
  <c r="H17" i="92"/>
  <c r="Q5" i="18"/>
  <c r="H18" i="92"/>
  <c r="Q5" i="19"/>
  <c r="H19" i="92"/>
  <c r="Q5" i="20"/>
  <c r="H20" i="92"/>
  <c r="H21" i="92"/>
  <c r="H71" i="92"/>
  <c r="H74" i="92"/>
  <c r="H78" i="92"/>
  <c r="H82" i="92"/>
  <c r="K82" i="92"/>
  <c r="J87" i="92"/>
  <c r="J91" i="92"/>
  <c r="K15" i="92"/>
  <c r="F22" i="34"/>
  <c r="F54" i="34"/>
  <c r="F56" i="34"/>
  <c r="N91" i="34"/>
  <c r="L91" i="34"/>
  <c r="N87" i="34"/>
  <c r="L87" i="34"/>
  <c r="N83" i="34"/>
  <c r="L83" i="34"/>
  <c r="N80" i="34"/>
  <c r="L80" i="34"/>
  <c r="N78" i="34"/>
  <c r="L78" i="34"/>
  <c r="N76" i="34"/>
  <c r="L76" i="34"/>
  <c r="N74" i="34"/>
  <c r="L74" i="34"/>
  <c r="N73" i="34"/>
  <c r="L73" i="34"/>
  <c r="N70" i="34"/>
  <c r="L70" i="34"/>
  <c r="N100" i="34"/>
  <c r="L100" i="34"/>
  <c r="O98" i="34"/>
  <c r="M98" i="34"/>
  <c r="Q6" i="34"/>
  <c r="O91" i="34"/>
  <c r="M91" i="34"/>
  <c r="O89" i="34"/>
  <c r="M89" i="34"/>
  <c r="O87" i="34"/>
  <c r="M87" i="34"/>
  <c r="O85" i="34"/>
  <c r="M85" i="34"/>
  <c r="O83" i="34"/>
  <c r="M83" i="34"/>
  <c r="O81" i="34"/>
  <c r="M81" i="34"/>
  <c r="O80" i="34"/>
  <c r="M80" i="34"/>
  <c r="O79" i="34"/>
  <c r="M79" i="34"/>
  <c r="O78" i="34"/>
  <c r="M78" i="34"/>
  <c r="O77" i="34"/>
  <c r="M77" i="34"/>
  <c r="O76" i="34"/>
  <c r="M76" i="34"/>
  <c r="O75" i="34"/>
  <c r="M75" i="34"/>
  <c r="O74" i="34"/>
  <c r="M74" i="34"/>
  <c r="O73" i="34"/>
  <c r="M73" i="34"/>
  <c r="O72" i="34"/>
  <c r="M72" i="34"/>
  <c r="O71" i="34"/>
  <c r="M71" i="34"/>
  <c r="O70" i="34"/>
  <c r="M70" i="34"/>
  <c r="O69" i="34"/>
  <c r="M69" i="34"/>
  <c r="N102" i="34"/>
  <c r="L102" i="34"/>
  <c r="O100" i="34"/>
  <c r="M100" i="34"/>
  <c r="N98" i="34"/>
  <c r="L98" i="34"/>
  <c r="O96" i="34"/>
  <c r="M96" i="34"/>
  <c r="O88" i="34"/>
  <c r="M88" i="34"/>
  <c r="O67" i="34"/>
  <c r="M67" i="34"/>
  <c r="D54" i="34"/>
  <c r="D56" i="34"/>
  <c r="E54" i="34"/>
  <c r="E56" i="34"/>
  <c r="N97" i="34"/>
  <c r="L97" i="34"/>
  <c r="O64" i="34"/>
  <c r="O65" i="34"/>
  <c r="O66" i="34"/>
  <c r="O68" i="34"/>
  <c r="O82" i="34"/>
  <c r="O84" i="34"/>
  <c r="O86" i="34"/>
  <c r="O90" i="34"/>
  <c r="O92" i="34"/>
  <c r="O93" i="34"/>
  <c r="O94" i="34"/>
  <c r="O95" i="34"/>
  <c r="O97" i="34"/>
  <c r="O99" i="34"/>
  <c r="O101" i="34"/>
  <c r="O102" i="34"/>
  <c r="O103" i="34"/>
  <c r="O104" i="34"/>
  <c r="M104" i="34"/>
  <c r="N66" i="34"/>
  <c r="L66" i="34"/>
  <c r="M68" i="34"/>
  <c r="N99" i="34"/>
  <c r="L99" i="34"/>
  <c r="M103" i="34"/>
  <c r="N93" i="34"/>
  <c r="L93" i="34"/>
  <c r="N67" i="34"/>
  <c r="L67" i="34"/>
  <c r="M95" i="34"/>
  <c r="N101" i="34"/>
  <c r="L101" i="34"/>
  <c r="N82" i="34"/>
  <c r="L82" i="34"/>
  <c r="N86" i="34"/>
  <c r="L86" i="34"/>
  <c r="N90" i="34"/>
  <c r="L90" i="34"/>
  <c r="N94" i="34"/>
  <c r="L94" i="34"/>
  <c r="N64" i="34"/>
  <c r="L64" i="34"/>
  <c r="N65" i="34"/>
  <c r="N68" i="34"/>
  <c r="N69" i="34"/>
  <c r="N71" i="34"/>
  <c r="N72" i="34"/>
  <c r="N75" i="34"/>
  <c r="N77" i="34"/>
  <c r="N79" i="34"/>
  <c r="N81" i="34"/>
  <c r="N84" i="34"/>
  <c r="N85" i="34"/>
  <c r="N88" i="34"/>
  <c r="N89" i="34"/>
  <c r="N92" i="34"/>
  <c r="N95" i="34"/>
  <c r="N96" i="34"/>
  <c r="N103" i="34"/>
  <c r="N104" i="34"/>
  <c r="R7" i="27"/>
  <c r="Q11" i="4"/>
  <c r="I8" i="2"/>
  <c r="R7" i="28"/>
  <c r="Q12" i="4"/>
  <c r="I12" i="2"/>
  <c r="Q10" i="4"/>
  <c r="I13" i="2"/>
  <c r="I6" i="2"/>
  <c r="R7" i="30"/>
  <c r="Q15" i="4"/>
  <c r="I15" i="2"/>
  <c r="I20" i="2"/>
  <c r="I64" i="2"/>
  <c r="I75" i="2"/>
  <c r="S6" i="34"/>
  <c r="T6" i="34"/>
  <c r="V6" i="34"/>
  <c r="U6" i="34"/>
  <c r="L89" i="34"/>
  <c r="L85" i="34"/>
  <c r="L81" i="34"/>
  <c r="L79" i="34"/>
  <c r="L77" i="34"/>
  <c r="L75" i="34"/>
  <c r="L72" i="34"/>
  <c r="L71" i="34"/>
  <c r="L69" i="34"/>
  <c r="M102" i="34"/>
  <c r="M92" i="34"/>
  <c r="M84" i="34"/>
  <c r="M101" i="34"/>
  <c r="M65" i="34"/>
  <c r="M97" i="34"/>
  <c r="M64" i="34"/>
  <c r="M66" i="34"/>
  <c r="L68" i="34"/>
  <c r="M99" i="34"/>
  <c r="L103" i="34"/>
  <c r="L84" i="34"/>
  <c r="L88" i="34"/>
  <c r="L92" i="34"/>
  <c r="L96" i="34"/>
  <c r="M93" i="34"/>
  <c r="L65" i="34"/>
  <c r="L95" i="34"/>
  <c r="M82" i="34"/>
  <c r="M86" i="34"/>
  <c r="M90" i="34"/>
  <c r="M94" i="34"/>
  <c r="L104" i="34"/>
  <c r="G57" i="34"/>
  <c r="W64" i="34"/>
  <c r="V71" i="34"/>
  <c r="V79" i="34"/>
  <c r="V66" i="34"/>
  <c r="V74" i="34"/>
  <c r="X64" i="34"/>
  <c r="X74" i="34"/>
  <c r="V67" i="34"/>
  <c r="W72" i="34"/>
  <c r="W76" i="34"/>
  <c r="W80" i="34"/>
  <c r="X78" i="34"/>
  <c r="W67" i="34"/>
  <c r="W71" i="34"/>
  <c r="W75" i="34"/>
  <c r="W79" i="34"/>
  <c r="X72" i="34"/>
  <c r="X67" i="34"/>
  <c r="X75" i="34"/>
  <c r="W66" i="34"/>
  <c r="W74" i="34"/>
  <c r="W68" i="34"/>
  <c r="X66" i="34"/>
  <c r="V75" i="34"/>
  <c r="X70" i="34"/>
  <c r="V70" i="34"/>
  <c r="V78" i="34"/>
  <c r="X80" i="34"/>
  <c r="X71" i="34"/>
  <c r="X79" i="34"/>
  <c r="W70" i="34"/>
  <c r="W78" i="34"/>
  <c r="X76" i="34"/>
  <c r="V62" i="34"/>
  <c r="W77" i="34"/>
  <c r="X62" i="34"/>
  <c r="X77" i="34"/>
  <c r="X69" i="34"/>
  <c r="V63" i="34"/>
  <c r="W62" i="34"/>
  <c r="V80" i="34"/>
  <c r="V76" i="34"/>
  <c r="W73" i="34"/>
  <c r="V72" i="34"/>
  <c r="W69" i="34"/>
  <c r="V68" i="34"/>
  <c r="W65" i="34"/>
  <c r="V64" i="34"/>
  <c r="X73" i="34"/>
  <c r="X65" i="34"/>
  <c r="V77" i="34"/>
  <c r="V73" i="34"/>
  <c r="V69" i="34"/>
  <c r="V65" i="34"/>
  <c r="X68" i="34"/>
  <c r="W63" i="34"/>
  <c r="X63" i="34"/>
  <c r="R5" i="27"/>
  <c r="I8" i="92"/>
  <c r="R5" i="28"/>
  <c r="I13" i="92"/>
  <c r="I6" i="92"/>
  <c r="R5" i="30"/>
  <c r="I16" i="92"/>
  <c r="R5" i="33"/>
  <c r="I20" i="92"/>
  <c r="I21" i="92"/>
  <c r="I71" i="92"/>
  <c r="I82" i="92"/>
  <c r="S7" i="34"/>
  <c r="U7" i="34"/>
  <c r="V7" i="34"/>
  <c r="K14" i="2"/>
  <c r="R7" i="24"/>
  <c r="Q8" i="4"/>
  <c r="R7" i="25"/>
  <c r="Q9" i="4"/>
  <c r="R7" i="33"/>
  <c r="Q18" i="4"/>
  <c r="Q20" i="4"/>
  <c r="Q52" i="4"/>
  <c r="I12" i="4"/>
  <c r="I20" i="4"/>
  <c r="I52" i="4"/>
  <c r="Q6" i="32"/>
  <c r="V6" i="32"/>
  <c r="U6" i="32"/>
  <c r="S6" i="32"/>
  <c r="T6" i="32"/>
  <c r="J12" i="4"/>
  <c r="J20" i="4"/>
  <c r="J52" i="4"/>
  <c r="K12" i="4"/>
  <c r="K20" i="4"/>
  <c r="K52" i="4"/>
  <c r="K18" i="2"/>
  <c r="F22" i="32"/>
  <c r="F54" i="32"/>
  <c r="F56" i="32"/>
  <c r="O81" i="32"/>
  <c r="M81" i="32"/>
  <c r="O82" i="32"/>
  <c r="O83" i="32"/>
  <c r="O84" i="32"/>
  <c r="O85" i="32"/>
  <c r="O86" i="32"/>
  <c r="O87" i="32"/>
  <c r="O88" i="32"/>
  <c r="O89" i="32"/>
  <c r="O90" i="32"/>
  <c r="O91" i="32"/>
  <c r="O92" i="32"/>
  <c r="O93" i="32"/>
  <c r="O94" i="32"/>
  <c r="O95" i="32"/>
  <c r="O96" i="32"/>
  <c r="O97" i="32"/>
  <c r="O98" i="32"/>
  <c r="O99" i="32"/>
  <c r="O100" i="32"/>
  <c r="O101" i="32"/>
  <c r="O102" i="32"/>
  <c r="O103" i="32"/>
  <c r="O104" i="32"/>
  <c r="M104" i="32"/>
  <c r="U7" i="32"/>
  <c r="S7" i="32"/>
  <c r="V7" i="32"/>
  <c r="T7" i="32"/>
  <c r="N81" i="32"/>
  <c r="N82" i="32"/>
  <c r="N83" i="32"/>
  <c r="N84" i="32"/>
  <c r="N85" i="32"/>
  <c r="N86" i="32"/>
  <c r="N87" i="32"/>
  <c r="N88" i="32"/>
  <c r="N89" i="32"/>
  <c r="N90" i="32"/>
  <c r="N91" i="32"/>
  <c r="N92" i="32"/>
  <c r="N93" i="32"/>
  <c r="N94" i="32"/>
  <c r="N95" i="32"/>
  <c r="N96" i="32"/>
  <c r="N97" i="32"/>
  <c r="N98" i="32"/>
  <c r="N99" i="32"/>
  <c r="N100" i="32"/>
  <c r="N101" i="32"/>
  <c r="N102" i="32"/>
  <c r="N103" i="32"/>
  <c r="N104" i="32"/>
  <c r="L104" i="32"/>
  <c r="L81" i="32"/>
  <c r="L8" i="4"/>
  <c r="L9" i="4"/>
  <c r="L11" i="4"/>
  <c r="L12" i="4"/>
  <c r="L15" i="4"/>
  <c r="L18" i="4"/>
  <c r="L20" i="4"/>
  <c r="L52" i="4"/>
  <c r="K19" i="92"/>
  <c r="M8" i="4"/>
  <c r="M9" i="4"/>
  <c r="M11" i="4"/>
  <c r="M12" i="4"/>
  <c r="M15" i="4"/>
  <c r="M18" i="4"/>
  <c r="M20" i="4"/>
  <c r="M52" i="4"/>
  <c r="E54" i="32"/>
  <c r="E56" i="32"/>
  <c r="M97" i="32"/>
  <c r="L91" i="32"/>
  <c r="X71" i="32"/>
  <c r="X64" i="32"/>
  <c r="M83" i="32"/>
  <c r="L97" i="32"/>
  <c r="X80" i="32"/>
  <c r="M88" i="32"/>
  <c r="L82" i="32"/>
  <c r="L98" i="32"/>
  <c r="W68" i="32"/>
  <c r="V79" i="32"/>
  <c r="X70" i="32"/>
  <c r="W62" i="32"/>
  <c r="X79" i="32"/>
  <c r="M91" i="32"/>
  <c r="M82" i="32"/>
  <c r="W64" i="32"/>
  <c r="X66" i="32"/>
  <c r="M85" i="32"/>
  <c r="M93" i="32"/>
  <c r="M102" i="32"/>
  <c r="L87" i="32"/>
  <c r="L95" i="32"/>
  <c r="X63" i="32"/>
  <c r="W78" i="32"/>
  <c r="V70" i="32"/>
  <c r="L100" i="32"/>
  <c r="M95" i="32"/>
  <c r="L89" i="32"/>
  <c r="V69" i="32"/>
  <c r="X72" i="32"/>
  <c r="M84" i="32"/>
  <c r="M92" i="32"/>
  <c r="M101" i="32"/>
  <c r="L86" i="32"/>
  <c r="L94" i="32"/>
  <c r="L103" i="32"/>
  <c r="X65" i="32"/>
  <c r="V71" i="32"/>
  <c r="W76" i="32"/>
  <c r="X62" i="32"/>
  <c r="V68" i="32"/>
  <c r="W73" i="32"/>
  <c r="X78" i="32"/>
  <c r="W66" i="32"/>
  <c r="X75" i="32"/>
  <c r="V66" i="32"/>
  <c r="X76" i="32"/>
  <c r="L85" i="32"/>
  <c r="W67" i="32"/>
  <c r="M90" i="32"/>
  <c r="L84" i="32"/>
  <c r="L101" i="32"/>
  <c r="X69" i="32"/>
  <c r="W80" i="32"/>
  <c r="V72" i="32"/>
  <c r="V65" i="32"/>
  <c r="W63" i="32"/>
  <c r="M89" i="32"/>
  <c r="L83" i="32"/>
  <c r="L99" i="32"/>
  <c r="W75" i="32"/>
  <c r="M87" i="32"/>
  <c r="V62" i="32"/>
  <c r="M96" i="32"/>
  <c r="L90" i="32"/>
  <c r="V63" i="32"/>
  <c r="X73" i="32"/>
  <c r="W65" i="32"/>
  <c r="V76" i="32"/>
  <c r="W70" i="32"/>
  <c r="W71" i="32"/>
  <c r="L102" i="32"/>
  <c r="M98" i="32"/>
  <c r="L92" i="32"/>
  <c r="V75" i="32"/>
  <c r="W77" i="32"/>
  <c r="V73" i="32"/>
  <c r="V74" i="32"/>
  <c r="W79" i="32"/>
  <c r="V77" i="32"/>
  <c r="V80" i="32"/>
  <c r="W69" i="32"/>
  <c r="X77" i="32"/>
  <c r="V67" i="32"/>
  <c r="L96" i="32"/>
  <c r="M103" i="32"/>
  <c r="M86" i="32"/>
  <c r="W74" i="32"/>
  <c r="M99" i="32"/>
  <c r="X68" i="32"/>
  <c r="X67" i="32"/>
  <c r="X74" i="32"/>
  <c r="V64" i="32"/>
  <c r="W72" i="32"/>
  <c r="G57" i="32"/>
  <c r="L88" i="32"/>
  <c r="M94" i="32"/>
  <c r="V78" i="32"/>
  <c r="L93" i="32"/>
  <c r="M100" i="32"/>
  <c r="D54" i="32"/>
  <c r="D56" i="32"/>
  <c r="F8" i="4"/>
  <c r="F9" i="4"/>
  <c r="F10" i="4"/>
  <c r="F11" i="4"/>
  <c r="F12" i="4"/>
  <c r="F14" i="4"/>
  <c r="F15" i="4"/>
  <c r="F18" i="4"/>
  <c r="F19" i="4"/>
  <c r="F20" i="4"/>
  <c r="F52" i="4"/>
  <c r="O8" i="4"/>
  <c r="O9" i="4"/>
  <c r="O11" i="4"/>
  <c r="O12" i="4"/>
  <c r="O15" i="4"/>
  <c r="O18" i="4"/>
  <c r="O20" i="4"/>
  <c r="O52" i="4"/>
  <c r="U7" i="9"/>
  <c r="R21" i="9"/>
  <c r="R23" i="9"/>
  <c r="R54" i="9"/>
  <c r="R7" i="9"/>
  <c r="V7" i="9"/>
  <c r="N10" i="3"/>
  <c r="S7" i="9"/>
  <c r="K62" i="2"/>
  <c r="J87" i="2"/>
  <c r="N8" i="3"/>
  <c r="N9" i="3"/>
  <c r="N11" i="3"/>
  <c r="N12" i="3"/>
  <c r="N14" i="3"/>
  <c r="N16" i="3"/>
  <c r="N17" i="3"/>
  <c r="N18" i="3"/>
  <c r="N20" i="3"/>
  <c r="N21" i="3"/>
  <c r="N22" i="3"/>
  <c r="N23" i="3"/>
  <c r="M12" i="80"/>
  <c r="N64" i="3"/>
  <c r="M12" i="83"/>
  <c r="N67" i="3"/>
  <c r="N68" i="3"/>
  <c r="N70" i="3"/>
  <c r="M8" i="3"/>
  <c r="M9" i="3"/>
  <c r="M10" i="3"/>
  <c r="M11" i="3"/>
  <c r="M12" i="3"/>
  <c r="M14" i="3"/>
  <c r="M16" i="3"/>
  <c r="M17" i="3"/>
  <c r="M18" i="3"/>
  <c r="M20" i="3"/>
  <c r="M21" i="3"/>
  <c r="M22" i="3"/>
  <c r="M23" i="3"/>
  <c r="L12" i="80"/>
  <c r="M64" i="3"/>
  <c r="L12" i="83"/>
  <c r="M67" i="3"/>
  <c r="M68" i="3"/>
  <c r="M70" i="3"/>
  <c r="O8" i="3"/>
  <c r="O9" i="3"/>
  <c r="O11" i="3"/>
  <c r="O12" i="3"/>
  <c r="O14" i="3"/>
  <c r="O16" i="3"/>
  <c r="O17" i="3"/>
  <c r="O18" i="3"/>
  <c r="O20" i="3"/>
  <c r="O21" i="3"/>
  <c r="O22" i="3"/>
  <c r="O23" i="3"/>
  <c r="O70" i="3"/>
  <c r="K9" i="3"/>
  <c r="K11" i="3"/>
  <c r="K12" i="3"/>
  <c r="K14" i="3"/>
  <c r="K15" i="3"/>
  <c r="K16" i="3"/>
  <c r="K17" i="3"/>
  <c r="K21" i="3"/>
  <c r="K22" i="3"/>
  <c r="K23" i="3"/>
  <c r="J12" i="80"/>
  <c r="K64" i="3"/>
  <c r="J12" i="83"/>
  <c r="K67" i="3"/>
  <c r="K68" i="3"/>
  <c r="K70" i="3"/>
  <c r="I9" i="3"/>
  <c r="I11" i="3"/>
  <c r="I12" i="3"/>
  <c r="I14" i="3"/>
  <c r="I15" i="3"/>
  <c r="I16" i="3"/>
  <c r="I17" i="3"/>
  <c r="I21" i="3"/>
  <c r="I23" i="3"/>
  <c r="H12" i="80"/>
  <c r="I64" i="3"/>
  <c r="H12" i="83"/>
  <c r="I67" i="3"/>
  <c r="I68" i="3"/>
  <c r="I70" i="3"/>
  <c r="J9" i="3"/>
  <c r="J11" i="3"/>
  <c r="J12" i="3"/>
  <c r="J14" i="3"/>
  <c r="J15" i="3"/>
  <c r="J16" i="3"/>
  <c r="J17" i="3"/>
  <c r="J21" i="3"/>
  <c r="J23" i="3"/>
  <c r="I12" i="80"/>
  <c r="J64" i="3"/>
  <c r="I12" i="83"/>
  <c r="J67" i="3"/>
  <c r="J68" i="3"/>
  <c r="J70" i="3"/>
  <c r="L8" i="3"/>
  <c r="L9" i="3"/>
  <c r="L10" i="3"/>
  <c r="L11" i="3"/>
  <c r="L12" i="3"/>
  <c r="L14" i="3"/>
  <c r="L16" i="3"/>
  <c r="L17" i="3"/>
  <c r="L18" i="3"/>
  <c r="L20" i="3"/>
  <c r="L21" i="3"/>
  <c r="L22" i="3"/>
  <c r="L23" i="3"/>
  <c r="K12" i="80"/>
  <c r="L64" i="3"/>
  <c r="K12" i="83"/>
  <c r="L67" i="3"/>
  <c r="L68" i="3"/>
  <c r="L70" i="3"/>
  <c r="K71" i="92"/>
  <c r="H87" i="92"/>
  <c r="R7" i="10"/>
  <c r="Q11" i="3"/>
  <c r="G8" i="2"/>
  <c r="R7" i="8"/>
  <c r="Q9" i="3"/>
  <c r="G9" i="2"/>
  <c r="R7" i="13"/>
  <c r="Q14" i="3"/>
  <c r="G12" i="2"/>
  <c r="Q10" i="3"/>
  <c r="G13" i="2"/>
  <c r="R7" i="21"/>
  <c r="Q22" i="3"/>
  <c r="G14" i="2"/>
  <c r="G6" i="2"/>
  <c r="R7" i="15"/>
  <c r="Q16" i="3"/>
  <c r="R7" i="16"/>
  <c r="Q17" i="3"/>
  <c r="G15" i="2"/>
  <c r="Q20" i="3"/>
  <c r="G18" i="2"/>
  <c r="R7" i="20"/>
  <c r="Q21" i="3"/>
  <c r="G19" i="2"/>
  <c r="G20" i="2"/>
  <c r="G64" i="2"/>
  <c r="G75" i="2"/>
  <c r="K7" i="2"/>
  <c r="R5" i="10"/>
  <c r="G8" i="92"/>
  <c r="R5" i="8"/>
  <c r="G9" i="92"/>
  <c r="R5" i="7"/>
  <c r="G10" i="92"/>
  <c r="R5" i="13"/>
  <c r="G13" i="92"/>
  <c r="R5" i="9"/>
  <c r="G14" i="92"/>
  <c r="R5" i="21"/>
  <c r="G15" i="92"/>
  <c r="G6" i="92"/>
  <c r="K21" i="92"/>
  <c r="H91" i="92"/>
  <c r="H87" i="2"/>
  <c r="K60" i="2"/>
  <c r="K15" i="2"/>
  <c r="K12" i="2"/>
  <c r="K6" i="92"/>
  <c r="V7" i="14"/>
  <c r="S7" i="14"/>
  <c r="R5" i="15"/>
  <c r="R5" i="16"/>
  <c r="G16" i="92"/>
  <c r="R5" i="17"/>
  <c r="G17" i="92"/>
  <c r="R5" i="19"/>
  <c r="G19" i="92"/>
  <c r="R5" i="20"/>
  <c r="G20" i="92"/>
  <c r="G21" i="92"/>
  <c r="G71" i="92"/>
  <c r="G82" i="92"/>
  <c r="K11" i="2"/>
  <c r="T7" i="14"/>
  <c r="F8" i="3"/>
  <c r="F9" i="3"/>
  <c r="F10" i="3"/>
  <c r="F11" i="3"/>
  <c r="F12" i="3"/>
  <c r="F13" i="3"/>
  <c r="F14" i="3"/>
  <c r="F15" i="3"/>
  <c r="F16" i="3"/>
  <c r="F17" i="3"/>
  <c r="F18" i="3"/>
  <c r="F20" i="3"/>
  <c r="F21" i="3"/>
  <c r="F22" i="3"/>
  <c r="F23" i="3"/>
  <c r="E12" i="83"/>
  <c r="F67" i="3"/>
  <c r="F68" i="3"/>
  <c r="F70" i="3"/>
  <c r="H83" i="2"/>
  <c r="K19" i="2"/>
  <c r="K8" i="2"/>
  <c r="K70" i="2"/>
  <c r="K10" i="2"/>
  <c r="R7" i="11"/>
  <c r="Q12" i="3"/>
  <c r="Q23" i="3"/>
  <c r="Q70" i="3"/>
  <c r="Q71" i="3"/>
  <c r="K71" i="2"/>
  <c r="K67" i="2"/>
  <c r="K16" i="2"/>
  <c r="K9" i="2"/>
  <c r="T7" i="31"/>
  <c r="S7" i="31"/>
  <c r="U7" i="31"/>
  <c r="V7" i="31"/>
  <c r="Q6" i="31"/>
  <c r="U6" i="31"/>
  <c r="T6" i="31"/>
  <c r="S6" i="31"/>
  <c r="V6" i="31"/>
  <c r="V7" i="12"/>
  <c r="S7" i="12"/>
  <c r="U7" i="12"/>
  <c r="F22" i="31"/>
  <c r="F54" i="31"/>
  <c r="F56" i="31"/>
  <c r="N101" i="31"/>
  <c r="L101" i="31"/>
  <c r="N93" i="31"/>
  <c r="L93" i="31"/>
  <c r="O89" i="31"/>
  <c r="M89" i="31"/>
  <c r="N89" i="31"/>
  <c r="L89" i="31"/>
  <c r="O90" i="31"/>
  <c r="O91" i="31"/>
  <c r="O92" i="31"/>
  <c r="O93" i="31"/>
  <c r="O94" i="31"/>
  <c r="O95" i="31"/>
  <c r="O96" i="31"/>
  <c r="O97" i="31"/>
  <c r="O98" i="31"/>
  <c r="O99" i="31"/>
  <c r="O100" i="31"/>
  <c r="O101" i="31"/>
  <c r="O102" i="31"/>
  <c r="O103" i="31"/>
  <c r="O104" i="31"/>
  <c r="M104" i="31"/>
  <c r="M96" i="31"/>
  <c r="N96" i="31"/>
  <c r="L96" i="31"/>
  <c r="N103" i="31"/>
  <c r="L103" i="31"/>
  <c r="N95" i="31"/>
  <c r="L95" i="31"/>
  <c r="M98" i="31"/>
  <c r="N98" i="31"/>
  <c r="L98" i="31"/>
  <c r="M90" i="31"/>
  <c r="N90" i="31"/>
  <c r="L90" i="31"/>
  <c r="N97" i="31"/>
  <c r="L97" i="31"/>
  <c r="M100" i="31"/>
  <c r="N100" i="31"/>
  <c r="L100" i="31"/>
  <c r="M92" i="31"/>
  <c r="N92" i="31"/>
  <c r="L92" i="31"/>
  <c r="N99" i="31"/>
  <c r="L99" i="31"/>
  <c r="N91" i="31"/>
  <c r="L91" i="31"/>
  <c r="M102" i="31"/>
  <c r="N102" i="31"/>
  <c r="L102" i="31"/>
  <c r="M94" i="31"/>
  <c r="N94" i="31"/>
  <c r="L94" i="31"/>
  <c r="N104" i="31"/>
  <c r="L104" i="31"/>
  <c r="K69" i="2"/>
  <c r="I78" i="9"/>
  <c r="F22" i="9"/>
  <c r="U79" i="9"/>
  <c r="U81" i="9"/>
  <c r="U82" i="9"/>
  <c r="U83" i="9"/>
  <c r="U84" i="9"/>
  <c r="U85" i="9"/>
  <c r="U86" i="9"/>
  <c r="U87" i="9"/>
  <c r="U88" i="9"/>
  <c r="U89" i="9"/>
  <c r="U90" i="9"/>
  <c r="U91" i="9"/>
  <c r="U92" i="9"/>
  <c r="U93" i="9"/>
  <c r="U94" i="9"/>
  <c r="U95" i="9"/>
  <c r="U96" i="9"/>
  <c r="U97" i="9"/>
  <c r="U99" i="9"/>
  <c r="U101" i="9"/>
  <c r="U104" i="9"/>
  <c r="F52" i="9"/>
  <c r="F54" i="9"/>
  <c r="F56" i="9"/>
  <c r="N78" i="9"/>
  <c r="I79" i="9"/>
  <c r="N79" i="9"/>
  <c r="I80" i="9"/>
  <c r="N80" i="9"/>
  <c r="I81" i="9"/>
  <c r="N81" i="9"/>
  <c r="I82" i="9"/>
  <c r="N82" i="9"/>
  <c r="I83" i="9"/>
  <c r="N83" i="9"/>
  <c r="I84" i="9"/>
  <c r="N84" i="9"/>
  <c r="I85" i="9"/>
  <c r="N85" i="9"/>
  <c r="I86" i="9"/>
  <c r="N86" i="9"/>
  <c r="I87" i="9"/>
  <c r="N87" i="9"/>
  <c r="I88" i="9"/>
  <c r="N88" i="9"/>
  <c r="I89" i="9"/>
  <c r="N89" i="9"/>
  <c r="I90" i="9"/>
  <c r="N90" i="9"/>
  <c r="I91" i="9"/>
  <c r="N91" i="9"/>
  <c r="I92" i="9"/>
  <c r="N92" i="9"/>
  <c r="I93" i="9"/>
  <c r="N93" i="9"/>
  <c r="I94" i="9"/>
  <c r="N94" i="9"/>
  <c r="I95" i="9"/>
  <c r="N95" i="9"/>
  <c r="I96" i="9"/>
  <c r="N96" i="9"/>
  <c r="I97" i="9"/>
  <c r="N97" i="9"/>
  <c r="N98" i="9"/>
  <c r="N99" i="9"/>
  <c r="N100" i="9"/>
  <c r="N101" i="9"/>
  <c r="N102" i="9"/>
  <c r="N103" i="9"/>
  <c r="N104" i="9"/>
  <c r="L104" i="9"/>
  <c r="T7" i="12"/>
  <c r="F22" i="14"/>
  <c r="F37" i="14"/>
  <c r="F54" i="14"/>
  <c r="F56" i="14"/>
  <c r="O103" i="14"/>
  <c r="M103" i="14"/>
  <c r="N103" i="14"/>
  <c r="L103" i="14"/>
  <c r="O95" i="14"/>
  <c r="M95" i="14"/>
  <c r="N95" i="14"/>
  <c r="L95" i="14"/>
  <c r="O87" i="14"/>
  <c r="M87" i="14"/>
  <c r="N87" i="14"/>
  <c r="L87" i="14"/>
  <c r="O101" i="14"/>
  <c r="M101" i="14"/>
  <c r="N101" i="14"/>
  <c r="L101" i="14"/>
  <c r="O93" i="14"/>
  <c r="M93" i="14"/>
  <c r="N93" i="14"/>
  <c r="L93" i="14"/>
  <c r="O85" i="14"/>
  <c r="M85" i="14"/>
  <c r="N85" i="14"/>
  <c r="L85" i="14"/>
  <c r="N79" i="14"/>
  <c r="L79" i="14"/>
  <c r="F22" i="7"/>
  <c r="U63" i="7"/>
  <c r="U64" i="7"/>
  <c r="U65" i="7"/>
  <c r="U66" i="7"/>
  <c r="U67" i="7"/>
  <c r="U68" i="7"/>
  <c r="U69" i="7"/>
  <c r="U70" i="7"/>
  <c r="U71" i="7"/>
  <c r="U72" i="7"/>
  <c r="U73" i="7"/>
  <c r="U74" i="7"/>
  <c r="U75" i="7"/>
  <c r="U76" i="7"/>
  <c r="U77" i="7"/>
  <c r="U78" i="7"/>
  <c r="U79" i="7"/>
  <c r="U80" i="7"/>
  <c r="U81" i="7"/>
  <c r="U83" i="7"/>
  <c r="U85" i="7"/>
  <c r="U87" i="7"/>
  <c r="U89" i="7"/>
  <c r="U91" i="7"/>
  <c r="U93" i="7"/>
  <c r="U95" i="7"/>
  <c r="U97" i="7"/>
  <c r="U98" i="7"/>
  <c r="U99" i="7"/>
  <c r="U101" i="7"/>
  <c r="U104" i="7"/>
  <c r="F52" i="7"/>
  <c r="F54" i="7"/>
  <c r="F56"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M104"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L104" i="7"/>
  <c r="N75" i="14"/>
  <c r="N76" i="14"/>
  <c r="N77" i="14"/>
  <c r="N78" i="14"/>
  <c r="N80" i="14"/>
  <c r="N81" i="14"/>
  <c r="N82" i="14"/>
  <c r="N83" i="14"/>
  <c r="N84" i="14"/>
  <c r="N86" i="14"/>
  <c r="N88" i="14"/>
  <c r="N89" i="14"/>
  <c r="N90" i="14"/>
  <c r="N91" i="14"/>
  <c r="N92" i="14"/>
  <c r="N94" i="14"/>
  <c r="N96" i="14"/>
  <c r="N97" i="14"/>
  <c r="N98" i="14"/>
  <c r="N99" i="14"/>
  <c r="N100" i="14"/>
  <c r="N102" i="14"/>
  <c r="N104" i="14"/>
  <c r="L104" i="14"/>
  <c r="O99" i="14"/>
  <c r="M99" i="14"/>
  <c r="L99" i="14"/>
  <c r="O91" i="14"/>
  <c r="M91" i="14"/>
  <c r="L91" i="14"/>
  <c r="O83" i="14"/>
  <c r="M83" i="14"/>
  <c r="L83" i="14"/>
  <c r="Q6" i="14"/>
  <c r="V6" i="14"/>
  <c r="T6" i="14"/>
  <c r="S6" i="14"/>
  <c r="O97" i="14"/>
  <c r="M97" i="14"/>
  <c r="L97" i="14"/>
  <c r="O89" i="14"/>
  <c r="M89" i="14"/>
  <c r="L89" i="14"/>
  <c r="O81" i="14"/>
  <c r="M81" i="14"/>
  <c r="L81" i="14"/>
  <c r="O75" i="14"/>
  <c r="O76" i="14"/>
  <c r="O77" i="14"/>
  <c r="O78" i="14"/>
  <c r="O79" i="14"/>
  <c r="O80" i="14"/>
  <c r="O82" i="14"/>
  <c r="O84" i="14"/>
  <c r="O86" i="14"/>
  <c r="O88" i="14"/>
  <c r="O90" i="14"/>
  <c r="O92" i="14"/>
  <c r="O94" i="14"/>
  <c r="O96" i="14"/>
  <c r="O98" i="14"/>
  <c r="O100" i="14"/>
  <c r="O102" i="14"/>
  <c r="O104" i="14"/>
  <c r="M104" i="14"/>
  <c r="M75" i="14"/>
  <c r="L75" i="14"/>
  <c r="K18" i="92"/>
  <c r="G57" i="31"/>
  <c r="W63" i="31"/>
  <c r="V66" i="31"/>
  <c r="X68" i="31"/>
  <c r="W71" i="31"/>
  <c r="V74" i="31"/>
  <c r="X76" i="31"/>
  <c r="W79" i="31"/>
  <c r="X63" i="31"/>
  <c r="W66" i="31"/>
  <c r="V69" i="31"/>
  <c r="X71" i="31"/>
  <c r="W74" i="31"/>
  <c r="V77" i="31"/>
  <c r="X79" i="31"/>
  <c r="V64" i="31"/>
  <c r="X66" i="31"/>
  <c r="W69" i="31"/>
  <c r="V72" i="31"/>
  <c r="X74" i="31"/>
  <c r="W77" i="31"/>
  <c r="V80" i="31"/>
  <c r="M91" i="31"/>
  <c r="M95" i="31"/>
  <c r="M99" i="31"/>
  <c r="M103" i="31"/>
  <c r="W64" i="31"/>
  <c r="V67" i="31"/>
  <c r="X69" i="31"/>
  <c r="W72" i="31"/>
  <c r="V75" i="31"/>
  <c r="X77" i="31"/>
  <c r="W80" i="31"/>
  <c r="V62" i="31"/>
  <c r="X64" i="31"/>
  <c r="W67" i="31"/>
  <c r="V70" i="31"/>
  <c r="X72" i="31"/>
  <c r="W75" i="31"/>
  <c r="V78" i="31"/>
  <c r="X80" i="31"/>
  <c r="W62" i="31"/>
  <c r="V65" i="31"/>
  <c r="X67" i="31"/>
  <c r="W70" i="31"/>
  <c r="V73" i="31"/>
  <c r="X75" i="31"/>
  <c r="W78" i="31"/>
  <c r="X62" i="31"/>
  <c r="W65" i="31"/>
  <c r="V68" i="31"/>
  <c r="X70" i="31"/>
  <c r="W73" i="31"/>
  <c r="V76" i="31"/>
  <c r="X78" i="31"/>
  <c r="M93" i="31"/>
  <c r="M97" i="31"/>
  <c r="M101" i="31"/>
  <c r="V63" i="31"/>
  <c r="X65" i="31"/>
  <c r="W68" i="31"/>
  <c r="V71" i="31"/>
  <c r="X73" i="31"/>
  <c r="W76" i="31"/>
  <c r="V79" i="31"/>
  <c r="E54" i="31"/>
  <c r="E56" i="31"/>
  <c r="O97" i="9"/>
  <c r="M97" i="9"/>
  <c r="L97" i="9"/>
  <c r="O93" i="9"/>
  <c r="M93" i="9"/>
  <c r="L93" i="9"/>
  <c r="O89" i="9"/>
  <c r="M89" i="9"/>
  <c r="L94" i="9"/>
  <c r="L87" i="9"/>
  <c r="L83" i="9"/>
  <c r="O80" i="9"/>
  <c r="M80" i="9"/>
  <c r="L80" i="9"/>
  <c r="I62" i="28"/>
  <c r="F22" i="28"/>
  <c r="F37" i="28"/>
  <c r="U63" i="28"/>
  <c r="U65" i="28"/>
  <c r="U67" i="28"/>
  <c r="U68" i="28"/>
  <c r="U69" i="28"/>
  <c r="U70" i="28"/>
  <c r="U71" i="28"/>
  <c r="U72" i="28"/>
  <c r="U73" i="28"/>
  <c r="U74" i="28"/>
  <c r="U75" i="28"/>
  <c r="U76" i="28"/>
  <c r="U77" i="28"/>
  <c r="U78" i="28"/>
  <c r="U79" i="28"/>
  <c r="U80" i="28"/>
  <c r="U81" i="28"/>
  <c r="U82" i="28"/>
  <c r="U83" i="28"/>
  <c r="U84" i="28"/>
  <c r="U85" i="28"/>
  <c r="U86" i="28"/>
  <c r="U87" i="28"/>
  <c r="U89" i="28"/>
  <c r="U91" i="28"/>
  <c r="U93" i="28"/>
  <c r="U95" i="28"/>
  <c r="U97" i="28"/>
  <c r="U99" i="28"/>
  <c r="U101" i="28"/>
  <c r="U104" i="28"/>
  <c r="F52" i="28"/>
  <c r="F54" i="28"/>
  <c r="F56" i="28"/>
  <c r="O62" i="28"/>
  <c r="O63" i="28"/>
  <c r="I64" i="28"/>
  <c r="O64" i="28"/>
  <c r="O65" i="28"/>
  <c r="I66"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M104"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L104" i="28"/>
  <c r="O95" i="9"/>
  <c r="M95" i="9"/>
  <c r="L95" i="9"/>
  <c r="O91" i="9"/>
  <c r="M91" i="9"/>
  <c r="L91" i="9"/>
  <c r="L89" i="9"/>
  <c r="L96" i="9"/>
  <c r="L92" i="9"/>
  <c r="L85" i="9"/>
  <c r="L81" i="9"/>
  <c r="O79" i="9"/>
  <c r="M79" i="9"/>
  <c r="L79" i="9"/>
  <c r="O78" i="9"/>
  <c r="M78" i="9"/>
  <c r="L78" i="9"/>
  <c r="O81" i="9"/>
  <c r="O82" i="9"/>
  <c r="O83" i="9"/>
  <c r="O84" i="9"/>
  <c r="O85" i="9"/>
  <c r="O86" i="9"/>
  <c r="O87" i="9"/>
  <c r="O88" i="9"/>
  <c r="O90" i="9"/>
  <c r="O92" i="9"/>
  <c r="O94" i="9"/>
  <c r="O96" i="9"/>
  <c r="O98" i="9"/>
  <c r="O99" i="9"/>
  <c r="O100" i="9"/>
  <c r="O101" i="9"/>
  <c r="O102" i="9"/>
  <c r="O103" i="9"/>
  <c r="O104" i="9"/>
  <c r="M104" i="9"/>
  <c r="F22" i="26"/>
  <c r="F54" i="26"/>
  <c r="F56"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L104" i="26"/>
  <c r="X63" i="14"/>
  <c r="X71" i="14"/>
  <c r="X74" i="14"/>
  <c r="X78" i="14"/>
  <c r="X64" i="14"/>
  <c r="X72" i="14"/>
  <c r="X65" i="14"/>
  <c r="X73" i="14"/>
  <c r="X77" i="14"/>
  <c r="X62" i="14"/>
  <c r="X70" i="14"/>
  <c r="X67" i="14"/>
  <c r="X76" i="14"/>
  <c r="X68" i="14"/>
  <c r="X69" i="14"/>
  <c r="X75" i="14"/>
  <c r="X66" i="14"/>
  <c r="X80" i="14"/>
  <c r="G57" i="14"/>
  <c r="W66" i="14"/>
  <c r="V69" i="14"/>
  <c r="M76" i="14"/>
  <c r="L76" i="14"/>
  <c r="V77" i="14"/>
  <c r="W80" i="14"/>
  <c r="M84" i="14"/>
  <c r="L84" i="14"/>
  <c r="M88" i="14"/>
  <c r="L88" i="14"/>
  <c r="M92" i="14"/>
  <c r="L92" i="14"/>
  <c r="M96" i="14"/>
  <c r="L96" i="14"/>
  <c r="M100" i="14"/>
  <c r="L100" i="14"/>
  <c r="V62" i="14"/>
  <c r="W67" i="14"/>
  <c r="V70" i="14"/>
  <c r="W75" i="14"/>
  <c r="W77" i="14"/>
  <c r="W79" i="14"/>
  <c r="V63" i="14"/>
  <c r="W68" i="14"/>
  <c r="V71" i="14"/>
  <c r="V76" i="14"/>
  <c r="M79" i="14"/>
  <c r="W65" i="14"/>
  <c r="V68" i="14"/>
  <c r="W73" i="14"/>
  <c r="W62" i="14"/>
  <c r="V65" i="14"/>
  <c r="W70" i="14"/>
  <c r="V73" i="14"/>
  <c r="V75" i="14"/>
  <c r="M78" i="14"/>
  <c r="L78" i="14"/>
  <c r="V79" i="14"/>
  <c r="M82" i="14"/>
  <c r="L82" i="14"/>
  <c r="M86" i="14"/>
  <c r="L86" i="14"/>
  <c r="M90" i="14"/>
  <c r="L90" i="14"/>
  <c r="M94" i="14"/>
  <c r="L94" i="14"/>
  <c r="M98" i="14"/>
  <c r="L98" i="14"/>
  <c r="M102" i="14"/>
  <c r="L102" i="14"/>
  <c r="W63" i="14"/>
  <c r="V66" i="14"/>
  <c r="W71" i="14"/>
  <c r="W74" i="14"/>
  <c r="W76" i="14"/>
  <c r="W78" i="14"/>
  <c r="V80" i="14"/>
  <c r="W64" i="14"/>
  <c r="V67" i="14"/>
  <c r="W72" i="14"/>
  <c r="V74" i="14"/>
  <c r="M77" i="14"/>
  <c r="L77" i="14"/>
  <c r="V78" i="14"/>
  <c r="M80" i="14"/>
  <c r="L80" i="14"/>
  <c r="X79" i="14"/>
  <c r="V64" i="14"/>
  <c r="W69" i="14"/>
  <c r="V72" i="14"/>
  <c r="F57" i="9"/>
  <c r="G57" i="9"/>
  <c r="M90" i="9"/>
  <c r="L90" i="9"/>
  <c r="M92" i="9"/>
  <c r="M94" i="9"/>
  <c r="M96" i="9"/>
  <c r="E54" i="9"/>
  <c r="E56" i="9"/>
  <c r="D54" i="9"/>
  <c r="D56" i="9"/>
  <c r="F22" i="12"/>
  <c r="F54" i="12"/>
  <c r="F56" i="12"/>
  <c r="N94" i="12"/>
  <c r="L94" i="12"/>
  <c r="O89" i="12"/>
  <c r="O90" i="12"/>
  <c r="O91" i="12"/>
  <c r="O92" i="12"/>
  <c r="O93" i="12"/>
  <c r="O94" i="12"/>
  <c r="O95" i="12"/>
  <c r="O96" i="12"/>
  <c r="O97" i="12"/>
  <c r="O98" i="12"/>
  <c r="O99" i="12"/>
  <c r="O100" i="12"/>
  <c r="O101" i="12"/>
  <c r="O102" i="12"/>
  <c r="O103" i="12"/>
  <c r="O104" i="12"/>
  <c r="M104" i="12"/>
  <c r="M89" i="12"/>
  <c r="N89" i="12"/>
  <c r="L89" i="12"/>
  <c r="N90" i="12"/>
  <c r="L90" i="12"/>
  <c r="O103" i="26"/>
  <c r="M103" i="26"/>
  <c r="L103" i="26"/>
  <c r="O99" i="26"/>
  <c r="M99" i="26"/>
  <c r="L99" i="26"/>
  <c r="O95" i="26"/>
  <c r="M95" i="26"/>
  <c r="L95" i="26"/>
  <c r="O91" i="26"/>
  <c r="M91" i="26"/>
  <c r="L91" i="26"/>
  <c r="O87" i="26"/>
  <c r="M87" i="26"/>
  <c r="L87" i="26"/>
  <c r="O83" i="26"/>
  <c r="M83" i="26"/>
  <c r="L83" i="26"/>
  <c r="L80" i="26"/>
  <c r="L78" i="26"/>
  <c r="L76" i="26"/>
  <c r="S7" i="29"/>
  <c r="N100" i="29"/>
  <c r="L100" i="29"/>
  <c r="N96" i="29"/>
  <c r="L96" i="29"/>
  <c r="N88" i="29"/>
  <c r="L88" i="29"/>
  <c r="N84" i="29"/>
  <c r="L84" i="29"/>
  <c r="N78" i="29"/>
  <c r="L78" i="29"/>
  <c r="O97" i="29"/>
  <c r="M97" i="29"/>
  <c r="N97" i="29"/>
  <c r="L97" i="29"/>
  <c r="O89" i="29"/>
  <c r="M89" i="29"/>
  <c r="N89" i="29"/>
  <c r="L89" i="29"/>
  <c r="O81" i="29"/>
  <c r="M81" i="29"/>
  <c r="N81" i="29"/>
  <c r="L81" i="29"/>
  <c r="N76" i="29"/>
  <c r="L76" i="29"/>
  <c r="F22" i="11"/>
  <c r="U63" i="11"/>
  <c r="U64" i="11"/>
  <c r="U65" i="11"/>
  <c r="U66" i="11"/>
  <c r="U67" i="11"/>
  <c r="U68" i="11"/>
  <c r="U69" i="11"/>
  <c r="U70" i="11"/>
  <c r="U71" i="11"/>
  <c r="U72" i="11"/>
  <c r="U73" i="11"/>
  <c r="U74" i="11"/>
  <c r="U75" i="11"/>
  <c r="U76" i="11"/>
  <c r="U78"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F52" i="11"/>
  <c r="F54" i="11"/>
  <c r="F22" i="27"/>
  <c r="U67" i="27"/>
  <c r="U68" i="27"/>
  <c r="U69" i="27"/>
  <c r="U70" i="27"/>
  <c r="U71" i="27"/>
  <c r="U72" i="27"/>
  <c r="U73" i="27"/>
  <c r="U74" i="27"/>
  <c r="U75" i="27"/>
  <c r="U76" i="27"/>
  <c r="U77" i="27"/>
  <c r="U78" i="27"/>
  <c r="U79" i="27"/>
  <c r="U80" i="27"/>
  <c r="U81" i="27"/>
  <c r="U83" i="27"/>
  <c r="U85" i="27"/>
  <c r="U87" i="27"/>
  <c r="U89" i="27"/>
  <c r="U91" i="27"/>
  <c r="U93" i="27"/>
  <c r="U95" i="27"/>
  <c r="U97" i="27"/>
  <c r="U99" i="27"/>
  <c r="U101" i="27"/>
  <c r="U104" i="27"/>
  <c r="F52" i="27"/>
  <c r="F54" i="27"/>
  <c r="F22" i="21"/>
  <c r="U62" i="21"/>
  <c r="U63" i="21"/>
  <c r="U64" i="21"/>
  <c r="U65" i="21"/>
  <c r="U66" i="21"/>
  <c r="U67" i="21"/>
  <c r="U68" i="21"/>
  <c r="U69" i="21"/>
  <c r="U70" i="21"/>
  <c r="U71" i="21"/>
  <c r="U72" i="21"/>
  <c r="U73" i="21"/>
  <c r="U74" i="21"/>
  <c r="U75" i="21"/>
  <c r="U76" i="21"/>
  <c r="U77" i="21"/>
  <c r="U78" i="21"/>
  <c r="U79" i="21"/>
  <c r="U80" i="21"/>
  <c r="U81" i="21"/>
  <c r="U83" i="21"/>
  <c r="U85" i="21"/>
  <c r="U87" i="21"/>
  <c r="U89" i="21"/>
  <c r="U91" i="21"/>
  <c r="U93" i="21"/>
  <c r="U95" i="21"/>
  <c r="U97" i="21"/>
  <c r="U99" i="21"/>
  <c r="U101" i="21"/>
  <c r="U104" i="21"/>
  <c r="F52" i="21"/>
  <c r="F54" i="21"/>
  <c r="U7" i="14"/>
  <c r="M82" i="9"/>
  <c r="L82" i="9"/>
  <c r="M84" i="9"/>
  <c r="L84" i="9"/>
  <c r="M86" i="9"/>
  <c r="L86" i="9"/>
  <c r="M88" i="9"/>
  <c r="L88" i="9"/>
  <c r="X79" i="9"/>
  <c r="W79" i="9"/>
  <c r="V80" i="9"/>
  <c r="X80" i="9"/>
  <c r="W80" i="9"/>
  <c r="M81" i="9"/>
  <c r="M83" i="9"/>
  <c r="M85" i="9"/>
  <c r="M87" i="9"/>
  <c r="Q6" i="12"/>
  <c r="V6" i="12"/>
  <c r="S6" i="12"/>
  <c r="T6" i="12"/>
  <c r="U6" i="12"/>
  <c r="N91" i="12"/>
  <c r="N92" i="12"/>
  <c r="N93" i="12"/>
  <c r="N95" i="12"/>
  <c r="N96" i="12"/>
  <c r="N97" i="12"/>
  <c r="N98" i="12"/>
  <c r="N99" i="12"/>
  <c r="N100" i="12"/>
  <c r="N101" i="12"/>
  <c r="N102" i="12"/>
  <c r="N103" i="12"/>
  <c r="N104" i="12"/>
  <c r="L104" i="12"/>
  <c r="L102" i="12"/>
  <c r="L98" i="12"/>
  <c r="O71" i="26"/>
  <c r="O72" i="26"/>
  <c r="O73" i="26"/>
  <c r="O74" i="26"/>
  <c r="O75" i="26"/>
  <c r="O76" i="26"/>
  <c r="O77" i="26"/>
  <c r="O78" i="26"/>
  <c r="O79" i="26"/>
  <c r="O80" i="26"/>
  <c r="O81" i="26"/>
  <c r="O82" i="26"/>
  <c r="O84" i="26"/>
  <c r="O85" i="26"/>
  <c r="O86" i="26"/>
  <c r="O88" i="26"/>
  <c r="O89" i="26"/>
  <c r="O90" i="26"/>
  <c r="O92" i="26"/>
  <c r="O93" i="26"/>
  <c r="O94" i="26"/>
  <c r="O96" i="26"/>
  <c r="O97" i="26"/>
  <c r="O98" i="26"/>
  <c r="O100" i="26"/>
  <c r="O101" i="26"/>
  <c r="O102" i="26"/>
  <c r="O104" i="26"/>
  <c r="M104" i="26"/>
  <c r="M71" i="26"/>
  <c r="L71" i="26"/>
  <c r="M101" i="26"/>
  <c r="L101" i="26"/>
  <c r="M97" i="26"/>
  <c r="L97" i="26"/>
  <c r="M93" i="26"/>
  <c r="L93" i="26"/>
  <c r="M89" i="26"/>
  <c r="L89" i="26"/>
  <c r="M85" i="26"/>
  <c r="L85" i="26"/>
  <c r="M81" i="26"/>
  <c r="L81" i="26"/>
  <c r="M79" i="26"/>
  <c r="L79" i="26"/>
  <c r="M77" i="26"/>
  <c r="L77" i="26"/>
  <c r="L96" i="12"/>
  <c r="V7" i="29"/>
  <c r="U7" i="29"/>
  <c r="O98" i="29"/>
  <c r="M98" i="29"/>
  <c r="N98" i="29"/>
  <c r="L98" i="29"/>
  <c r="N92" i="29"/>
  <c r="L92" i="29"/>
  <c r="O86" i="29"/>
  <c r="M86" i="29"/>
  <c r="N86" i="29"/>
  <c r="L86" i="29"/>
  <c r="O79" i="29"/>
  <c r="M79" i="29"/>
  <c r="N79" i="29"/>
  <c r="L79" i="29"/>
  <c r="N74" i="29"/>
  <c r="L74" i="29"/>
  <c r="O93" i="29"/>
  <c r="M93" i="29"/>
  <c r="N93" i="29"/>
  <c r="L93" i="29"/>
  <c r="O85" i="29"/>
  <c r="M85" i="29"/>
  <c r="N85" i="29"/>
  <c r="L85" i="29"/>
  <c r="N80" i="29"/>
  <c r="L80" i="29"/>
  <c r="O72" i="29"/>
  <c r="O73" i="29"/>
  <c r="O74" i="29"/>
  <c r="O75" i="29"/>
  <c r="O76" i="29"/>
  <c r="O77" i="29"/>
  <c r="O78" i="29"/>
  <c r="O80" i="29"/>
  <c r="O82" i="29"/>
  <c r="O83" i="29"/>
  <c r="O84" i="29"/>
  <c r="O87" i="29"/>
  <c r="O88" i="29"/>
  <c r="O90" i="29"/>
  <c r="O91" i="29"/>
  <c r="O92" i="29"/>
  <c r="O94" i="29"/>
  <c r="O95" i="29"/>
  <c r="O96" i="29"/>
  <c r="O99" i="29"/>
  <c r="O100" i="29"/>
  <c r="O101" i="29"/>
  <c r="O102" i="29"/>
  <c r="O103" i="29"/>
  <c r="O104" i="29"/>
  <c r="M104" i="29"/>
  <c r="N72" i="29"/>
  <c r="N73" i="29"/>
  <c r="N75" i="29"/>
  <c r="N77" i="29"/>
  <c r="N82" i="29"/>
  <c r="N83" i="29"/>
  <c r="N87" i="29"/>
  <c r="N90" i="29"/>
  <c r="N91" i="29"/>
  <c r="N94" i="29"/>
  <c r="N95" i="29"/>
  <c r="N99" i="29"/>
  <c r="N101" i="29"/>
  <c r="N102" i="29"/>
  <c r="N103" i="29"/>
  <c r="N104" i="29"/>
  <c r="L104" i="29"/>
  <c r="M72" i="29"/>
  <c r="L72" i="29"/>
  <c r="F22" i="24"/>
  <c r="U62" i="24"/>
  <c r="U63" i="24"/>
  <c r="U64" i="24"/>
  <c r="U65" i="24"/>
  <c r="U66" i="24"/>
  <c r="U67" i="24"/>
  <c r="U68" i="24"/>
  <c r="U69" i="24"/>
  <c r="U70" i="24"/>
  <c r="U71" i="24"/>
  <c r="U72" i="24"/>
  <c r="U73" i="24"/>
  <c r="U74" i="24"/>
  <c r="U75" i="24"/>
  <c r="U76" i="24"/>
  <c r="U77" i="24"/>
  <c r="U78" i="24"/>
  <c r="U79" i="24"/>
  <c r="U80" i="24"/>
  <c r="U81" i="24"/>
  <c r="U83" i="24"/>
  <c r="U85" i="24"/>
  <c r="U87" i="24"/>
  <c r="U89" i="24"/>
  <c r="U91" i="24"/>
  <c r="U93" i="24"/>
  <c r="U95" i="24"/>
  <c r="U97" i="24"/>
  <c r="U99" i="24"/>
  <c r="U101" i="24"/>
  <c r="U104" i="24"/>
  <c r="F52" i="24"/>
  <c r="F54" i="24"/>
  <c r="M67" i="28"/>
  <c r="L67" i="28"/>
  <c r="F22" i="33"/>
  <c r="U62" i="33"/>
  <c r="U63" i="33"/>
  <c r="U64" i="33"/>
  <c r="U65" i="33"/>
  <c r="U66" i="33"/>
  <c r="U67" i="33"/>
  <c r="U68" i="33"/>
  <c r="U69" i="33"/>
  <c r="U70" i="33"/>
  <c r="U71" i="33"/>
  <c r="U72" i="33"/>
  <c r="U73" i="33"/>
  <c r="U74" i="33"/>
  <c r="U75" i="33"/>
  <c r="U76" i="33"/>
  <c r="U77" i="33"/>
  <c r="U78" i="33"/>
  <c r="U79" i="33"/>
  <c r="U80" i="33"/>
  <c r="U81" i="33"/>
  <c r="U83" i="33"/>
  <c r="U85" i="33"/>
  <c r="U87" i="33"/>
  <c r="U89" i="33"/>
  <c r="U91" i="33"/>
  <c r="U93" i="33"/>
  <c r="U95" i="33"/>
  <c r="U97" i="33"/>
  <c r="U99" i="33"/>
  <c r="U101" i="33"/>
  <c r="U104" i="33"/>
  <c r="F52" i="33"/>
  <c r="F54" i="33"/>
  <c r="F22" i="30"/>
  <c r="U62" i="30"/>
  <c r="U63" i="30"/>
  <c r="U64" i="30"/>
  <c r="U65" i="30"/>
  <c r="U66" i="30"/>
  <c r="U67" i="30"/>
  <c r="U68" i="30"/>
  <c r="U69" i="30"/>
  <c r="U70" i="30"/>
  <c r="U71" i="30"/>
  <c r="U72" i="30"/>
  <c r="U73" i="30"/>
  <c r="U74" i="30"/>
  <c r="U75" i="30"/>
  <c r="U76" i="30"/>
  <c r="U77" i="30"/>
  <c r="U78" i="30"/>
  <c r="U79" i="30"/>
  <c r="U80" i="30"/>
  <c r="U81" i="30"/>
  <c r="U83" i="30"/>
  <c r="U85" i="30"/>
  <c r="U87" i="30"/>
  <c r="U89" i="30"/>
  <c r="U91" i="30"/>
  <c r="U93" i="30"/>
  <c r="U95" i="30"/>
  <c r="U97" i="30"/>
  <c r="U99" i="30"/>
  <c r="U101" i="30"/>
  <c r="U104" i="30"/>
  <c r="F52" i="30"/>
  <c r="F54" i="30"/>
  <c r="F56"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M104"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L104" i="30"/>
  <c r="K10" i="92"/>
  <c r="F56"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M104"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L104" i="24"/>
  <c r="E54" i="26"/>
  <c r="E56" i="26"/>
  <c r="D56" i="26"/>
  <c r="F56"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M104" i="33"/>
  <c r="N62" i="33"/>
  <c r="N63" i="33"/>
  <c r="N64" i="33"/>
  <c r="N65" i="33"/>
  <c r="N66" i="33"/>
  <c r="N67" i="33"/>
  <c r="N68" i="33"/>
  <c r="N69" i="33"/>
  <c r="N70" i="33"/>
  <c r="N71" i="33"/>
  <c r="N72" i="33"/>
  <c r="N73" i="33"/>
  <c r="N74" i="33"/>
  <c r="N75" i="33"/>
  <c r="N76" i="33"/>
  <c r="N77" i="33"/>
  <c r="N78" i="33"/>
  <c r="N79" i="33"/>
  <c r="N80" i="33"/>
  <c r="N81" i="33"/>
  <c r="N82" i="33"/>
  <c r="N83" i="33"/>
  <c r="N84" i="33"/>
  <c r="N85" i="33"/>
  <c r="N86" i="33"/>
  <c r="N87" i="33"/>
  <c r="N88" i="33"/>
  <c r="N89" i="33"/>
  <c r="N90" i="33"/>
  <c r="N91" i="33"/>
  <c r="N92" i="33"/>
  <c r="N93" i="33"/>
  <c r="N94" i="33"/>
  <c r="N95" i="33"/>
  <c r="N96" i="33"/>
  <c r="N97" i="33"/>
  <c r="N98" i="33"/>
  <c r="N99" i="33"/>
  <c r="N100" i="33"/>
  <c r="N101" i="33"/>
  <c r="N102" i="33"/>
  <c r="N103" i="33"/>
  <c r="N104" i="33"/>
  <c r="L104" i="33"/>
  <c r="F56" i="11"/>
  <c r="N80" i="11"/>
  <c r="L80" i="11"/>
  <c r="F22" i="20"/>
  <c r="U62" i="20"/>
  <c r="U63" i="20"/>
  <c r="U64" i="20"/>
  <c r="U66" i="20"/>
  <c r="U68" i="20"/>
  <c r="U70" i="20"/>
  <c r="U71" i="20"/>
  <c r="U72" i="20"/>
  <c r="U73" i="20"/>
  <c r="U74" i="20"/>
  <c r="U75" i="20"/>
  <c r="U76" i="20"/>
  <c r="U77" i="20"/>
  <c r="U78" i="20"/>
  <c r="U79" i="20"/>
  <c r="U80" i="20"/>
  <c r="U81" i="20"/>
  <c r="U82" i="20"/>
  <c r="U83" i="20"/>
  <c r="U84" i="20"/>
  <c r="U85" i="20"/>
  <c r="U86" i="20"/>
  <c r="U87" i="20"/>
  <c r="U88" i="20"/>
  <c r="U89" i="20"/>
  <c r="U91" i="20"/>
  <c r="U93" i="20"/>
  <c r="U95" i="20"/>
  <c r="U97" i="20"/>
  <c r="U99" i="20"/>
  <c r="U101" i="20"/>
  <c r="U104" i="20"/>
  <c r="F52" i="20"/>
  <c r="F54" i="20"/>
  <c r="F56"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M104"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L104" i="20"/>
  <c r="N67" i="11"/>
  <c r="L67" i="11"/>
  <c r="N93" i="11"/>
  <c r="L93" i="11"/>
  <c r="N86" i="11"/>
  <c r="L86" i="11"/>
  <c r="F22" i="10"/>
  <c r="U70" i="10"/>
  <c r="U71" i="10"/>
  <c r="U72" i="10"/>
  <c r="U73" i="10"/>
  <c r="U74" i="10"/>
  <c r="U75" i="10"/>
  <c r="U76" i="10"/>
  <c r="U77" i="10"/>
  <c r="U78" i="10"/>
  <c r="U79" i="10"/>
  <c r="U80" i="10"/>
  <c r="U81" i="10"/>
  <c r="U83" i="10"/>
  <c r="U85" i="10"/>
  <c r="U87" i="10"/>
  <c r="U89" i="10"/>
  <c r="U91" i="10"/>
  <c r="U93" i="10"/>
  <c r="U95" i="10"/>
  <c r="U97" i="10"/>
  <c r="U99" i="10"/>
  <c r="U101" i="10"/>
  <c r="U104" i="10"/>
  <c r="F52" i="10"/>
  <c r="F54" i="10"/>
  <c r="F56"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L104" i="10"/>
  <c r="F22" i="19"/>
  <c r="U63" i="19"/>
  <c r="U65" i="19"/>
  <c r="U67" i="19"/>
  <c r="U69" i="19"/>
  <c r="U71" i="19"/>
  <c r="U73" i="19"/>
  <c r="U75" i="19"/>
  <c r="U77" i="19"/>
  <c r="U78" i="19"/>
  <c r="U79" i="19"/>
  <c r="U80" i="19"/>
  <c r="U81" i="19"/>
  <c r="U83" i="19"/>
  <c r="U85" i="19"/>
  <c r="U87" i="19"/>
  <c r="U89" i="19"/>
  <c r="U91" i="19"/>
  <c r="U93" i="19"/>
  <c r="U95" i="19"/>
  <c r="U97" i="19"/>
  <c r="U99" i="19"/>
  <c r="U101" i="19"/>
  <c r="U104" i="19"/>
  <c r="F52" i="19"/>
  <c r="F54" i="19"/>
  <c r="F56"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M104"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L104" i="19"/>
  <c r="J104" i="19"/>
  <c r="F2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F52" i="8"/>
  <c r="F54" i="8"/>
  <c r="F23" i="7"/>
  <c r="F2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F52" i="16"/>
  <c r="F54" i="16"/>
  <c r="F23" i="17"/>
  <c r="F23" i="27"/>
  <c r="F22" i="25"/>
  <c r="U63" i="25"/>
  <c r="U64" i="25"/>
  <c r="U65" i="25"/>
  <c r="U66" i="25"/>
  <c r="U67" i="25"/>
  <c r="U68" i="25"/>
  <c r="U69" i="25"/>
  <c r="U70" i="25"/>
  <c r="U71" i="25"/>
  <c r="U72" i="25"/>
  <c r="U73" i="25"/>
  <c r="U74" i="25"/>
  <c r="U75" i="25"/>
  <c r="U76" i="25"/>
  <c r="U77" i="25"/>
  <c r="U78" i="25"/>
  <c r="U79" i="25"/>
  <c r="U80" i="25"/>
  <c r="U81" i="25"/>
  <c r="U82" i="25"/>
  <c r="U83" i="25"/>
  <c r="U84" i="25"/>
  <c r="U85" i="25"/>
  <c r="U86" i="25"/>
  <c r="U87" i="25"/>
  <c r="U88" i="25"/>
  <c r="U89" i="25"/>
  <c r="U90" i="25"/>
  <c r="U91" i="25"/>
  <c r="U92" i="25"/>
  <c r="U93" i="25"/>
  <c r="U94" i="25"/>
  <c r="U95" i="25"/>
  <c r="U96" i="25"/>
  <c r="U97" i="25"/>
  <c r="U98" i="25"/>
  <c r="U99" i="25"/>
  <c r="U100" i="25"/>
  <c r="U101" i="25"/>
  <c r="U102" i="25"/>
  <c r="U103" i="25"/>
  <c r="U104" i="25"/>
  <c r="F52" i="25"/>
  <c r="F54" i="25"/>
  <c r="F56"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M104"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L104" i="8"/>
  <c r="K9" i="92"/>
  <c r="K74" i="92"/>
  <c r="K78" i="92"/>
  <c r="Q6" i="9"/>
  <c r="T6" i="9"/>
  <c r="U6" i="9"/>
  <c r="Q54" i="9"/>
  <c r="R6" i="9"/>
  <c r="V6" i="9"/>
  <c r="S6" i="9"/>
  <c r="X75" i="9"/>
  <c r="X72" i="9"/>
  <c r="X73" i="9"/>
  <c r="V62" i="9"/>
  <c r="V64" i="9"/>
  <c r="V66" i="9"/>
  <c r="V68" i="9"/>
  <c r="V70" i="9"/>
  <c r="V72" i="9"/>
  <c r="V74" i="9"/>
  <c r="V76" i="9"/>
  <c r="M98" i="9"/>
  <c r="L98" i="9"/>
  <c r="M100" i="9"/>
  <c r="L100" i="9"/>
  <c r="M102" i="9"/>
  <c r="L102" i="9"/>
  <c r="V63" i="9"/>
  <c r="V65" i="9"/>
  <c r="V67" i="9"/>
  <c r="V69" i="9"/>
  <c r="V71" i="9"/>
  <c r="V73" i="9"/>
  <c r="V75" i="9"/>
  <c r="V77" i="9"/>
  <c r="X69" i="9"/>
  <c r="X67" i="9"/>
  <c r="X64" i="9"/>
  <c r="X71" i="9"/>
  <c r="X63" i="9"/>
  <c r="X76" i="9"/>
  <c r="X68" i="9"/>
  <c r="X77" i="9"/>
  <c r="X65" i="9"/>
  <c r="W63" i="9"/>
  <c r="W65" i="9"/>
  <c r="W67" i="9"/>
  <c r="W69" i="9"/>
  <c r="W71" i="9"/>
  <c r="W73" i="9"/>
  <c r="W75" i="9"/>
  <c r="W77" i="9"/>
  <c r="M99" i="9"/>
  <c r="L99" i="9"/>
  <c r="M101" i="9"/>
  <c r="L101" i="9"/>
  <c r="M103" i="9"/>
  <c r="L103" i="9"/>
  <c r="W62" i="9"/>
  <c r="W64" i="9"/>
  <c r="W66" i="9"/>
  <c r="W68" i="9"/>
  <c r="W70" i="9"/>
  <c r="W72" i="9"/>
  <c r="W74" i="9"/>
  <c r="W76" i="9"/>
  <c r="X62" i="9"/>
  <c r="X70" i="9"/>
  <c r="X66" i="9"/>
  <c r="X74" i="9"/>
  <c r="G57" i="26"/>
  <c r="W74" i="26"/>
  <c r="M74" i="26"/>
  <c r="L74" i="26"/>
  <c r="Y74" i="26"/>
  <c r="X74" i="26"/>
  <c r="V74" i="26"/>
  <c r="X63" i="26"/>
  <c r="X65" i="26"/>
  <c r="X67" i="26"/>
  <c r="X69" i="26"/>
  <c r="X71" i="26"/>
  <c r="X73" i="26"/>
  <c r="X77" i="26"/>
  <c r="X76" i="26"/>
  <c r="X80" i="26"/>
  <c r="V63" i="26"/>
  <c r="V65" i="26"/>
  <c r="V67" i="26"/>
  <c r="V69" i="26"/>
  <c r="M72" i="26"/>
  <c r="L72" i="26"/>
  <c r="M73" i="26"/>
  <c r="L73" i="26"/>
  <c r="M75" i="26"/>
  <c r="L75" i="26"/>
  <c r="M76" i="26"/>
  <c r="M78" i="26"/>
  <c r="M80" i="26"/>
  <c r="Y62" i="26"/>
  <c r="Y63" i="26"/>
  <c r="Y64" i="26"/>
  <c r="Y65" i="26"/>
  <c r="Y66" i="26"/>
  <c r="Y67" i="26"/>
  <c r="Y68" i="26"/>
  <c r="Y69" i="26"/>
  <c r="Y70" i="26"/>
  <c r="W71" i="26"/>
  <c r="Y72" i="26"/>
  <c r="W73" i="26"/>
  <c r="W75" i="26"/>
  <c r="V76" i="26"/>
  <c r="W77" i="26"/>
  <c r="V78" i="26"/>
  <c r="W79" i="26"/>
  <c r="V80" i="26"/>
  <c r="X62" i="26"/>
  <c r="X64" i="26"/>
  <c r="X66" i="26"/>
  <c r="X68" i="26"/>
  <c r="X70" i="26"/>
  <c r="X72" i="26"/>
  <c r="X75" i="26"/>
  <c r="X79" i="26"/>
  <c r="X78" i="26"/>
  <c r="V62" i="26"/>
  <c r="V64" i="26"/>
  <c r="V66" i="26"/>
  <c r="V68" i="26"/>
  <c r="V70" i="26"/>
  <c r="V71" i="26"/>
  <c r="V72" i="26"/>
  <c r="V73" i="26"/>
  <c r="V75" i="26"/>
  <c r="W76" i="26"/>
  <c r="V77" i="26"/>
  <c r="W78" i="26"/>
  <c r="V79" i="26"/>
  <c r="W80" i="26"/>
  <c r="M82" i="26"/>
  <c r="L82" i="26"/>
  <c r="M84" i="26"/>
  <c r="L84" i="26"/>
  <c r="M86" i="26"/>
  <c r="L86" i="26"/>
  <c r="M88" i="26"/>
  <c r="L88" i="26"/>
  <c r="M90" i="26"/>
  <c r="L90" i="26"/>
  <c r="M92" i="26"/>
  <c r="L92" i="26"/>
  <c r="M94" i="26"/>
  <c r="L94" i="26"/>
  <c r="M96" i="26"/>
  <c r="L96" i="26"/>
  <c r="M98" i="26"/>
  <c r="L98" i="26"/>
  <c r="M100" i="26"/>
  <c r="L100" i="26"/>
  <c r="M102" i="26"/>
  <c r="L102" i="26"/>
  <c r="W62" i="26"/>
  <c r="W63" i="26"/>
  <c r="W64" i="26"/>
  <c r="W65" i="26"/>
  <c r="W66" i="26"/>
  <c r="W67" i="26"/>
  <c r="W68" i="26"/>
  <c r="W69" i="26"/>
  <c r="W70" i="26"/>
  <c r="Y71" i="26"/>
  <c r="W72" i="26"/>
  <c r="Y73" i="26"/>
  <c r="G57" i="12"/>
  <c r="M101" i="12"/>
  <c r="L101" i="12"/>
  <c r="M97" i="12"/>
  <c r="L97" i="12"/>
  <c r="M93" i="12"/>
  <c r="L93" i="12"/>
  <c r="X78" i="12"/>
  <c r="V76" i="12"/>
  <c r="W73" i="12"/>
  <c r="X70" i="12"/>
  <c r="V68" i="12"/>
  <c r="W65" i="12"/>
  <c r="X62" i="12"/>
  <c r="W78" i="12"/>
  <c r="X75" i="12"/>
  <c r="V73" i="12"/>
  <c r="W70" i="12"/>
  <c r="X67" i="12"/>
  <c r="V65" i="12"/>
  <c r="W62" i="12"/>
  <c r="X76" i="12"/>
  <c r="W71" i="12"/>
  <c r="V66" i="12"/>
  <c r="M102" i="12"/>
  <c r="M94" i="12"/>
  <c r="V79" i="12"/>
  <c r="X73" i="12"/>
  <c r="W68" i="12"/>
  <c r="V63" i="12"/>
  <c r="L92" i="12"/>
  <c r="X72" i="12"/>
  <c r="V62" i="12"/>
  <c r="W80" i="12"/>
  <c r="X69" i="12"/>
  <c r="X64" i="12"/>
  <c r="W72" i="12"/>
  <c r="X80" i="12"/>
  <c r="V67" i="12"/>
  <c r="V70" i="12"/>
  <c r="M99" i="12"/>
  <c r="L99" i="12"/>
  <c r="M95" i="12"/>
  <c r="L95" i="12"/>
  <c r="M91" i="12"/>
  <c r="L91" i="12"/>
  <c r="V80" i="12"/>
  <c r="W77" i="12"/>
  <c r="X74" i="12"/>
  <c r="V72" i="12"/>
  <c r="W69" i="12"/>
  <c r="X66" i="12"/>
  <c r="V64" i="12"/>
  <c r="L103" i="12"/>
  <c r="X79" i="12"/>
  <c r="V77" i="12"/>
  <c r="W74" i="12"/>
  <c r="X71" i="12"/>
  <c r="V69" i="12"/>
  <c r="W66" i="12"/>
  <c r="X63" i="12"/>
  <c r="W79" i="12"/>
  <c r="V74" i="12"/>
  <c r="X68" i="12"/>
  <c r="W63" i="12"/>
  <c r="M98" i="12"/>
  <c r="M90" i="12"/>
  <c r="W76" i="12"/>
  <c r="V71" i="12"/>
  <c r="X65" i="12"/>
  <c r="L100" i="12"/>
  <c r="V78" i="12"/>
  <c r="W67" i="12"/>
  <c r="M96" i="12"/>
  <c r="V75" i="12"/>
  <c r="W64" i="12"/>
  <c r="W75" i="12"/>
  <c r="M92" i="12"/>
  <c r="M100" i="12"/>
  <c r="X77" i="12"/>
  <c r="M103" i="12"/>
  <c r="N75" i="11"/>
  <c r="L75" i="11"/>
  <c r="F56"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L104" i="21"/>
  <c r="N63" i="11"/>
  <c r="L63" i="11"/>
  <c r="N71" i="11"/>
  <c r="L71" i="11"/>
  <c r="N62" i="11"/>
  <c r="L62" i="11"/>
  <c r="N90" i="11"/>
  <c r="L90" i="11"/>
  <c r="N78" i="11"/>
  <c r="L78" i="11"/>
  <c r="Q6" i="29"/>
  <c r="U6" i="29"/>
  <c r="T6" i="29"/>
  <c r="V6" i="29"/>
  <c r="S6" i="29"/>
  <c r="X74" i="29"/>
  <c r="W74" i="29"/>
  <c r="V74" i="29"/>
  <c r="X78" i="29"/>
  <c r="W78" i="29"/>
  <c r="V78" i="29"/>
  <c r="X73" i="29"/>
  <c r="W73" i="29"/>
  <c r="V73" i="29"/>
  <c r="W75" i="29"/>
  <c r="V75" i="29"/>
  <c r="X75" i="29"/>
  <c r="V76" i="29"/>
  <c r="X76" i="29"/>
  <c r="W76" i="29"/>
  <c r="X77" i="29"/>
  <c r="W77" i="29"/>
  <c r="V77" i="29"/>
  <c r="W79" i="29"/>
  <c r="V79" i="29"/>
  <c r="X79" i="29"/>
  <c r="V80" i="29"/>
  <c r="X80" i="29"/>
  <c r="W80" i="29"/>
  <c r="V62" i="29"/>
  <c r="W63" i="29"/>
  <c r="X64" i="29"/>
  <c r="V66" i="29"/>
  <c r="W67" i="29"/>
  <c r="X68" i="29"/>
  <c r="V70" i="29"/>
  <c r="W71" i="29"/>
  <c r="M73" i="29"/>
  <c r="L73" i="29"/>
  <c r="M77" i="29"/>
  <c r="L77" i="29"/>
  <c r="M83" i="29"/>
  <c r="L83" i="29"/>
  <c r="M87" i="29"/>
  <c r="L87" i="29"/>
  <c r="M91" i="29"/>
  <c r="L91" i="29"/>
  <c r="M95" i="29"/>
  <c r="L95" i="29"/>
  <c r="M99" i="29"/>
  <c r="L99" i="29"/>
  <c r="M101" i="29"/>
  <c r="L101" i="29"/>
  <c r="M103" i="29"/>
  <c r="L103" i="29"/>
  <c r="V63" i="29"/>
  <c r="W64" i="29"/>
  <c r="X65" i="29"/>
  <c r="V67" i="29"/>
  <c r="W68" i="29"/>
  <c r="X69" i="29"/>
  <c r="V71" i="29"/>
  <c r="M76" i="29"/>
  <c r="M80" i="29"/>
  <c r="X62" i="29"/>
  <c r="V64" i="29"/>
  <c r="W65" i="29"/>
  <c r="X66" i="29"/>
  <c r="V68" i="29"/>
  <c r="W69" i="29"/>
  <c r="X70" i="29"/>
  <c r="M75" i="29"/>
  <c r="L75" i="29"/>
  <c r="M82" i="29"/>
  <c r="L82" i="29"/>
  <c r="M90" i="29"/>
  <c r="L90" i="29"/>
  <c r="M94" i="29"/>
  <c r="L94" i="29"/>
  <c r="M102" i="29"/>
  <c r="L102" i="29"/>
  <c r="W62" i="29"/>
  <c r="X63" i="29"/>
  <c r="V65" i="29"/>
  <c r="W66" i="29"/>
  <c r="X67" i="29"/>
  <c r="V69" i="29"/>
  <c r="W70" i="29"/>
  <c r="X71" i="29"/>
  <c r="M74" i="29"/>
  <c r="M78" i="29"/>
  <c r="M84" i="29"/>
  <c r="M88" i="29"/>
  <c r="M92" i="29"/>
  <c r="M96" i="29"/>
  <c r="M100" i="29"/>
  <c r="J104" i="9"/>
  <c r="F22" i="17"/>
  <c r="U63" i="17"/>
  <c r="U65" i="17"/>
  <c r="U67" i="17"/>
  <c r="U69" i="17"/>
  <c r="U71" i="17"/>
  <c r="U73" i="17"/>
  <c r="U75" i="17"/>
  <c r="U77" i="17"/>
  <c r="U79" i="17"/>
  <c r="U81" i="17"/>
  <c r="U83" i="17"/>
  <c r="U85" i="17"/>
  <c r="U87" i="17"/>
  <c r="U89" i="17"/>
  <c r="U91" i="17"/>
  <c r="U93" i="17"/>
  <c r="U95" i="17"/>
  <c r="U97" i="17"/>
  <c r="U99" i="17"/>
  <c r="U101" i="17"/>
  <c r="U104" i="17"/>
  <c r="F52" i="17"/>
  <c r="F54" i="17"/>
  <c r="F23" i="19"/>
  <c r="F23" i="25"/>
  <c r="F23" i="29"/>
  <c r="Q6" i="33"/>
  <c r="Q6" i="13"/>
  <c r="F23" i="10"/>
  <c r="F22" i="15"/>
  <c r="F54" i="15"/>
  <c r="F56" i="15"/>
  <c r="F23" i="15"/>
  <c r="F23" i="30"/>
  <c r="F22" i="13"/>
  <c r="F37" i="13"/>
  <c r="U71" i="13"/>
  <c r="U72" i="13"/>
  <c r="U73" i="13"/>
  <c r="U74" i="13"/>
  <c r="U75" i="13"/>
  <c r="U76" i="13"/>
  <c r="U77" i="13"/>
  <c r="U78" i="13"/>
  <c r="U79" i="13"/>
  <c r="U80" i="13"/>
  <c r="U81" i="13"/>
  <c r="U82" i="13"/>
  <c r="U83" i="13"/>
  <c r="U84" i="13"/>
  <c r="U85" i="13"/>
  <c r="U86" i="13"/>
  <c r="U87" i="13"/>
  <c r="U89" i="13"/>
  <c r="U91" i="13"/>
  <c r="U93" i="13"/>
  <c r="U95" i="13"/>
  <c r="U97" i="13"/>
  <c r="U99" i="13"/>
  <c r="U101" i="13"/>
  <c r="U104" i="13"/>
  <c r="F52" i="13"/>
  <c r="F54" i="13"/>
  <c r="K8" i="92"/>
  <c r="K14" i="92"/>
  <c r="M100" i="7"/>
  <c r="L100" i="7"/>
  <c r="M98" i="7"/>
  <c r="L98" i="7"/>
  <c r="M94" i="7"/>
  <c r="L94" i="7"/>
  <c r="M90" i="7"/>
  <c r="L90" i="7"/>
  <c r="M86" i="7"/>
  <c r="L86" i="7"/>
  <c r="M82" i="7"/>
  <c r="L82" i="7"/>
  <c r="M79" i="7"/>
  <c r="L79" i="7"/>
  <c r="M75" i="7"/>
  <c r="L75" i="7"/>
  <c r="M71" i="7"/>
  <c r="L71" i="7"/>
  <c r="M67" i="7"/>
  <c r="L67" i="7"/>
  <c r="M80" i="8"/>
  <c r="L80" i="8"/>
  <c r="M76" i="8"/>
  <c r="L76" i="8"/>
  <c r="M72" i="8"/>
  <c r="L72" i="8"/>
  <c r="M68" i="8"/>
  <c r="L68" i="8"/>
  <c r="O96" i="10"/>
  <c r="M96" i="10"/>
  <c r="L96" i="10"/>
  <c r="O78" i="10"/>
  <c r="M78" i="10"/>
  <c r="L78" i="10"/>
  <c r="O101" i="10"/>
  <c r="M101" i="10"/>
  <c r="L101" i="10"/>
  <c r="O94" i="10"/>
  <c r="M94" i="10"/>
  <c r="L94" i="10"/>
  <c r="O86" i="10"/>
  <c r="M86" i="10"/>
  <c r="L86" i="10"/>
  <c r="O75" i="10"/>
  <c r="M75" i="10"/>
  <c r="L75" i="10"/>
  <c r="O71" i="10"/>
  <c r="M71" i="10"/>
  <c r="L71" i="10"/>
  <c r="O100" i="11"/>
  <c r="M100" i="11"/>
  <c r="N100" i="11"/>
  <c r="L100" i="11"/>
  <c r="O96" i="11"/>
  <c r="M96" i="11"/>
  <c r="N96" i="11"/>
  <c r="L96" i="11"/>
  <c r="O92" i="11"/>
  <c r="M92" i="11"/>
  <c r="N92" i="11"/>
  <c r="L92" i="11"/>
  <c r="O88" i="11"/>
  <c r="M88" i="11"/>
  <c r="N88" i="11"/>
  <c r="L88" i="11"/>
  <c r="O84" i="11"/>
  <c r="M84" i="11"/>
  <c r="N84" i="11"/>
  <c r="L84" i="11"/>
  <c r="O79" i="11"/>
  <c r="M79" i="11"/>
  <c r="N79" i="11"/>
  <c r="L79" i="11"/>
  <c r="O103" i="11"/>
  <c r="M103" i="11"/>
  <c r="N103" i="11"/>
  <c r="L103" i="11"/>
  <c r="O99" i="11"/>
  <c r="M99" i="11"/>
  <c r="N99" i="11"/>
  <c r="L99" i="11"/>
  <c r="O95" i="11"/>
  <c r="M95" i="11"/>
  <c r="N95" i="11"/>
  <c r="L95" i="11"/>
  <c r="O91" i="11"/>
  <c r="M91" i="11"/>
  <c r="N91" i="11"/>
  <c r="L91" i="11"/>
  <c r="O72" i="11"/>
  <c r="M72" i="11"/>
  <c r="N72" i="11"/>
  <c r="L72" i="11"/>
  <c r="O70" i="11"/>
  <c r="M70" i="11"/>
  <c r="N70" i="11"/>
  <c r="L70" i="11"/>
  <c r="O68" i="11"/>
  <c r="M68" i="11"/>
  <c r="N68" i="11"/>
  <c r="L68" i="11"/>
  <c r="O66" i="11"/>
  <c r="M66" i="11"/>
  <c r="N66" i="11"/>
  <c r="L66" i="11"/>
  <c r="O64" i="11"/>
  <c r="M64" i="11"/>
  <c r="N64" i="11"/>
  <c r="L64" i="11"/>
  <c r="F56" i="13"/>
  <c r="O102" i="13"/>
  <c r="M102" i="13"/>
  <c r="N102" i="13"/>
  <c r="L102" i="13"/>
  <c r="O98" i="13"/>
  <c r="M98" i="13"/>
  <c r="N98" i="13"/>
  <c r="L98" i="13"/>
  <c r="O90" i="13"/>
  <c r="M90" i="13"/>
  <c r="N90" i="13"/>
  <c r="L90" i="13"/>
  <c r="O78" i="13"/>
  <c r="M78" i="13"/>
  <c r="N78" i="13"/>
  <c r="L78" i="13"/>
  <c r="O74" i="13"/>
  <c r="M74" i="13"/>
  <c r="N74" i="13"/>
  <c r="L74" i="13"/>
  <c r="O71" i="13"/>
  <c r="O72" i="13"/>
  <c r="O73" i="13"/>
  <c r="O75" i="13"/>
  <c r="O76" i="13"/>
  <c r="O77" i="13"/>
  <c r="O79" i="13"/>
  <c r="O80" i="13"/>
  <c r="O81" i="13"/>
  <c r="O82" i="13"/>
  <c r="O83" i="13"/>
  <c r="O84" i="13"/>
  <c r="O85" i="13"/>
  <c r="O86" i="13"/>
  <c r="O87" i="13"/>
  <c r="O88" i="13"/>
  <c r="O89" i="13"/>
  <c r="O91" i="13"/>
  <c r="O92" i="13"/>
  <c r="O93" i="13"/>
  <c r="O94" i="13"/>
  <c r="O95" i="13"/>
  <c r="O96" i="13"/>
  <c r="O97" i="13"/>
  <c r="O99" i="13"/>
  <c r="O100" i="13"/>
  <c r="O101" i="13"/>
  <c r="O103" i="13"/>
  <c r="O104" i="13"/>
  <c r="M104" i="13"/>
  <c r="N71" i="13"/>
  <c r="N72" i="13"/>
  <c r="N73" i="13"/>
  <c r="N75" i="13"/>
  <c r="N76" i="13"/>
  <c r="N77" i="13"/>
  <c r="N79" i="13"/>
  <c r="N80" i="13"/>
  <c r="N81" i="13"/>
  <c r="N82" i="13"/>
  <c r="N83" i="13"/>
  <c r="N84" i="13"/>
  <c r="N85" i="13"/>
  <c r="N86" i="13"/>
  <c r="N87" i="13"/>
  <c r="N88" i="13"/>
  <c r="N89" i="13"/>
  <c r="N91" i="13"/>
  <c r="N92" i="13"/>
  <c r="N93" i="13"/>
  <c r="N94" i="13"/>
  <c r="N95" i="13"/>
  <c r="N96" i="13"/>
  <c r="N97" i="13"/>
  <c r="N99" i="13"/>
  <c r="N100" i="13"/>
  <c r="N101" i="13"/>
  <c r="N103" i="13"/>
  <c r="N104" i="13"/>
  <c r="L104" i="13"/>
  <c r="M92" i="13"/>
  <c r="L92" i="13"/>
  <c r="F56" i="16"/>
  <c r="O80" i="16"/>
  <c r="M80" i="16"/>
  <c r="N80" i="16"/>
  <c r="L80" i="16"/>
  <c r="O76" i="16"/>
  <c r="M76" i="16"/>
  <c r="N76" i="16"/>
  <c r="L76" i="16"/>
  <c r="O72" i="16"/>
  <c r="M72" i="16"/>
  <c r="N72" i="16"/>
  <c r="L72" i="16"/>
  <c r="O68" i="16"/>
  <c r="M68" i="16"/>
  <c r="N68" i="16"/>
  <c r="L68" i="16"/>
  <c r="O62" i="16"/>
  <c r="O63" i="16"/>
  <c r="O64" i="16"/>
  <c r="O65" i="16"/>
  <c r="O66" i="16"/>
  <c r="O67" i="16"/>
  <c r="O69" i="16"/>
  <c r="O70" i="16"/>
  <c r="O71" i="16"/>
  <c r="O73" i="16"/>
  <c r="O74" i="16"/>
  <c r="O75" i="16"/>
  <c r="O77" i="16"/>
  <c r="O78" i="16"/>
  <c r="O79" i="16"/>
  <c r="O81" i="16"/>
  <c r="O82" i="16"/>
  <c r="O83" i="16"/>
  <c r="O84" i="16"/>
  <c r="O85" i="16"/>
  <c r="O86" i="16"/>
  <c r="O87" i="16"/>
  <c r="O88" i="16"/>
  <c r="O89" i="16"/>
  <c r="O90" i="16"/>
  <c r="O91" i="16"/>
  <c r="O92" i="16"/>
  <c r="O93" i="16"/>
  <c r="O94" i="16"/>
  <c r="O95" i="16"/>
  <c r="O96" i="16"/>
  <c r="O97" i="16"/>
  <c r="O98" i="16"/>
  <c r="O99" i="16"/>
  <c r="O100" i="16"/>
  <c r="O101" i="16"/>
  <c r="O102" i="16"/>
  <c r="O103" i="16"/>
  <c r="O104" i="16"/>
  <c r="M104" i="16"/>
  <c r="N62" i="16"/>
  <c r="N63" i="16"/>
  <c r="N64" i="16"/>
  <c r="N65" i="16"/>
  <c r="N66" i="16"/>
  <c r="N67" i="16"/>
  <c r="N69" i="16"/>
  <c r="N70" i="16"/>
  <c r="N71" i="16"/>
  <c r="N73" i="16"/>
  <c r="N74" i="16"/>
  <c r="N75" i="16"/>
  <c r="N77" i="16"/>
  <c r="N78" i="16"/>
  <c r="N79" i="16"/>
  <c r="N81" i="16"/>
  <c r="N82" i="16"/>
  <c r="N83" i="16"/>
  <c r="N84" i="16"/>
  <c r="N85" i="16"/>
  <c r="N86" i="16"/>
  <c r="N87" i="16"/>
  <c r="N88" i="16"/>
  <c r="N89" i="16"/>
  <c r="N90" i="16"/>
  <c r="N91" i="16"/>
  <c r="N92" i="16"/>
  <c r="N93" i="16"/>
  <c r="N94" i="16"/>
  <c r="N95" i="16"/>
  <c r="N96" i="16"/>
  <c r="N97" i="16"/>
  <c r="N98" i="16"/>
  <c r="N99" i="16"/>
  <c r="N100" i="16"/>
  <c r="N101" i="16"/>
  <c r="N102" i="16"/>
  <c r="N103" i="16"/>
  <c r="N104" i="16"/>
  <c r="L104" i="16"/>
  <c r="F56" i="17"/>
  <c r="O100" i="17"/>
  <c r="M100" i="17"/>
  <c r="N100" i="17"/>
  <c r="L100" i="17"/>
  <c r="O96" i="17"/>
  <c r="M96" i="17"/>
  <c r="N96" i="17"/>
  <c r="L96" i="17"/>
  <c r="O91" i="17"/>
  <c r="M91" i="17"/>
  <c r="N91" i="17"/>
  <c r="L91" i="17"/>
  <c r="O87" i="17"/>
  <c r="M87" i="17"/>
  <c r="N87" i="17"/>
  <c r="L87" i="17"/>
  <c r="M92" i="19"/>
  <c r="L92" i="19"/>
  <c r="M84" i="19"/>
  <c r="L84" i="19"/>
  <c r="M101" i="19"/>
  <c r="L101" i="19"/>
  <c r="M97" i="19"/>
  <c r="L97" i="19"/>
  <c r="M92" i="20"/>
  <c r="L92" i="20"/>
  <c r="M78" i="20"/>
  <c r="L78" i="20"/>
  <c r="M74" i="20"/>
  <c r="L74" i="20"/>
  <c r="M64" i="20"/>
  <c r="L64" i="20"/>
  <c r="M101" i="20"/>
  <c r="L101" i="20"/>
  <c r="M97" i="20"/>
  <c r="L97" i="20"/>
  <c r="O102" i="21"/>
  <c r="M102" i="21"/>
  <c r="L102" i="21"/>
  <c r="O98" i="21"/>
  <c r="M98" i="21"/>
  <c r="L98" i="21"/>
  <c r="O82" i="21"/>
  <c r="M82" i="21"/>
  <c r="L82" i="21"/>
  <c r="O67" i="21"/>
  <c r="M67" i="21"/>
  <c r="L67" i="21"/>
  <c r="O96" i="21"/>
  <c r="M96" i="21"/>
  <c r="L96" i="21"/>
  <c r="O91" i="21"/>
  <c r="M91" i="21"/>
  <c r="L91" i="21"/>
  <c r="O84" i="21"/>
  <c r="M84" i="21"/>
  <c r="L84" i="21"/>
  <c r="O74" i="21"/>
  <c r="M74" i="21"/>
  <c r="L74" i="21"/>
  <c r="M92" i="24"/>
  <c r="L92" i="24"/>
  <c r="M74" i="24"/>
  <c r="L74" i="24"/>
  <c r="M101" i="24"/>
  <c r="L101" i="24"/>
  <c r="M97" i="24"/>
  <c r="L97" i="24"/>
  <c r="M86" i="24"/>
  <c r="L86" i="24"/>
  <c r="M79" i="24"/>
  <c r="L79" i="24"/>
  <c r="M65" i="24"/>
  <c r="L65" i="24"/>
  <c r="F56" i="25"/>
  <c r="O80" i="25"/>
  <c r="M80" i="25"/>
  <c r="N80" i="25"/>
  <c r="L80" i="25"/>
  <c r="O76" i="25"/>
  <c r="M76" i="25"/>
  <c r="N76" i="25"/>
  <c r="L76" i="25"/>
  <c r="O72" i="25"/>
  <c r="M72" i="25"/>
  <c r="N72" i="25"/>
  <c r="L72" i="25"/>
  <c r="O68" i="25"/>
  <c r="M68" i="25"/>
  <c r="N68" i="25"/>
  <c r="L68" i="25"/>
  <c r="O62" i="25"/>
  <c r="O63" i="25"/>
  <c r="O64" i="25"/>
  <c r="O65" i="25"/>
  <c r="O66" i="25"/>
  <c r="O67" i="25"/>
  <c r="O69" i="25"/>
  <c r="O70" i="25"/>
  <c r="O71" i="25"/>
  <c r="O73" i="25"/>
  <c r="O74" i="25"/>
  <c r="O75" i="25"/>
  <c r="O77" i="25"/>
  <c r="O78" i="25"/>
  <c r="O79" i="25"/>
  <c r="O81" i="25"/>
  <c r="O82" i="25"/>
  <c r="O83" i="25"/>
  <c r="O84" i="25"/>
  <c r="O85" i="25"/>
  <c r="O86" i="25"/>
  <c r="O87" i="25"/>
  <c r="O88" i="25"/>
  <c r="O89" i="25"/>
  <c r="O90" i="25"/>
  <c r="O91" i="25"/>
  <c r="O92" i="25"/>
  <c r="O93" i="25"/>
  <c r="O94" i="25"/>
  <c r="O95" i="25"/>
  <c r="O96" i="25"/>
  <c r="O97" i="25"/>
  <c r="O98" i="25"/>
  <c r="O99" i="25"/>
  <c r="O100" i="25"/>
  <c r="O101" i="25"/>
  <c r="O102" i="25"/>
  <c r="O103" i="25"/>
  <c r="O104" i="25"/>
  <c r="M104" i="25"/>
  <c r="N62" i="25"/>
  <c r="N63" i="25"/>
  <c r="N64" i="25"/>
  <c r="N65" i="25"/>
  <c r="N66" i="25"/>
  <c r="N67" i="25"/>
  <c r="N69" i="25"/>
  <c r="N70" i="25"/>
  <c r="N71" i="25"/>
  <c r="N73" i="25"/>
  <c r="N74" i="25"/>
  <c r="N75" i="25"/>
  <c r="N77" i="25"/>
  <c r="N78" i="25"/>
  <c r="N79" i="25"/>
  <c r="N81" i="25"/>
  <c r="N82" i="25"/>
  <c r="N83" i="25"/>
  <c r="N84" i="25"/>
  <c r="N85" i="25"/>
  <c r="N86" i="25"/>
  <c r="N87" i="25"/>
  <c r="N88" i="25"/>
  <c r="N89" i="25"/>
  <c r="N90" i="25"/>
  <c r="N91" i="25"/>
  <c r="N92" i="25"/>
  <c r="N93" i="25"/>
  <c r="N94" i="25"/>
  <c r="N95" i="25"/>
  <c r="N96" i="25"/>
  <c r="N97" i="25"/>
  <c r="N98" i="25"/>
  <c r="N99" i="25"/>
  <c r="N100" i="25"/>
  <c r="N101" i="25"/>
  <c r="N102" i="25"/>
  <c r="N103" i="25"/>
  <c r="N104" i="25"/>
  <c r="L104" i="25"/>
  <c r="F56" i="27"/>
  <c r="O96" i="27"/>
  <c r="M96" i="27"/>
  <c r="N96" i="27"/>
  <c r="L96" i="27"/>
  <c r="O88" i="27"/>
  <c r="M88" i="27"/>
  <c r="N88" i="27"/>
  <c r="L88" i="27"/>
  <c r="O80" i="27"/>
  <c r="M80" i="27"/>
  <c r="N80" i="27"/>
  <c r="L80" i="27"/>
  <c r="O98" i="27"/>
  <c r="M98" i="27"/>
  <c r="N98" i="27"/>
  <c r="L98" i="27"/>
  <c r="O82" i="27"/>
  <c r="M82" i="27"/>
  <c r="N82" i="27"/>
  <c r="L82" i="27"/>
  <c r="O73" i="27"/>
  <c r="M73" i="27"/>
  <c r="N73" i="27"/>
  <c r="L73" i="27"/>
  <c r="M102" i="28"/>
  <c r="L102" i="28"/>
  <c r="M98" i="28"/>
  <c r="L98" i="28"/>
  <c r="M77" i="28"/>
  <c r="L77" i="28"/>
  <c r="M73" i="28"/>
  <c r="L73" i="28"/>
  <c r="M69" i="28"/>
  <c r="L69" i="28"/>
  <c r="M92" i="28"/>
  <c r="L92" i="28"/>
  <c r="M87" i="28"/>
  <c r="L87" i="28"/>
  <c r="M98" i="30"/>
  <c r="L98" i="30"/>
  <c r="M71" i="30"/>
  <c r="L71" i="30"/>
  <c r="M67" i="30"/>
  <c r="L67" i="30"/>
  <c r="M100" i="30"/>
  <c r="L100" i="30"/>
  <c r="M92" i="30"/>
  <c r="L92" i="30"/>
  <c r="M84" i="30"/>
  <c r="L84" i="30"/>
  <c r="M78" i="30"/>
  <c r="L78" i="30"/>
  <c r="M74" i="30"/>
  <c r="L74" i="30"/>
  <c r="M98" i="33"/>
  <c r="L98" i="33"/>
  <c r="M90" i="33"/>
  <c r="L90" i="33"/>
  <c r="M82" i="33"/>
  <c r="L82" i="33"/>
  <c r="M69" i="33"/>
  <c r="L69" i="33"/>
  <c r="M100" i="33"/>
  <c r="L100" i="33"/>
  <c r="M92" i="33"/>
  <c r="L92" i="33"/>
  <c r="M76" i="33"/>
  <c r="L76" i="33"/>
  <c r="M64" i="33"/>
  <c r="L64" i="33"/>
  <c r="M94" i="30"/>
  <c r="L94" i="30"/>
  <c r="M63" i="30"/>
  <c r="L63" i="30"/>
  <c r="O94" i="27"/>
  <c r="M94" i="27"/>
  <c r="N94" i="27"/>
  <c r="L94" i="27"/>
  <c r="M63" i="25"/>
  <c r="L63" i="25"/>
  <c r="M72" i="24"/>
  <c r="L72" i="24"/>
  <c r="O97" i="21"/>
  <c r="M97" i="21"/>
  <c r="L97" i="21"/>
  <c r="O69" i="21"/>
  <c r="M69" i="21"/>
  <c r="L69" i="21"/>
  <c r="M93" i="20"/>
  <c r="L93" i="20"/>
  <c r="M89" i="20"/>
  <c r="L89" i="20"/>
  <c r="M87" i="20"/>
  <c r="L87" i="20"/>
  <c r="M85" i="20"/>
  <c r="L85" i="20"/>
  <c r="M69" i="20"/>
  <c r="L69" i="20"/>
  <c r="O83" i="17"/>
  <c r="M83" i="17"/>
  <c r="N83" i="17"/>
  <c r="L83" i="17"/>
  <c r="O80" i="11"/>
  <c r="M80" i="11"/>
  <c r="O75" i="11"/>
  <c r="M75" i="11"/>
  <c r="O92" i="10"/>
  <c r="M92" i="10"/>
  <c r="L92" i="10"/>
  <c r="M81" i="33"/>
  <c r="L81" i="33"/>
  <c r="M71" i="33"/>
  <c r="L71" i="33"/>
  <c r="M83" i="30"/>
  <c r="L83" i="30"/>
  <c r="M97" i="28"/>
  <c r="L97" i="28"/>
  <c r="O83" i="27"/>
  <c r="M83" i="27"/>
  <c r="N83" i="27"/>
  <c r="L83" i="27"/>
  <c r="O87" i="21"/>
  <c r="M87" i="21"/>
  <c r="L87" i="21"/>
  <c r="M64" i="16"/>
  <c r="L64" i="16"/>
  <c r="O97" i="10"/>
  <c r="M97" i="10"/>
  <c r="L97" i="10"/>
  <c r="M63" i="8"/>
  <c r="L63" i="8"/>
  <c r="O93" i="21"/>
  <c r="M93" i="21"/>
  <c r="L93" i="21"/>
  <c r="O89" i="21"/>
  <c r="M89" i="21"/>
  <c r="L89" i="21"/>
  <c r="O81" i="21"/>
  <c r="M81" i="21"/>
  <c r="L81" i="21"/>
  <c r="O77" i="21"/>
  <c r="M77" i="21"/>
  <c r="L77" i="21"/>
  <c r="O73" i="21"/>
  <c r="M73" i="21"/>
  <c r="L73" i="21"/>
  <c r="M83" i="20"/>
  <c r="L83" i="20"/>
  <c r="M81" i="20"/>
  <c r="L81" i="20"/>
  <c r="M77" i="20"/>
  <c r="L77" i="20"/>
  <c r="M73" i="20"/>
  <c r="L73" i="20"/>
  <c r="M67" i="20"/>
  <c r="L67" i="20"/>
  <c r="M63" i="20"/>
  <c r="L63" i="20"/>
  <c r="M90" i="19"/>
  <c r="L90" i="19"/>
  <c r="M86" i="19"/>
  <c r="L86" i="19"/>
  <c r="M82" i="19"/>
  <c r="L82" i="19"/>
  <c r="M79" i="19"/>
  <c r="L79" i="19"/>
  <c r="O102" i="17"/>
  <c r="M102" i="17"/>
  <c r="N102" i="17"/>
  <c r="L102" i="17"/>
  <c r="O98" i="17"/>
  <c r="M98" i="17"/>
  <c r="N98" i="17"/>
  <c r="L98" i="17"/>
  <c r="O94" i="17"/>
  <c r="M94" i="17"/>
  <c r="N94" i="17"/>
  <c r="L94" i="17"/>
  <c r="M102" i="16"/>
  <c r="L102" i="16"/>
  <c r="M100" i="16"/>
  <c r="L100" i="16"/>
  <c r="M98" i="16"/>
  <c r="L98" i="16"/>
  <c r="M96" i="16"/>
  <c r="L96" i="16"/>
  <c r="M94" i="16"/>
  <c r="L94" i="16"/>
  <c r="M92" i="16"/>
  <c r="L92" i="16"/>
  <c r="M90" i="16"/>
  <c r="L90" i="16"/>
  <c r="M88" i="16"/>
  <c r="L88" i="16"/>
  <c r="M86" i="16"/>
  <c r="L86" i="16"/>
  <c r="M84" i="16"/>
  <c r="L84" i="16"/>
  <c r="M82" i="16"/>
  <c r="L82" i="16"/>
  <c r="M79" i="16"/>
  <c r="L79" i="16"/>
  <c r="M75" i="16"/>
  <c r="L75" i="16"/>
  <c r="M71" i="16"/>
  <c r="L71" i="16"/>
  <c r="M67" i="16"/>
  <c r="L67" i="16"/>
  <c r="M100" i="13"/>
  <c r="L100" i="13"/>
  <c r="M95" i="13"/>
  <c r="L95" i="13"/>
  <c r="M87" i="13"/>
  <c r="L87" i="13"/>
  <c r="M85" i="13"/>
  <c r="L85" i="13"/>
  <c r="M83" i="13"/>
  <c r="L83" i="13"/>
  <c r="M81" i="13"/>
  <c r="L81" i="13"/>
  <c r="M77" i="13"/>
  <c r="L77" i="13"/>
  <c r="M73" i="13"/>
  <c r="L73" i="13"/>
  <c r="O89" i="11"/>
  <c r="M89" i="11"/>
  <c r="N89" i="11"/>
  <c r="L89" i="11"/>
  <c r="O85" i="11"/>
  <c r="M85" i="11"/>
  <c r="N85" i="11"/>
  <c r="L85" i="11"/>
  <c r="O77" i="11"/>
  <c r="M77" i="11"/>
  <c r="N77" i="11"/>
  <c r="L77" i="11"/>
  <c r="O103" i="10"/>
  <c r="M103" i="10"/>
  <c r="L103" i="10"/>
  <c r="O99" i="10"/>
  <c r="M99" i="10"/>
  <c r="L99" i="10"/>
  <c r="O91" i="10"/>
  <c r="M91" i="10"/>
  <c r="L91" i="10"/>
  <c r="O87" i="10"/>
  <c r="M87" i="10"/>
  <c r="L87" i="10"/>
  <c r="O76" i="10"/>
  <c r="M76" i="10"/>
  <c r="L76" i="10"/>
  <c r="O72" i="10"/>
  <c r="M72" i="10"/>
  <c r="L72" i="10"/>
  <c r="M103" i="8"/>
  <c r="L103" i="8"/>
  <c r="M101" i="8"/>
  <c r="L101" i="8"/>
  <c r="M99" i="8"/>
  <c r="L99" i="8"/>
  <c r="M97" i="8"/>
  <c r="L97" i="8"/>
  <c r="M95" i="8"/>
  <c r="L95" i="8"/>
  <c r="M93" i="8"/>
  <c r="L93" i="8"/>
  <c r="M91" i="8"/>
  <c r="L91" i="8"/>
  <c r="M89" i="8"/>
  <c r="L89" i="8"/>
  <c r="M87" i="8"/>
  <c r="L87" i="8"/>
  <c r="M85" i="8"/>
  <c r="L85" i="8"/>
  <c r="M83" i="8"/>
  <c r="L83" i="8"/>
  <c r="M81" i="8"/>
  <c r="L81" i="8"/>
  <c r="M77" i="8"/>
  <c r="L77" i="8"/>
  <c r="M73" i="8"/>
  <c r="L73" i="8"/>
  <c r="M69" i="8"/>
  <c r="L69" i="8"/>
  <c r="M65" i="8"/>
  <c r="L65" i="8"/>
  <c r="M102" i="7"/>
  <c r="L102" i="7"/>
  <c r="M96" i="7"/>
  <c r="L96" i="7"/>
  <c r="M92" i="7"/>
  <c r="L92" i="7"/>
  <c r="M88" i="7"/>
  <c r="L88" i="7"/>
  <c r="M84" i="7"/>
  <c r="L84" i="7"/>
  <c r="M80" i="7"/>
  <c r="L80" i="7"/>
  <c r="M76" i="7"/>
  <c r="L76" i="7"/>
  <c r="M72" i="7"/>
  <c r="L72" i="7"/>
  <c r="M68" i="7"/>
  <c r="L68" i="7"/>
  <c r="M64" i="7"/>
  <c r="L64" i="7"/>
  <c r="G104" i="11"/>
  <c r="R104" i="11"/>
  <c r="O104" i="11"/>
  <c r="M104" i="11"/>
  <c r="N104" i="11"/>
  <c r="L104" i="11"/>
  <c r="D54" i="29"/>
  <c r="D56" i="29"/>
  <c r="M95" i="33"/>
  <c r="L95" i="33"/>
  <c r="M94" i="28"/>
  <c r="L94" i="28"/>
  <c r="O99" i="27"/>
  <c r="M99" i="27"/>
  <c r="N99" i="27"/>
  <c r="L99" i="27"/>
  <c r="M90" i="24"/>
  <c r="L90" i="24"/>
  <c r="M75" i="24"/>
  <c r="L75" i="24"/>
  <c r="E54" i="33"/>
  <c r="F24" i="31"/>
  <c r="F23" i="34"/>
  <c r="Q6" i="30"/>
  <c r="F24" i="25"/>
  <c r="Q6" i="24"/>
  <c r="F24" i="20"/>
  <c r="F24" i="21"/>
  <c r="Q6" i="21"/>
  <c r="Q6" i="20"/>
  <c r="Q6" i="19"/>
  <c r="Q6" i="15"/>
  <c r="E54" i="14"/>
  <c r="E56" i="14"/>
  <c r="F24" i="13"/>
  <c r="F24" i="14"/>
  <c r="F24" i="11"/>
  <c r="F24" i="8"/>
  <c r="F23" i="9"/>
  <c r="Q6" i="7"/>
  <c r="K13" i="92"/>
  <c r="K17" i="92"/>
  <c r="K16" i="92"/>
  <c r="M103" i="7"/>
  <c r="L103" i="7"/>
  <c r="M99" i="7"/>
  <c r="L99" i="7"/>
  <c r="M97" i="7"/>
  <c r="L97" i="7"/>
  <c r="M93" i="7"/>
  <c r="L93" i="7"/>
  <c r="M89" i="7"/>
  <c r="L89" i="7"/>
  <c r="M85" i="7"/>
  <c r="L85" i="7"/>
  <c r="M81" i="7"/>
  <c r="L81" i="7"/>
  <c r="M77" i="7"/>
  <c r="L77" i="7"/>
  <c r="M73" i="7"/>
  <c r="L73" i="7"/>
  <c r="M69" i="7"/>
  <c r="L69" i="7"/>
  <c r="M65" i="7"/>
  <c r="L65" i="7"/>
  <c r="M78" i="8"/>
  <c r="L78" i="8"/>
  <c r="M74" i="8"/>
  <c r="L74" i="8"/>
  <c r="M70" i="8"/>
  <c r="L70" i="8"/>
  <c r="M66" i="8"/>
  <c r="L66" i="8"/>
  <c r="O70" i="10"/>
  <c r="O73" i="10"/>
  <c r="O74" i="10"/>
  <c r="O77" i="10"/>
  <c r="O79" i="10"/>
  <c r="O80" i="10"/>
  <c r="O81" i="10"/>
  <c r="O82" i="10"/>
  <c r="O83" i="10"/>
  <c r="O84" i="10"/>
  <c r="O85" i="10"/>
  <c r="O88" i="10"/>
  <c r="O89" i="10"/>
  <c r="O90" i="10"/>
  <c r="O93" i="10"/>
  <c r="O95" i="10"/>
  <c r="O98" i="10"/>
  <c r="O100" i="10"/>
  <c r="O102" i="10"/>
  <c r="O104" i="10"/>
  <c r="M104" i="10"/>
  <c r="M84" i="10"/>
  <c r="L84" i="10"/>
  <c r="M102" i="10"/>
  <c r="L102" i="10"/>
  <c r="M98" i="10"/>
  <c r="L98" i="10"/>
  <c r="M90" i="10"/>
  <c r="L90" i="10"/>
  <c r="M82" i="10"/>
  <c r="L82" i="10"/>
  <c r="M73" i="10"/>
  <c r="L73" i="10"/>
  <c r="O102" i="11"/>
  <c r="M102" i="11"/>
  <c r="N102" i="11"/>
  <c r="L102" i="11"/>
  <c r="O98" i="11"/>
  <c r="M98" i="11"/>
  <c r="N98" i="11"/>
  <c r="L98" i="11"/>
  <c r="O94" i="11"/>
  <c r="M94" i="11"/>
  <c r="N94" i="11"/>
  <c r="L94" i="11"/>
  <c r="O90" i="11"/>
  <c r="M90" i="11"/>
  <c r="O86" i="11"/>
  <c r="M86" i="11"/>
  <c r="O82" i="11"/>
  <c r="M82" i="11"/>
  <c r="N82" i="11"/>
  <c r="L82" i="11"/>
  <c r="O62" i="11"/>
  <c r="M62" i="11"/>
  <c r="O101" i="11"/>
  <c r="M101" i="11"/>
  <c r="N101" i="11"/>
  <c r="L101" i="11"/>
  <c r="O97" i="11"/>
  <c r="M97" i="11"/>
  <c r="N97" i="11"/>
  <c r="L97" i="11"/>
  <c r="O93" i="11"/>
  <c r="M93" i="11"/>
  <c r="O73" i="11"/>
  <c r="M73" i="11"/>
  <c r="N73" i="11"/>
  <c r="L73" i="11"/>
  <c r="O71" i="11"/>
  <c r="M71" i="11"/>
  <c r="O69" i="11"/>
  <c r="M69" i="11"/>
  <c r="N69" i="11"/>
  <c r="L69" i="11"/>
  <c r="O67" i="11"/>
  <c r="M67" i="11"/>
  <c r="O65" i="11"/>
  <c r="M65" i="11"/>
  <c r="N65" i="11"/>
  <c r="L65" i="11"/>
  <c r="O63" i="11"/>
  <c r="M63" i="11"/>
  <c r="M101" i="13"/>
  <c r="L101" i="13"/>
  <c r="M94" i="13"/>
  <c r="L94" i="13"/>
  <c r="M80" i="13"/>
  <c r="L80" i="13"/>
  <c r="M76" i="13"/>
  <c r="L76" i="13"/>
  <c r="M72" i="13"/>
  <c r="L72" i="13"/>
  <c r="M96" i="13"/>
  <c r="L96" i="13"/>
  <c r="M88" i="13"/>
  <c r="L88" i="13"/>
  <c r="M78" i="16"/>
  <c r="L78" i="16"/>
  <c r="M74" i="16"/>
  <c r="L74" i="16"/>
  <c r="M70" i="16"/>
  <c r="L70" i="16"/>
  <c r="M66" i="16"/>
  <c r="L66" i="16"/>
  <c r="O101" i="17"/>
  <c r="M101" i="17"/>
  <c r="N101" i="17"/>
  <c r="L101" i="17"/>
  <c r="O97" i="17"/>
  <c r="M97" i="17"/>
  <c r="N97" i="17"/>
  <c r="L97" i="17"/>
  <c r="O93" i="17"/>
  <c r="M93" i="17"/>
  <c r="N93" i="17"/>
  <c r="L93" i="17"/>
  <c r="O81" i="17"/>
  <c r="O82" i="17"/>
  <c r="O84" i="17"/>
  <c r="O85" i="17"/>
  <c r="O86" i="17"/>
  <c r="O88" i="17"/>
  <c r="O89" i="17"/>
  <c r="O90" i="17"/>
  <c r="O92" i="17"/>
  <c r="O95" i="17"/>
  <c r="O99" i="17"/>
  <c r="O103" i="17"/>
  <c r="O104" i="17"/>
  <c r="M104" i="17"/>
  <c r="N81" i="17"/>
  <c r="N82" i="17"/>
  <c r="N84" i="17"/>
  <c r="N85" i="17"/>
  <c r="N86" i="17"/>
  <c r="N88" i="17"/>
  <c r="N89" i="17"/>
  <c r="N90" i="17"/>
  <c r="N92" i="17"/>
  <c r="N95" i="17"/>
  <c r="N99" i="17"/>
  <c r="N103" i="17"/>
  <c r="N104" i="17"/>
  <c r="L104" i="17"/>
  <c r="M90" i="17"/>
  <c r="L90" i="17"/>
  <c r="M86" i="17"/>
  <c r="L86" i="17"/>
  <c r="M88" i="19"/>
  <c r="L88" i="19"/>
  <c r="M80" i="19"/>
  <c r="L80" i="19"/>
  <c r="M102" i="19"/>
  <c r="L102" i="19"/>
  <c r="M98" i="19"/>
  <c r="L98" i="19"/>
  <c r="M94" i="19"/>
  <c r="L94" i="19"/>
  <c r="M80" i="20"/>
  <c r="L80" i="20"/>
  <c r="M76" i="20"/>
  <c r="L76" i="20"/>
  <c r="M72" i="20"/>
  <c r="L72" i="20"/>
  <c r="M102" i="20"/>
  <c r="L102" i="20"/>
  <c r="M98" i="20"/>
  <c r="L98" i="20"/>
  <c r="M94" i="20"/>
  <c r="L94" i="20"/>
  <c r="O101" i="21"/>
  <c r="M101" i="21"/>
  <c r="L101" i="21"/>
  <c r="O86" i="21"/>
  <c r="M86" i="21"/>
  <c r="L86" i="21"/>
  <c r="O71" i="21"/>
  <c r="M71" i="21"/>
  <c r="L71" i="21"/>
  <c r="O62" i="21"/>
  <c r="O63" i="21"/>
  <c r="O64" i="21"/>
  <c r="O65" i="21"/>
  <c r="O66" i="21"/>
  <c r="O68" i="21"/>
  <c r="O70" i="21"/>
  <c r="O72" i="21"/>
  <c r="O75" i="21"/>
  <c r="O76" i="21"/>
  <c r="O78" i="21"/>
  <c r="O79" i="21"/>
  <c r="O80" i="21"/>
  <c r="O83" i="21"/>
  <c r="O85" i="21"/>
  <c r="O88" i="21"/>
  <c r="O90" i="21"/>
  <c r="O92" i="21"/>
  <c r="O94" i="21"/>
  <c r="O95" i="21"/>
  <c r="O99" i="21"/>
  <c r="O100" i="21"/>
  <c r="O103" i="21"/>
  <c r="O104" i="21"/>
  <c r="M104" i="21"/>
  <c r="M92" i="21"/>
  <c r="L92" i="21"/>
  <c r="M88" i="21"/>
  <c r="L88" i="21"/>
  <c r="M76" i="21"/>
  <c r="L76" i="21"/>
  <c r="M88" i="24"/>
  <c r="L88" i="24"/>
  <c r="M102" i="24"/>
  <c r="L102" i="24"/>
  <c r="M98" i="24"/>
  <c r="L98" i="24"/>
  <c r="M94" i="24"/>
  <c r="L94" i="24"/>
  <c r="M82" i="24"/>
  <c r="L82" i="24"/>
  <c r="M71" i="24"/>
  <c r="L71" i="24"/>
  <c r="M63" i="24"/>
  <c r="L63" i="24"/>
  <c r="M78" i="25"/>
  <c r="L78" i="25"/>
  <c r="M74" i="25"/>
  <c r="L74" i="25"/>
  <c r="M70" i="25"/>
  <c r="L70" i="25"/>
  <c r="M66" i="25"/>
  <c r="L66" i="25"/>
  <c r="O67" i="27"/>
  <c r="O68" i="27"/>
  <c r="O69" i="27"/>
  <c r="O70" i="27"/>
  <c r="O71" i="27"/>
  <c r="O72" i="27"/>
  <c r="O74" i="27"/>
  <c r="O75" i="27"/>
  <c r="O76" i="27"/>
  <c r="O77" i="27"/>
  <c r="O78" i="27"/>
  <c r="O79" i="27"/>
  <c r="O81" i="27"/>
  <c r="O84" i="27"/>
  <c r="O85" i="27"/>
  <c r="O86" i="27"/>
  <c r="O87" i="27"/>
  <c r="O89" i="27"/>
  <c r="O90" i="27"/>
  <c r="O91" i="27"/>
  <c r="O92" i="27"/>
  <c r="O93" i="27"/>
  <c r="O95" i="27"/>
  <c r="O97" i="27"/>
  <c r="O100" i="27"/>
  <c r="O101" i="27"/>
  <c r="O102" i="27"/>
  <c r="O103" i="27"/>
  <c r="O104" i="27"/>
  <c r="M104" i="27"/>
  <c r="N67" i="27"/>
  <c r="N68" i="27"/>
  <c r="N69" i="27"/>
  <c r="N70" i="27"/>
  <c r="N71" i="27"/>
  <c r="N72" i="27"/>
  <c r="N74" i="27"/>
  <c r="N75" i="27"/>
  <c r="N76" i="27"/>
  <c r="N77" i="27"/>
  <c r="N78" i="27"/>
  <c r="N79" i="27"/>
  <c r="N81" i="27"/>
  <c r="N84" i="27"/>
  <c r="N85" i="27"/>
  <c r="N86" i="27"/>
  <c r="N87" i="27"/>
  <c r="N89" i="27"/>
  <c r="N90" i="27"/>
  <c r="N91" i="27"/>
  <c r="N92" i="27"/>
  <c r="N93" i="27"/>
  <c r="N95" i="27"/>
  <c r="N97" i="27"/>
  <c r="N100" i="27"/>
  <c r="N101" i="27"/>
  <c r="N102" i="27"/>
  <c r="N103" i="27"/>
  <c r="N104" i="27"/>
  <c r="L104" i="27"/>
  <c r="M92" i="27"/>
  <c r="L92" i="27"/>
  <c r="M84" i="27"/>
  <c r="L84" i="27"/>
  <c r="M78" i="27"/>
  <c r="L78" i="27"/>
  <c r="M90" i="27"/>
  <c r="L90" i="27"/>
  <c r="M75" i="27"/>
  <c r="L75" i="27"/>
  <c r="M69" i="27"/>
  <c r="L69" i="27"/>
  <c r="M101" i="28"/>
  <c r="L101" i="28"/>
  <c r="M79" i="28"/>
  <c r="L79" i="28"/>
  <c r="M75" i="28"/>
  <c r="L75" i="28"/>
  <c r="M71" i="28"/>
  <c r="L71" i="28"/>
  <c r="M96" i="28"/>
  <c r="L96" i="28"/>
  <c r="M88" i="28"/>
  <c r="L88" i="28"/>
  <c r="M102" i="30"/>
  <c r="L102" i="30"/>
  <c r="M90" i="30"/>
  <c r="L90" i="30"/>
  <c r="M69" i="30"/>
  <c r="L69" i="30"/>
  <c r="M96" i="30"/>
  <c r="L96" i="30"/>
  <c r="M88" i="30"/>
  <c r="L88" i="30"/>
  <c r="M80" i="30"/>
  <c r="L80" i="30"/>
  <c r="M76" i="30"/>
  <c r="L76" i="30"/>
  <c r="M102" i="33"/>
  <c r="L102" i="33"/>
  <c r="M94" i="33"/>
  <c r="L94" i="33"/>
  <c r="M86" i="33"/>
  <c r="L86" i="33"/>
  <c r="M73" i="33"/>
  <c r="L73" i="33"/>
  <c r="M96" i="33"/>
  <c r="L96" i="33"/>
  <c r="M78" i="33"/>
  <c r="L78" i="33"/>
  <c r="M66" i="33"/>
  <c r="L66" i="33"/>
  <c r="M74" i="33"/>
  <c r="L74" i="33"/>
  <c r="M65" i="30"/>
  <c r="L65" i="30"/>
  <c r="M97" i="27"/>
  <c r="L97" i="27"/>
  <c r="M71" i="27"/>
  <c r="L71" i="27"/>
  <c r="M66" i="24"/>
  <c r="L66" i="24"/>
  <c r="M94" i="21"/>
  <c r="L94" i="21"/>
  <c r="M90" i="20"/>
  <c r="L90" i="20"/>
  <c r="M88" i="20"/>
  <c r="L88" i="20"/>
  <c r="M86" i="20"/>
  <c r="L86" i="20"/>
  <c r="M84" i="20"/>
  <c r="L84" i="20"/>
  <c r="M93" i="19"/>
  <c r="L93" i="19"/>
  <c r="O83" i="11"/>
  <c r="M83" i="11"/>
  <c r="N83" i="11"/>
  <c r="L83" i="11"/>
  <c r="O76" i="11"/>
  <c r="M76" i="11"/>
  <c r="N76" i="11"/>
  <c r="L76" i="11"/>
  <c r="O74" i="11"/>
  <c r="M74" i="11"/>
  <c r="N74" i="11"/>
  <c r="L74" i="11"/>
  <c r="M80" i="10"/>
  <c r="L80" i="10"/>
  <c r="M79" i="33"/>
  <c r="L79" i="33"/>
  <c r="M67" i="33"/>
  <c r="L67" i="33"/>
  <c r="M72" i="30"/>
  <c r="L72" i="30"/>
  <c r="M76" i="27"/>
  <c r="L76" i="27"/>
  <c r="M72" i="21"/>
  <c r="L72" i="21"/>
  <c r="M63" i="16"/>
  <c r="L63" i="16"/>
  <c r="M64" i="8"/>
  <c r="L64" i="8"/>
  <c r="M84" i="33"/>
  <c r="L84" i="33"/>
  <c r="M90" i="21"/>
  <c r="L90" i="21"/>
  <c r="M85" i="21"/>
  <c r="L85" i="21"/>
  <c r="M79" i="21"/>
  <c r="L79" i="21"/>
  <c r="M75" i="21"/>
  <c r="L75" i="21"/>
  <c r="M65" i="21"/>
  <c r="L65" i="21"/>
  <c r="M82" i="20"/>
  <c r="L82" i="20"/>
  <c r="M79" i="20"/>
  <c r="L79" i="20"/>
  <c r="M75" i="20"/>
  <c r="L75" i="20"/>
  <c r="M71" i="20"/>
  <c r="L71" i="20"/>
  <c r="M65" i="20"/>
  <c r="L65" i="20"/>
  <c r="M89" i="19"/>
  <c r="L89" i="19"/>
  <c r="M85" i="19"/>
  <c r="L85" i="19"/>
  <c r="M81" i="19"/>
  <c r="L81" i="19"/>
  <c r="M103" i="17"/>
  <c r="L103" i="17"/>
  <c r="M99" i="17"/>
  <c r="L99" i="17"/>
  <c r="M95" i="17"/>
  <c r="L95" i="17"/>
  <c r="M82" i="17"/>
  <c r="L82" i="17"/>
  <c r="M103" i="16"/>
  <c r="L103" i="16"/>
  <c r="M101" i="16"/>
  <c r="L101" i="16"/>
  <c r="M99" i="16"/>
  <c r="L99" i="16"/>
  <c r="M97" i="16"/>
  <c r="L97" i="16"/>
  <c r="M95" i="16"/>
  <c r="L95" i="16"/>
  <c r="M93" i="16"/>
  <c r="L93" i="16"/>
  <c r="M91" i="16"/>
  <c r="L91" i="16"/>
  <c r="M89" i="16"/>
  <c r="L89" i="16"/>
  <c r="M87" i="16"/>
  <c r="L87" i="16"/>
  <c r="M85" i="16"/>
  <c r="L85" i="16"/>
  <c r="M83" i="16"/>
  <c r="L83" i="16"/>
  <c r="M81" i="16"/>
  <c r="L81" i="16"/>
  <c r="M77" i="16"/>
  <c r="L77" i="16"/>
  <c r="M73" i="16"/>
  <c r="L73" i="16"/>
  <c r="M69" i="16"/>
  <c r="L69" i="16"/>
  <c r="M65" i="16"/>
  <c r="L65" i="16"/>
  <c r="M103" i="13"/>
  <c r="L103" i="13"/>
  <c r="M99" i="13"/>
  <c r="L99" i="13"/>
  <c r="M91" i="13"/>
  <c r="L91" i="13"/>
  <c r="M86" i="13"/>
  <c r="L86" i="13"/>
  <c r="M84" i="13"/>
  <c r="L84" i="13"/>
  <c r="M82" i="13"/>
  <c r="L82" i="13"/>
  <c r="M79" i="13"/>
  <c r="L79" i="13"/>
  <c r="M75" i="13"/>
  <c r="L75" i="13"/>
  <c r="O87" i="11"/>
  <c r="M87" i="11"/>
  <c r="N87" i="11"/>
  <c r="L87" i="11"/>
  <c r="M100" i="10"/>
  <c r="L100" i="10"/>
  <c r="M95" i="10"/>
  <c r="L95" i="10"/>
  <c r="M88" i="10"/>
  <c r="L88" i="10"/>
  <c r="M83" i="10"/>
  <c r="L83" i="10"/>
  <c r="M74" i="10"/>
  <c r="L74" i="10"/>
  <c r="M102" i="8"/>
  <c r="L102" i="8"/>
  <c r="M100" i="8"/>
  <c r="L100" i="8"/>
  <c r="M98" i="8"/>
  <c r="L98" i="8"/>
  <c r="M96" i="8"/>
  <c r="L96" i="8"/>
  <c r="M94" i="8"/>
  <c r="L94" i="8"/>
  <c r="M92" i="8"/>
  <c r="L92" i="8"/>
  <c r="M90" i="8"/>
  <c r="L90" i="8"/>
  <c r="M88" i="8"/>
  <c r="L88" i="8"/>
  <c r="M86" i="8"/>
  <c r="L86" i="8"/>
  <c r="M84" i="8"/>
  <c r="L84" i="8"/>
  <c r="M82" i="8"/>
  <c r="L82" i="8"/>
  <c r="M79" i="8"/>
  <c r="L79" i="8"/>
  <c r="M75" i="8"/>
  <c r="L75" i="8"/>
  <c r="M71" i="8"/>
  <c r="L71" i="8"/>
  <c r="M67" i="8"/>
  <c r="L67" i="8"/>
  <c r="M101" i="7"/>
  <c r="L101" i="7"/>
  <c r="M95" i="7"/>
  <c r="L95" i="7"/>
  <c r="M91" i="7"/>
  <c r="L91" i="7"/>
  <c r="M87" i="7"/>
  <c r="L87" i="7"/>
  <c r="M83" i="7"/>
  <c r="L83" i="7"/>
  <c r="M78" i="7"/>
  <c r="L78" i="7"/>
  <c r="M74" i="7"/>
  <c r="L74" i="7"/>
  <c r="M70" i="7"/>
  <c r="L70" i="7"/>
  <c r="M66" i="7"/>
  <c r="L66" i="7"/>
  <c r="M63" i="7"/>
  <c r="L63" i="7"/>
  <c r="L89" i="13"/>
  <c r="M89" i="13"/>
  <c r="M100" i="27"/>
  <c r="L100" i="27"/>
  <c r="O78" i="11"/>
  <c r="M78" i="11"/>
  <c r="S5" i="29"/>
  <c r="M99" i="33"/>
  <c r="L99" i="33"/>
  <c r="M88" i="33"/>
  <c r="L88" i="33"/>
  <c r="M90" i="28"/>
  <c r="L90" i="28"/>
  <c r="M93" i="24"/>
  <c r="L93" i="24"/>
  <c r="M81" i="24"/>
  <c r="L81" i="24"/>
  <c r="M69" i="24"/>
  <c r="L69" i="24"/>
  <c r="F24" i="33"/>
  <c r="F23" i="33"/>
  <c r="E54" i="30"/>
  <c r="F24" i="28"/>
  <c r="F24" i="34"/>
  <c r="T6" i="33"/>
  <c r="U6" i="33"/>
  <c r="F24" i="30"/>
  <c r="V72" i="29"/>
  <c r="X72" i="29"/>
  <c r="W72" i="29"/>
  <c r="E54" i="29"/>
  <c r="E56" i="29"/>
  <c r="E54" i="28"/>
  <c r="E54" i="27"/>
  <c r="F24" i="26"/>
  <c r="E54" i="25"/>
  <c r="E54" i="24"/>
  <c r="Q6" i="27"/>
  <c r="T6" i="27"/>
  <c r="U6" i="27"/>
  <c r="T6" i="24"/>
  <c r="U6" i="24"/>
  <c r="F24" i="17"/>
  <c r="Q6" i="25"/>
  <c r="T6" i="25"/>
  <c r="U6" i="25"/>
  <c r="E54" i="20"/>
  <c r="F24" i="18"/>
  <c r="E54" i="17"/>
  <c r="F24" i="16"/>
  <c r="F23" i="21"/>
  <c r="Q6" i="17"/>
  <c r="U6" i="17"/>
  <c r="T6" i="17"/>
  <c r="E54" i="16"/>
  <c r="E54" i="15"/>
  <c r="R6" i="15"/>
  <c r="V6" i="15"/>
  <c r="U6" i="15"/>
  <c r="S6" i="15"/>
  <c r="T6" i="15"/>
  <c r="F24" i="12"/>
  <c r="E54" i="10"/>
  <c r="E54" i="21"/>
  <c r="E54" i="19"/>
  <c r="T6" i="19"/>
  <c r="U6" i="19"/>
  <c r="R6" i="19"/>
  <c r="V6" i="19"/>
  <c r="E54" i="12"/>
  <c r="E56" i="12"/>
  <c r="Q6" i="10"/>
  <c r="E54" i="7"/>
  <c r="V79" i="9"/>
  <c r="E54" i="8"/>
  <c r="U6" i="14"/>
  <c r="E54" i="13"/>
  <c r="E54" i="11"/>
  <c r="U6" i="10"/>
  <c r="T6" i="10"/>
  <c r="T7" i="7"/>
  <c r="T7" i="9"/>
  <c r="T7" i="13"/>
  <c r="R6" i="17"/>
  <c r="V6" i="17"/>
  <c r="T7" i="21"/>
  <c r="T7" i="24"/>
  <c r="T7" i="25"/>
  <c r="R6" i="10"/>
  <c r="V6" i="10"/>
  <c r="T7" i="17"/>
  <c r="R6" i="24"/>
  <c r="V6" i="24"/>
  <c r="R6" i="25"/>
  <c r="V6" i="25"/>
  <c r="R6" i="27"/>
  <c r="V6" i="27"/>
  <c r="T7" i="28"/>
  <c r="T7" i="30"/>
  <c r="T7" i="33"/>
  <c r="T7" i="34"/>
  <c r="S6" i="7"/>
  <c r="R6" i="7"/>
  <c r="S5" i="7"/>
  <c r="S7" i="7"/>
  <c r="F57" i="7"/>
  <c r="G57" i="7"/>
  <c r="W63" i="7"/>
  <c r="X63" i="7"/>
  <c r="V63" i="7"/>
  <c r="X64" i="7"/>
  <c r="W64" i="7"/>
  <c r="V64" i="7"/>
  <c r="W66" i="7"/>
  <c r="X66" i="7"/>
  <c r="V66" i="7"/>
  <c r="X68" i="7"/>
  <c r="W68" i="7"/>
  <c r="V68" i="7"/>
  <c r="X70" i="7"/>
  <c r="W70" i="7"/>
  <c r="V70" i="7"/>
  <c r="W72" i="7"/>
  <c r="X72" i="7"/>
  <c r="V72" i="7"/>
  <c r="W74" i="7"/>
  <c r="X74" i="7"/>
  <c r="V74" i="7"/>
  <c r="X76" i="7"/>
  <c r="W76" i="7"/>
  <c r="V76" i="7"/>
  <c r="X78" i="7"/>
  <c r="W78" i="7"/>
  <c r="V78" i="7"/>
  <c r="W80" i="7"/>
  <c r="X80" i="7"/>
  <c r="V80" i="7"/>
  <c r="H104" i="7"/>
  <c r="M62" i="7"/>
  <c r="Q6" i="8"/>
  <c r="S6" i="8"/>
  <c r="R6" i="8"/>
  <c r="S7" i="8"/>
  <c r="U7" i="8"/>
  <c r="E57" i="8"/>
  <c r="X63" i="8"/>
  <c r="W63" i="8"/>
  <c r="V63" i="8"/>
  <c r="X66" i="8"/>
  <c r="W66" i="8"/>
  <c r="V66" i="8"/>
  <c r="X68" i="8"/>
  <c r="W68" i="8"/>
  <c r="V68" i="8"/>
  <c r="X70" i="8"/>
  <c r="W70" i="8"/>
  <c r="V70" i="8"/>
  <c r="X72" i="8"/>
  <c r="W72" i="8"/>
  <c r="V72" i="8"/>
  <c r="X74" i="8"/>
  <c r="W74" i="8"/>
  <c r="V74" i="8"/>
  <c r="X76" i="8"/>
  <c r="W76" i="8"/>
  <c r="V76" i="8"/>
  <c r="X78" i="8"/>
  <c r="W78" i="8"/>
  <c r="V78" i="8"/>
  <c r="X80" i="8"/>
  <c r="W80" i="8"/>
  <c r="V80" i="8"/>
  <c r="L62" i="8"/>
  <c r="F24" i="9"/>
  <c r="E57" i="9"/>
  <c r="S7" i="10"/>
  <c r="U7" i="10"/>
  <c r="D54" i="10"/>
  <c r="E57" i="10"/>
  <c r="X71" i="10"/>
  <c r="W71" i="10"/>
  <c r="V71" i="10"/>
  <c r="W73" i="10"/>
  <c r="X73" i="10"/>
  <c r="V73" i="10"/>
  <c r="X75" i="10"/>
  <c r="W75" i="10"/>
  <c r="V75" i="10"/>
  <c r="W77" i="10"/>
  <c r="X77" i="10"/>
  <c r="V77" i="10"/>
  <c r="X79" i="10"/>
  <c r="W79" i="10"/>
  <c r="V79" i="10"/>
  <c r="H104" i="10"/>
  <c r="M70" i="10"/>
  <c r="L70" i="10"/>
  <c r="Q5" i="11"/>
  <c r="U5" i="11"/>
  <c r="T5" i="11"/>
  <c r="R5" i="11"/>
  <c r="V5" i="11"/>
  <c r="Q6" i="11"/>
  <c r="S6" i="11"/>
  <c r="R6" i="11"/>
  <c r="S7" i="11"/>
  <c r="U7" i="11"/>
  <c r="D54" i="11"/>
  <c r="D57" i="11"/>
  <c r="F57" i="11"/>
  <c r="G57" i="11"/>
  <c r="H104" i="11"/>
  <c r="T6" i="13"/>
  <c r="R6" i="13"/>
  <c r="V6" i="13"/>
  <c r="S7" i="13"/>
  <c r="U7" i="13"/>
  <c r="D54" i="13"/>
  <c r="D57" i="13"/>
  <c r="F57" i="13"/>
  <c r="G57" i="13"/>
  <c r="W72" i="13"/>
  <c r="V72" i="13"/>
  <c r="W74" i="13"/>
  <c r="V74" i="13"/>
  <c r="W76" i="13"/>
  <c r="V76" i="13"/>
  <c r="W78" i="13"/>
  <c r="V78" i="13"/>
  <c r="W80" i="13"/>
  <c r="V80" i="13"/>
  <c r="M71" i="13"/>
  <c r="L71" i="13"/>
  <c r="T7" i="26"/>
  <c r="T7" i="27"/>
  <c r="T7" i="29"/>
  <c r="R6" i="33"/>
  <c r="V6" i="33"/>
  <c r="D54" i="7"/>
  <c r="D57" i="7"/>
  <c r="T6" i="7"/>
  <c r="U6" i="7"/>
  <c r="V6" i="7"/>
  <c r="U7" i="7"/>
  <c r="V7" i="7"/>
  <c r="F24" i="7"/>
  <c r="E57" i="7"/>
  <c r="X65" i="7"/>
  <c r="W65" i="7"/>
  <c r="V65" i="7"/>
  <c r="W67" i="7"/>
  <c r="X67" i="7"/>
  <c r="V67" i="7"/>
  <c r="X69" i="7"/>
  <c r="W69" i="7"/>
  <c r="V69" i="7"/>
  <c r="W71" i="7"/>
  <c r="X71" i="7"/>
  <c r="V71" i="7"/>
  <c r="X73" i="7"/>
  <c r="W73" i="7"/>
  <c r="V73" i="7"/>
  <c r="W75" i="7"/>
  <c r="X75" i="7"/>
  <c r="V75" i="7"/>
  <c r="X77" i="7"/>
  <c r="W77" i="7"/>
  <c r="V77" i="7"/>
  <c r="W79" i="7"/>
  <c r="X79" i="7"/>
  <c r="V79" i="7"/>
  <c r="V62" i="7"/>
  <c r="W62" i="7"/>
  <c r="X62" i="7"/>
  <c r="E56" i="7"/>
  <c r="D56" i="7"/>
  <c r="L62" i="7"/>
  <c r="T6" i="8"/>
  <c r="U6" i="8"/>
  <c r="V6" i="8"/>
  <c r="S5" i="8"/>
  <c r="T7" i="8"/>
  <c r="V7" i="8"/>
  <c r="D54" i="8"/>
  <c r="D57" i="8"/>
  <c r="F57" i="8"/>
  <c r="G57" i="8"/>
  <c r="W64" i="8"/>
  <c r="X64" i="8"/>
  <c r="V64" i="8"/>
  <c r="X65" i="8"/>
  <c r="W65" i="8"/>
  <c r="V65" i="8"/>
  <c r="W67" i="8"/>
  <c r="X67" i="8"/>
  <c r="V67" i="8"/>
  <c r="X69" i="8"/>
  <c r="W69" i="8"/>
  <c r="V69" i="8"/>
  <c r="W71" i="8"/>
  <c r="X71" i="8"/>
  <c r="V71" i="8"/>
  <c r="X73" i="8"/>
  <c r="W73" i="8"/>
  <c r="V73" i="8"/>
  <c r="W75" i="8"/>
  <c r="X75" i="8"/>
  <c r="V75" i="8"/>
  <c r="X77" i="8"/>
  <c r="W77" i="8"/>
  <c r="V77" i="8"/>
  <c r="W79" i="8"/>
  <c r="X79" i="8"/>
  <c r="V79" i="8"/>
  <c r="X62" i="8"/>
  <c r="W62" i="8"/>
  <c r="V62" i="8"/>
  <c r="Y64" i="8"/>
  <c r="Y62" i="8"/>
  <c r="Y63" i="8"/>
  <c r="E56" i="8"/>
  <c r="D56" i="8"/>
  <c r="H104" i="8"/>
  <c r="G104" i="8"/>
  <c r="M62" i="8"/>
  <c r="S5" i="9"/>
  <c r="H104" i="9"/>
  <c r="D57" i="9"/>
  <c r="W78" i="9"/>
  <c r="V78" i="9"/>
  <c r="X78" i="9"/>
  <c r="I104" i="9"/>
  <c r="S6" i="10"/>
  <c r="S5" i="10"/>
  <c r="T7" i="10"/>
  <c r="V7" i="10"/>
  <c r="F24" i="10"/>
  <c r="D57" i="10"/>
  <c r="W72" i="10"/>
  <c r="X72" i="10"/>
  <c r="V72" i="10"/>
  <c r="X74" i="10"/>
  <c r="W74" i="10"/>
  <c r="V74" i="10"/>
  <c r="X76" i="10"/>
  <c r="W76" i="10"/>
  <c r="V76" i="10"/>
  <c r="W78" i="10"/>
  <c r="X78" i="10"/>
  <c r="V78" i="10"/>
  <c r="W80" i="10"/>
  <c r="X80" i="10"/>
  <c r="V80" i="10"/>
  <c r="W67" i="10"/>
  <c r="W63" i="10"/>
  <c r="X63" i="10"/>
  <c r="X65" i="10"/>
  <c r="X67" i="10"/>
  <c r="X69" i="10"/>
  <c r="W66" i="10"/>
  <c r="W62" i="10"/>
  <c r="W69" i="10"/>
  <c r="W65" i="10"/>
  <c r="X62" i="10"/>
  <c r="X64" i="10"/>
  <c r="X66" i="10"/>
  <c r="X68" i="10"/>
  <c r="W68" i="10"/>
  <c r="W64" i="10"/>
  <c r="Z62" i="10"/>
  <c r="Z63" i="10"/>
  <c r="Z64" i="10"/>
  <c r="Z65" i="10"/>
  <c r="Z66" i="10"/>
  <c r="Z67" i="10"/>
  <c r="Z68" i="10"/>
  <c r="Z69" i="10"/>
  <c r="M77" i="10"/>
  <c r="L77" i="10"/>
  <c r="M79" i="10"/>
  <c r="L79" i="10"/>
  <c r="M81" i="10"/>
  <c r="L81" i="10"/>
  <c r="M85" i="10"/>
  <c r="L85" i="10"/>
  <c r="M89" i="10"/>
  <c r="L89" i="10"/>
  <c r="M93" i="10"/>
  <c r="L93" i="10"/>
  <c r="V62" i="10"/>
  <c r="F57" i="10"/>
  <c r="G57" i="10"/>
  <c r="V63" i="10"/>
  <c r="V64" i="10"/>
  <c r="V65" i="10"/>
  <c r="V66" i="10"/>
  <c r="V67" i="10"/>
  <c r="V68" i="10"/>
  <c r="V69" i="10"/>
  <c r="E56" i="10"/>
  <c r="D56" i="10"/>
  <c r="W70" i="10"/>
  <c r="X70" i="10"/>
  <c r="V70" i="10"/>
  <c r="T6" i="11"/>
  <c r="U6" i="11"/>
  <c r="V6" i="11"/>
  <c r="S5" i="11"/>
  <c r="T7" i="11"/>
  <c r="V7" i="11"/>
  <c r="E57" i="11"/>
  <c r="W63" i="11"/>
  <c r="X63" i="11"/>
  <c r="V63" i="11"/>
  <c r="X64" i="11"/>
  <c r="W64" i="11"/>
  <c r="V64" i="11"/>
  <c r="W65" i="11"/>
  <c r="X65" i="11"/>
  <c r="V65" i="11"/>
  <c r="X66" i="11"/>
  <c r="W66" i="11"/>
  <c r="V66" i="11"/>
  <c r="W67" i="11"/>
  <c r="X67" i="11"/>
  <c r="V67" i="11"/>
  <c r="X68" i="11"/>
  <c r="W68" i="11"/>
  <c r="V68" i="11"/>
  <c r="W69" i="11"/>
  <c r="X69" i="11"/>
  <c r="V69" i="11"/>
  <c r="X70" i="11"/>
  <c r="W70" i="11"/>
  <c r="V70" i="11"/>
  <c r="W71" i="11"/>
  <c r="X71" i="11"/>
  <c r="V71" i="11"/>
  <c r="X72" i="11"/>
  <c r="W72" i="11"/>
  <c r="V72" i="11"/>
  <c r="W73" i="11"/>
  <c r="X73" i="11"/>
  <c r="V73" i="11"/>
  <c r="X74" i="11"/>
  <c r="W74" i="11"/>
  <c r="V74" i="11"/>
  <c r="W75" i="11"/>
  <c r="X75" i="11"/>
  <c r="V75" i="11"/>
  <c r="X76" i="11"/>
  <c r="W76" i="11"/>
  <c r="V76" i="11"/>
  <c r="X78" i="11"/>
  <c r="W78" i="11"/>
  <c r="V78" i="11"/>
  <c r="X80" i="11"/>
  <c r="W80" i="11"/>
  <c r="V80" i="11"/>
  <c r="X62" i="11"/>
  <c r="W77" i="11"/>
  <c r="W79" i="11"/>
  <c r="X77" i="11"/>
  <c r="X79" i="11"/>
  <c r="W62" i="11"/>
  <c r="N81" i="11"/>
  <c r="O81" i="11"/>
  <c r="M81" i="11"/>
  <c r="L81" i="11"/>
  <c r="V62" i="11"/>
  <c r="V79" i="11"/>
  <c r="V77" i="11"/>
  <c r="E56" i="11"/>
  <c r="D56" i="11"/>
  <c r="S5" i="13"/>
  <c r="S6" i="13"/>
  <c r="U6" i="13"/>
  <c r="V7" i="13"/>
  <c r="H104" i="13"/>
  <c r="E57" i="13"/>
  <c r="W71" i="13"/>
  <c r="V71" i="13"/>
  <c r="W73" i="13"/>
  <c r="V73" i="13"/>
  <c r="W75" i="13"/>
  <c r="V75" i="13"/>
  <c r="W77" i="13"/>
  <c r="V77" i="13"/>
  <c r="W79" i="13"/>
  <c r="V79" i="13"/>
  <c r="X62" i="13"/>
  <c r="X63" i="13"/>
  <c r="X64" i="13"/>
  <c r="X65" i="13"/>
  <c r="X66" i="13"/>
  <c r="X67" i="13"/>
  <c r="X68" i="13"/>
  <c r="X69" i="13"/>
  <c r="X70" i="13"/>
  <c r="X72" i="13"/>
  <c r="X74" i="13"/>
  <c r="X76" i="13"/>
  <c r="X78" i="13"/>
  <c r="X80" i="13"/>
  <c r="X71" i="13"/>
  <c r="X73" i="13"/>
  <c r="X75" i="13"/>
  <c r="X77" i="13"/>
  <c r="X79" i="13"/>
  <c r="W62" i="13"/>
  <c r="W64" i="13"/>
  <c r="W66" i="13"/>
  <c r="W68" i="13"/>
  <c r="W70" i="13"/>
  <c r="W63" i="13"/>
  <c r="W65" i="13"/>
  <c r="W67" i="13"/>
  <c r="W69" i="13"/>
  <c r="V62" i="13"/>
  <c r="V67" i="13"/>
  <c r="V63" i="13"/>
  <c r="V70" i="13"/>
  <c r="V66" i="13"/>
  <c r="V69" i="13"/>
  <c r="V65" i="13"/>
  <c r="V68" i="13"/>
  <c r="V64" i="13"/>
  <c r="M93" i="13"/>
  <c r="L93" i="13"/>
  <c r="M97" i="13"/>
  <c r="L97" i="13"/>
  <c r="E56" i="13"/>
  <c r="D56" i="13"/>
  <c r="T7" i="15"/>
  <c r="U7" i="15"/>
  <c r="S7" i="15"/>
  <c r="V7" i="15"/>
  <c r="D54" i="15"/>
  <c r="U5" i="16"/>
  <c r="T5" i="16"/>
  <c r="V5" i="16"/>
  <c r="Q6" i="16"/>
  <c r="S6" i="16"/>
  <c r="R6" i="16"/>
  <c r="S7" i="16"/>
  <c r="U7" i="16"/>
  <c r="E57" i="16"/>
  <c r="F57" i="16"/>
  <c r="G57" i="16"/>
  <c r="X63" i="16"/>
  <c r="W63" i="16"/>
  <c r="V63" i="16"/>
  <c r="W65" i="16"/>
  <c r="X65" i="16"/>
  <c r="V65" i="16"/>
  <c r="X67" i="16"/>
  <c r="W67" i="16"/>
  <c r="V67" i="16"/>
  <c r="W69" i="16"/>
  <c r="X69" i="16"/>
  <c r="V69" i="16"/>
  <c r="X71" i="16"/>
  <c r="W71" i="16"/>
  <c r="V71" i="16"/>
  <c r="W73" i="16"/>
  <c r="X73" i="16"/>
  <c r="V73" i="16"/>
  <c r="X75" i="16"/>
  <c r="W75" i="16"/>
  <c r="V75" i="16"/>
  <c r="W77" i="16"/>
  <c r="X77" i="16"/>
  <c r="V77" i="16"/>
  <c r="X79" i="16"/>
  <c r="W79" i="16"/>
  <c r="V79" i="16"/>
  <c r="H104" i="16"/>
  <c r="G104" i="16"/>
  <c r="L62" i="16"/>
  <c r="U7" i="17"/>
  <c r="V7" i="17"/>
  <c r="F57" i="17"/>
  <c r="G57" i="17"/>
  <c r="X67" i="17"/>
  <c r="W67" i="17"/>
  <c r="V67" i="17"/>
  <c r="X71" i="17"/>
  <c r="W71" i="17"/>
  <c r="V71" i="17"/>
  <c r="X75" i="17"/>
  <c r="W75" i="17"/>
  <c r="V75" i="17"/>
  <c r="X79" i="17"/>
  <c r="W79" i="17"/>
  <c r="V79" i="17"/>
  <c r="X83" i="17"/>
  <c r="W83" i="17"/>
  <c r="V83" i="17"/>
  <c r="X87" i="17"/>
  <c r="W87" i="17"/>
  <c r="V87" i="17"/>
  <c r="X91" i="17"/>
  <c r="W91" i="17"/>
  <c r="V91" i="17"/>
  <c r="X95" i="17"/>
  <c r="W95" i="17"/>
  <c r="V95" i="17"/>
  <c r="X99" i="17"/>
  <c r="W99" i="17"/>
  <c r="V99" i="17"/>
  <c r="S6" i="19"/>
  <c r="S5" i="19"/>
  <c r="T7" i="19"/>
  <c r="U7" i="19"/>
  <c r="V7" i="19"/>
  <c r="F57" i="19"/>
  <c r="G57" i="19"/>
  <c r="W65" i="19"/>
  <c r="X65" i="19"/>
  <c r="V65" i="19"/>
  <c r="W69" i="19"/>
  <c r="X69" i="19"/>
  <c r="V69" i="19"/>
  <c r="W73" i="19"/>
  <c r="X73" i="19"/>
  <c r="V73" i="19"/>
  <c r="W77" i="19"/>
  <c r="X77" i="19"/>
  <c r="V77" i="19"/>
  <c r="W79" i="19"/>
  <c r="X79" i="19"/>
  <c r="V79" i="19"/>
  <c r="H104" i="19"/>
  <c r="S6" i="20"/>
  <c r="R6" i="20"/>
  <c r="T7" i="20"/>
  <c r="V7" i="20"/>
  <c r="F57" i="20"/>
  <c r="G57" i="20"/>
  <c r="W63" i="20"/>
  <c r="X63" i="20"/>
  <c r="V63" i="20"/>
  <c r="W71" i="20"/>
  <c r="X71" i="20"/>
  <c r="V71" i="20"/>
  <c r="X73" i="20"/>
  <c r="W73" i="20"/>
  <c r="V73" i="20"/>
  <c r="W75" i="20"/>
  <c r="X75" i="20"/>
  <c r="V75" i="20"/>
  <c r="X77" i="20"/>
  <c r="W77" i="20"/>
  <c r="V77" i="20"/>
  <c r="W79" i="20"/>
  <c r="X79" i="20"/>
  <c r="V79" i="20"/>
  <c r="H104" i="20"/>
  <c r="M62" i="20"/>
  <c r="U7" i="21"/>
  <c r="V7" i="21"/>
  <c r="D54" i="21"/>
  <c r="D57" i="21"/>
  <c r="X62" i="21"/>
  <c r="W62" i="21"/>
  <c r="V62" i="21"/>
  <c r="X63" i="21"/>
  <c r="W63" i="21"/>
  <c r="V63" i="21"/>
  <c r="W65" i="21"/>
  <c r="X65" i="21"/>
  <c r="V65" i="21"/>
  <c r="W67" i="21"/>
  <c r="X67" i="21"/>
  <c r="V67" i="21"/>
  <c r="X69" i="21"/>
  <c r="W69" i="21"/>
  <c r="V69" i="21"/>
  <c r="X71" i="21"/>
  <c r="W71" i="21"/>
  <c r="V71" i="21"/>
  <c r="W73" i="21"/>
  <c r="X73" i="21"/>
  <c r="V73" i="21"/>
  <c r="W75" i="21"/>
  <c r="X75" i="21"/>
  <c r="V75" i="21"/>
  <c r="X77" i="21"/>
  <c r="W77" i="21"/>
  <c r="V77" i="21"/>
  <c r="X79" i="21"/>
  <c r="W79" i="21"/>
  <c r="V79" i="21"/>
  <c r="M62" i="21"/>
  <c r="F24" i="15"/>
  <c r="X63" i="15"/>
  <c r="X67" i="15"/>
  <c r="X71" i="15"/>
  <c r="X75" i="15"/>
  <c r="X79" i="15"/>
  <c r="X64" i="15"/>
  <c r="X68" i="15"/>
  <c r="X72" i="15"/>
  <c r="X76" i="15"/>
  <c r="W64" i="15"/>
  <c r="W68" i="15"/>
  <c r="W72" i="15"/>
  <c r="W76" i="15"/>
  <c r="W63" i="15"/>
  <c r="W67" i="15"/>
  <c r="W71" i="15"/>
  <c r="W75" i="15"/>
  <c r="W79" i="15"/>
  <c r="X65" i="15"/>
  <c r="X69" i="15"/>
  <c r="X73" i="15"/>
  <c r="X77" i="15"/>
  <c r="X62" i="15"/>
  <c r="X66" i="15"/>
  <c r="X70" i="15"/>
  <c r="X74" i="15"/>
  <c r="X78" i="15"/>
  <c r="W62" i="15"/>
  <c r="W66" i="15"/>
  <c r="W70" i="15"/>
  <c r="W74" i="15"/>
  <c r="W78" i="15"/>
  <c r="W65" i="15"/>
  <c r="W69" i="15"/>
  <c r="W73" i="15"/>
  <c r="W77" i="15"/>
  <c r="V63" i="15"/>
  <c r="V65" i="15"/>
  <c r="V67" i="15"/>
  <c r="V69" i="15"/>
  <c r="V71" i="15"/>
  <c r="V73" i="15"/>
  <c r="V75" i="15"/>
  <c r="V77" i="15"/>
  <c r="V79" i="15"/>
  <c r="V62" i="15"/>
  <c r="G57" i="15"/>
  <c r="V64" i="15"/>
  <c r="V66" i="15"/>
  <c r="V68" i="15"/>
  <c r="V70" i="15"/>
  <c r="V72" i="15"/>
  <c r="V74" i="15"/>
  <c r="V76" i="15"/>
  <c r="V78" i="15"/>
  <c r="E56" i="15"/>
  <c r="D56" i="15"/>
  <c r="T6" i="16"/>
  <c r="U6" i="16"/>
  <c r="V6" i="16"/>
  <c r="S5" i="16"/>
  <c r="T7" i="16"/>
  <c r="V7" i="16"/>
  <c r="D54" i="16"/>
  <c r="D57" i="16"/>
  <c r="X64" i="16"/>
  <c r="W64" i="16"/>
  <c r="V64" i="16"/>
  <c r="X66" i="16"/>
  <c r="W66" i="16"/>
  <c r="V66" i="16"/>
  <c r="X68" i="16"/>
  <c r="W68" i="16"/>
  <c r="V68" i="16"/>
  <c r="X70" i="16"/>
  <c r="W70" i="16"/>
  <c r="V70" i="16"/>
  <c r="X72" i="16"/>
  <c r="W72" i="16"/>
  <c r="V72" i="16"/>
  <c r="X74" i="16"/>
  <c r="W74" i="16"/>
  <c r="V74" i="16"/>
  <c r="X76" i="16"/>
  <c r="W76" i="16"/>
  <c r="V76" i="16"/>
  <c r="X78" i="16"/>
  <c r="W78" i="16"/>
  <c r="V78" i="16"/>
  <c r="X80" i="16"/>
  <c r="W80" i="16"/>
  <c r="V80" i="16"/>
  <c r="W62" i="16"/>
  <c r="X62" i="16"/>
  <c r="V62" i="16"/>
  <c r="E56" i="16"/>
  <c r="D56" i="16"/>
  <c r="M62" i="16"/>
  <c r="S6" i="17"/>
  <c r="S5" i="17"/>
  <c r="S7" i="17"/>
  <c r="D54" i="17"/>
  <c r="E57" i="17"/>
  <c r="D57" i="17"/>
  <c r="X63" i="17"/>
  <c r="W63" i="17"/>
  <c r="V63" i="17"/>
  <c r="X65" i="17"/>
  <c r="W65" i="17"/>
  <c r="V65" i="17"/>
  <c r="X69" i="17"/>
  <c r="W69" i="17"/>
  <c r="V69" i="17"/>
  <c r="X73" i="17"/>
  <c r="W73" i="17"/>
  <c r="V73" i="17"/>
  <c r="X77" i="17"/>
  <c r="W77" i="17"/>
  <c r="V77" i="17"/>
  <c r="X81" i="17"/>
  <c r="W81" i="17"/>
  <c r="V81" i="17"/>
  <c r="X85" i="17"/>
  <c r="W85" i="17"/>
  <c r="V85" i="17"/>
  <c r="X89" i="17"/>
  <c r="W89" i="17"/>
  <c r="V89" i="17"/>
  <c r="X93" i="17"/>
  <c r="W93" i="17"/>
  <c r="V93" i="17"/>
  <c r="X97" i="17"/>
  <c r="W97" i="17"/>
  <c r="V97" i="17"/>
  <c r="X101" i="17"/>
  <c r="W101" i="17"/>
  <c r="V101" i="17"/>
  <c r="X103" i="17"/>
  <c r="W103" i="17"/>
  <c r="W64" i="17"/>
  <c r="W68" i="17"/>
  <c r="W72" i="17"/>
  <c r="W76" i="17"/>
  <c r="W80" i="17"/>
  <c r="W84" i="17"/>
  <c r="W88" i="17"/>
  <c r="W92" i="17"/>
  <c r="W96" i="17"/>
  <c r="W100" i="17"/>
  <c r="X62" i="17"/>
  <c r="X64" i="17"/>
  <c r="X68" i="17"/>
  <c r="X72" i="17"/>
  <c r="X76" i="17"/>
  <c r="X80" i="17"/>
  <c r="X84" i="17"/>
  <c r="X88" i="17"/>
  <c r="X92" i="17"/>
  <c r="X96" i="17"/>
  <c r="X100" i="17"/>
  <c r="X66" i="17"/>
  <c r="X70" i="17"/>
  <c r="X74" i="17"/>
  <c r="X78" i="17"/>
  <c r="X82" i="17"/>
  <c r="X86" i="17"/>
  <c r="X90" i="17"/>
  <c r="X94" i="17"/>
  <c r="X98" i="17"/>
  <c r="X102" i="17"/>
  <c r="W66" i="17"/>
  <c r="W70" i="17"/>
  <c r="W74" i="17"/>
  <c r="W78" i="17"/>
  <c r="W82" i="17"/>
  <c r="W86" i="17"/>
  <c r="W90" i="17"/>
  <c r="W94" i="17"/>
  <c r="W98" i="17"/>
  <c r="W102" i="17"/>
  <c r="W62" i="17"/>
  <c r="V102" i="17"/>
  <c r="V98" i="17"/>
  <c r="V90" i="17"/>
  <c r="V84" i="17"/>
  <c r="V68" i="17"/>
  <c r="V62" i="17"/>
  <c r="V103" i="17"/>
  <c r="V92" i="17"/>
  <c r="V82" i="17"/>
  <c r="V78" i="17"/>
  <c r="V74" i="17"/>
  <c r="V66" i="17"/>
  <c r="V100" i="17"/>
  <c r="V96" i="17"/>
  <c r="V86" i="17"/>
  <c r="V72" i="17"/>
  <c r="V64" i="17"/>
  <c r="V94" i="17"/>
  <c r="V88" i="17"/>
  <c r="V80" i="17"/>
  <c r="V76" i="17"/>
  <c r="V70" i="17"/>
  <c r="M84" i="17"/>
  <c r="L84" i="17"/>
  <c r="M85" i="17"/>
  <c r="L85" i="17"/>
  <c r="M88" i="17"/>
  <c r="L88" i="17"/>
  <c r="M89" i="17"/>
  <c r="L89" i="17"/>
  <c r="M92" i="17"/>
  <c r="L92" i="17"/>
  <c r="E56" i="17"/>
  <c r="D56" i="17"/>
  <c r="H104" i="17"/>
  <c r="M81" i="17"/>
  <c r="L81" i="17"/>
  <c r="D57" i="19"/>
  <c r="S7" i="19"/>
  <c r="D54" i="19"/>
  <c r="F24" i="19"/>
  <c r="E57" i="19"/>
  <c r="X63" i="19"/>
  <c r="W63" i="19"/>
  <c r="V63" i="19"/>
  <c r="X67" i="19"/>
  <c r="W67" i="19"/>
  <c r="V67" i="19"/>
  <c r="X71" i="19"/>
  <c r="W71" i="19"/>
  <c r="V71" i="19"/>
  <c r="X75" i="19"/>
  <c r="W75" i="19"/>
  <c r="V75" i="19"/>
  <c r="X78" i="19"/>
  <c r="W78" i="19"/>
  <c r="V78" i="19"/>
  <c r="W80" i="19"/>
  <c r="X80" i="19"/>
  <c r="V80" i="19"/>
  <c r="W64" i="19"/>
  <c r="W68" i="19"/>
  <c r="W72" i="19"/>
  <c r="W76" i="19"/>
  <c r="V62" i="19"/>
  <c r="W62" i="19"/>
  <c r="W66" i="19"/>
  <c r="W70" i="19"/>
  <c r="W74" i="19"/>
  <c r="X62" i="19"/>
  <c r="X66" i="19"/>
  <c r="X70" i="19"/>
  <c r="X74" i="19"/>
  <c r="X64" i="19"/>
  <c r="X68" i="19"/>
  <c r="X72" i="19"/>
  <c r="X76" i="19"/>
  <c r="V72" i="19"/>
  <c r="V64" i="19"/>
  <c r="V74" i="19"/>
  <c r="V66" i="19"/>
  <c r="V76" i="19"/>
  <c r="V68" i="19"/>
  <c r="V70" i="19"/>
  <c r="M83" i="19"/>
  <c r="L83" i="19"/>
  <c r="M87" i="19"/>
  <c r="L87" i="19"/>
  <c r="M91" i="19"/>
  <c r="L91" i="19"/>
  <c r="M95" i="19"/>
  <c r="L95" i="19"/>
  <c r="M96" i="19"/>
  <c r="L96" i="19"/>
  <c r="M99" i="19"/>
  <c r="L99" i="19"/>
  <c r="M100" i="19"/>
  <c r="L100" i="19"/>
  <c r="M103" i="19"/>
  <c r="L103" i="19"/>
  <c r="E56" i="19"/>
  <c r="D56" i="19"/>
  <c r="M78" i="19"/>
  <c r="L78" i="19"/>
  <c r="D54" i="20"/>
  <c r="D57" i="20"/>
  <c r="T5" i="20"/>
  <c r="K20" i="92"/>
  <c r="U5" i="20"/>
  <c r="V5" i="20"/>
  <c r="T6" i="20"/>
  <c r="U6" i="20"/>
  <c r="V6" i="20"/>
  <c r="S5" i="20"/>
  <c r="S7" i="20"/>
  <c r="U7" i="20"/>
  <c r="E57" i="20"/>
  <c r="X64" i="20"/>
  <c r="W64" i="20"/>
  <c r="V64" i="20"/>
  <c r="X66" i="20"/>
  <c r="W66" i="20"/>
  <c r="V66" i="20"/>
  <c r="X68" i="20"/>
  <c r="W68" i="20"/>
  <c r="V68" i="20"/>
  <c r="X70" i="20"/>
  <c r="W70" i="20"/>
  <c r="V70" i="20"/>
  <c r="X72" i="20"/>
  <c r="W72" i="20"/>
  <c r="V72" i="20"/>
  <c r="X74" i="20"/>
  <c r="W74" i="20"/>
  <c r="V74" i="20"/>
  <c r="X76" i="20"/>
  <c r="W76" i="20"/>
  <c r="V76" i="20"/>
  <c r="X78" i="20"/>
  <c r="W78" i="20"/>
  <c r="V78" i="20"/>
  <c r="X80" i="20"/>
  <c r="W80" i="20"/>
  <c r="V80" i="20"/>
  <c r="X65" i="20"/>
  <c r="X69" i="20"/>
  <c r="W67" i="20"/>
  <c r="X67" i="20"/>
  <c r="W65" i="20"/>
  <c r="W69" i="20"/>
  <c r="V69" i="20"/>
  <c r="V65" i="20"/>
  <c r="V67" i="20"/>
  <c r="M66" i="20"/>
  <c r="L66" i="20"/>
  <c r="M68" i="20"/>
  <c r="L68" i="20"/>
  <c r="M70" i="20"/>
  <c r="L70" i="20"/>
  <c r="M91" i="20"/>
  <c r="L91" i="20"/>
  <c r="M95" i="20"/>
  <c r="L95" i="20"/>
  <c r="M96" i="20"/>
  <c r="L96" i="20"/>
  <c r="M99" i="20"/>
  <c r="L99" i="20"/>
  <c r="M100" i="20"/>
  <c r="L100" i="20"/>
  <c r="M103" i="20"/>
  <c r="L103" i="20"/>
  <c r="E56" i="20"/>
  <c r="D56" i="20"/>
  <c r="L62" i="20"/>
  <c r="X62" i="20"/>
  <c r="W62" i="20"/>
  <c r="V62" i="20"/>
  <c r="S5" i="21"/>
  <c r="T6" i="21"/>
  <c r="S6" i="21"/>
  <c r="R6" i="21"/>
  <c r="U6" i="21"/>
  <c r="V6" i="21"/>
  <c r="S7" i="21"/>
  <c r="H104" i="21"/>
  <c r="E57" i="21"/>
  <c r="X64" i="21"/>
  <c r="W64" i="21"/>
  <c r="V64" i="21"/>
  <c r="W66" i="21"/>
  <c r="X66" i="21"/>
  <c r="V66" i="21"/>
  <c r="X68" i="21"/>
  <c r="W68" i="21"/>
  <c r="V68" i="21"/>
  <c r="W70" i="21"/>
  <c r="X70" i="21"/>
  <c r="V70" i="21"/>
  <c r="X72" i="21"/>
  <c r="W72" i="21"/>
  <c r="V72" i="21"/>
  <c r="W74" i="21"/>
  <c r="X74" i="21"/>
  <c r="V74" i="21"/>
  <c r="X76" i="21"/>
  <c r="W76" i="21"/>
  <c r="V76" i="21"/>
  <c r="W78" i="21"/>
  <c r="X78" i="21"/>
  <c r="V78" i="21"/>
  <c r="X80" i="21"/>
  <c r="W80" i="21"/>
  <c r="V80" i="21"/>
  <c r="M63" i="21"/>
  <c r="L63" i="21"/>
  <c r="M64" i="21"/>
  <c r="L64" i="21"/>
  <c r="M66" i="21"/>
  <c r="L66" i="21"/>
  <c r="M68" i="21"/>
  <c r="L68" i="21"/>
  <c r="M70" i="21"/>
  <c r="L70" i="21"/>
  <c r="M78" i="21"/>
  <c r="L78" i="21"/>
  <c r="M80" i="21"/>
  <c r="L80" i="21"/>
  <c r="M83" i="21"/>
  <c r="L83" i="21"/>
  <c r="M95" i="21"/>
  <c r="L95" i="21"/>
  <c r="M99" i="21"/>
  <c r="L99" i="21"/>
  <c r="M100" i="21"/>
  <c r="L100" i="21"/>
  <c r="M103" i="21"/>
  <c r="L103" i="21"/>
  <c r="E56" i="21"/>
  <c r="D56" i="21"/>
  <c r="L62" i="21"/>
  <c r="F57" i="21"/>
  <c r="G57" i="21"/>
  <c r="S6" i="24"/>
  <c r="S7" i="24"/>
  <c r="X62" i="24"/>
  <c r="W62" i="24"/>
  <c r="V62" i="24"/>
  <c r="X64" i="24"/>
  <c r="W64" i="24"/>
  <c r="V64" i="24"/>
  <c r="X66" i="24"/>
  <c r="W66" i="24"/>
  <c r="V66" i="24"/>
  <c r="W68" i="24"/>
  <c r="X68" i="24"/>
  <c r="V68" i="24"/>
  <c r="X70" i="24"/>
  <c r="W70" i="24"/>
  <c r="V70" i="24"/>
  <c r="X72" i="24"/>
  <c r="W72" i="24"/>
  <c r="V72" i="24"/>
  <c r="X74" i="24"/>
  <c r="W74" i="24"/>
  <c r="V74" i="24"/>
  <c r="W76" i="24"/>
  <c r="X76" i="24"/>
  <c r="V76" i="24"/>
  <c r="X78" i="24"/>
  <c r="W78" i="24"/>
  <c r="V78" i="24"/>
  <c r="X80" i="24"/>
  <c r="W80" i="24"/>
  <c r="V80" i="24"/>
  <c r="L62" i="24"/>
  <c r="Q5" i="25"/>
  <c r="U5" i="25"/>
  <c r="T5" i="25"/>
  <c r="R5" i="25"/>
  <c r="V5" i="25"/>
  <c r="U7" i="25"/>
  <c r="V7" i="25"/>
  <c r="D54" i="25"/>
  <c r="D57" i="25"/>
  <c r="F57" i="25"/>
  <c r="G57" i="25"/>
  <c r="X63" i="25"/>
  <c r="W63" i="25"/>
  <c r="V63" i="25"/>
  <c r="W64" i="25"/>
  <c r="X64" i="25"/>
  <c r="V64" i="25"/>
  <c r="W66" i="25"/>
  <c r="X66" i="25"/>
  <c r="V66" i="25"/>
  <c r="X68" i="25"/>
  <c r="W68" i="25"/>
  <c r="V68" i="25"/>
  <c r="X70" i="25"/>
  <c r="W70" i="25"/>
  <c r="V70" i="25"/>
  <c r="W72" i="25"/>
  <c r="X72" i="25"/>
  <c r="V72" i="25"/>
  <c r="W74" i="25"/>
  <c r="X74" i="25"/>
  <c r="V74" i="25"/>
  <c r="X76" i="25"/>
  <c r="W76" i="25"/>
  <c r="V76" i="25"/>
  <c r="X78" i="25"/>
  <c r="W78" i="25"/>
  <c r="V78" i="25"/>
  <c r="X80" i="25"/>
  <c r="W80" i="25"/>
  <c r="V80" i="25"/>
  <c r="M62" i="25"/>
  <c r="S6" i="27"/>
  <c r="S7" i="27"/>
  <c r="F24" i="27"/>
  <c r="D57" i="27"/>
  <c r="F57" i="27"/>
  <c r="G57" i="27"/>
  <c r="X67" i="27"/>
  <c r="W67" i="27"/>
  <c r="V67" i="27"/>
  <c r="W69" i="27"/>
  <c r="X69" i="27"/>
  <c r="V69" i="27"/>
  <c r="W71" i="27"/>
  <c r="X71" i="27"/>
  <c r="V71" i="27"/>
  <c r="X73" i="27"/>
  <c r="W73" i="27"/>
  <c r="V73" i="27"/>
  <c r="X75" i="27"/>
  <c r="W75" i="27"/>
  <c r="V75" i="27"/>
  <c r="D54" i="24"/>
  <c r="Q5" i="24"/>
  <c r="U5" i="24"/>
  <c r="T5" i="24"/>
  <c r="R5" i="24"/>
  <c r="V5" i="24"/>
  <c r="E57" i="24"/>
  <c r="S5" i="24"/>
  <c r="U7" i="24"/>
  <c r="V7" i="24"/>
  <c r="F23" i="24"/>
  <c r="F24" i="24"/>
  <c r="D57" i="24"/>
  <c r="F57" i="24"/>
  <c r="G57" i="24"/>
  <c r="W63" i="24"/>
  <c r="X63" i="24"/>
  <c r="V63" i="24"/>
  <c r="X65" i="24"/>
  <c r="W65" i="24"/>
  <c r="V65" i="24"/>
  <c r="W67" i="24"/>
  <c r="X67" i="24"/>
  <c r="V67" i="24"/>
  <c r="X69" i="24"/>
  <c r="W69" i="24"/>
  <c r="V69" i="24"/>
  <c r="W71" i="24"/>
  <c r="X71" i="24"/>
  <c r="V71" i="24"/>
  <c r="X73" i="24"/>
  <c r="W73" i="24"/>
  <c r="V73" i="24"/>
  <c r="W75" i="24"/>
  <c r="X75" i="24"/>
  <c r="V75" i="24"/>
  <c r="X77" i="24"/>
  <c r="W77" i="24"/>
  <c r="V77" i="24"/>
  <c r="W79" i="24"/>
  <c r="X79" i="24"/>
  <c r="V79" i="24"/>
  <c r="M64" i="24"/>
  <c r="L64" i="24"/>
  <c r="M68" i="24"/>
  <c r="L68" i="24"/>
  <c r="M70" i="24"/>
  <c r="L70" i="24"/>
  <c r="M76" i="24"/>
  <c r="L76" i="24"/>
  <c r="M78" i="24"/>
  <c r="L78" i="24"/>
  <c r="M80" i="24"/>
  <c r="L80" i="24"/>
  <c r="M83" i="24"/>
  <c r="L83" i="24"/>
  <c r="M84" i="24"/>
  <c r="L84" i="24"/>
  <c r="M87" i="24"/>
  <c r="L87" i="24"/>
  <c r="M91" i="24"/>
  <c r="L91" i="24"/>
  <c r="M95" i="24"/>
  <c r="L95" i="24"/>
  <c r="M96" i="24"/>
  <c r="L96" i="24"/>
  <c r="M99" i="24"/>
  <c r="L99" i="24"/>
  <c r="M100" i="24"/>
  <c r="L100" i="24"/>
  <c r="M103" i="24"/>
  <c r="L103" i="24"/>
  <c r="M67" i="24"/>
  <c r="L67" i="24"/>
  <c r="M73" i="24"/>
  <c r="L73" i="24"/>
  <c r="M77" i="24"/>
  <c r="L77" i="24"/>
  <c r="M85" i="24"/>
  <c r="L85" i="24"/>
  <c r="M89" i="24"/>
  <c r="L89" i="24"/>
  <c r="E56" i="24"/>
  <c r="D56" i="24"/>
  <c r="H104" i="24"/>
  <c r="M62" i="24"/>
  <c r="S5" i="25"/>
  <c r="S6" i="25"/>
  <c r="S7" i="25"/>
  <c r="E57" i="25"/>
  <c r="X65" i="25"/>
  <c r="W65" i="25"/>
  <c r="V65" i="25"/>
  <c r="W67" i="25"/>
  <c r="X67" i="25"/>
  <c r="V67" i="25"/>
  <c r="X69" i="25"/>
  <c r="W69" i="25"/>
  <c r="V69" i="25"/>
  <c r="W71" i="25"/>
  <c r="X71" i="25"/>
  <c r="V71" i="25"/>
  <c r="X73" i="25"/>
  <c r="W73" i="25"/>
  <c r="V73" i="25"/>
  <c r="W75" i="25"/>
  <c r="X75" i="25"/>
  <c r="V75" i="25"/>
  <c r="X77" i="25"/>
  <c r="W77" i="25"/>
  <c r="V77" i="25"/>
  <c r="W79" i="25"/>
  <c r="X79" i="25"/>
  <c r="V79" i="25"/>
  <c r="W62" i="25"/>
  <c r="X62" i="25"/>
  <c r="V62" i="25"/>
  <c r="I58" i="25"/>
  <c r="I56" i="25"/>
  <c r="I57" i="25"/>
  <c r="M64" i="25"/>
  <c r="L64" i="25"/>
  <c r="M65" i="25"/>
  <c r="L65" i="25"/>
  <c r="M67" i="25"/>
  <c r="L67" i="25"/>
  <c r="M69" i="25"/>
  <c r="L69" i="25"/>
  <c r="M71" i="25"/>
  <c r="L71" i="25"/>
  <c r="M73" i="25"/>
  <c r="L73" i="25"/>
  <c r="M75" i="25"/>
  <c r="L75" i="25"/>
  <c r="M77" i="25"/>
  <c r="L77" i="25"/>
  <c r="M79" i="25"/>
  <c r="L79" i="25"/>
  <c r="M81" i="25"/>
  <c r="L81" i="25"/>
  <c r="M82" i="25"/>
  <c r="L82" i="25"/>
  <c r="M83" i="25"/>
  <c r="L83" i="25"/>
  <c r="M84" i="25"/>
  <c r="L84" i="25"/>
  <c r="M85" i="25"/>
  <c r="L85" i="25"/>
  <c r="M86" i="25"/>
  <c r="L86" i="25"/>
  <c r="M87" i="25"/>
  <c r="L87" i="25"/>
  <c r="M88" i="25"/>
  <c r="L88" i="25"/>
  <c r="M89" i="25"/>
  <c r="L89" i="25"/>
  <c r="M90" i="25"/>
  <c r="L90" i="25"/>
  <c r="M91" i="25"/>
  <c r="L91" i="25"/>
  <c r="M92" i="25"/>
  <c r="L92" i="25"/>
  <c r="M93" i="25"/>
  <c r="L93" i="25"/>
  <c r="M94" i="25"/>
  <c r="L94" i="25"/>
  <c r="M95" i="25"/>
  <c r="L95" i="25"/>
  <c r="M96" i="25"/>
  <c r="L96" i="25"/>
  <c r="M97" i="25"/>
  <c r="L97" i="25"/>
  <c r="M98" i="25"/>
  <c r="L98" i="25"/>
  <c r="M99" i="25"/>
  <c r="L99" i="25"/>
  <c r="M100" i="25"/>
  <c r="L100" i="25"/>
  <c r="M101" i="25"/>
  <c r="L101" i="25"/>
  <c r="M102" i="25"/>
  <c r="L102" i="25"/>
  <c r="M103" i="25"/>
  <c r="L103" i="25"/>
  <c r="E56" i="25"/>
  <c r="D56" i="25"/>
  <c r="H104" i="25"/>
  <c r="G104" i="25"/>
  <c r="L62" i="25"/>
  <c r="S5" i="27"/>
  <c r="U7" i="27"/>
  <c r="V7" i="27"/>
  <c r="D54" i="27"/>
  <c r="E57" i="27"/>
  <c r="X68" i="27"/>
  <c r="W68" i="27"/>
  <c r="V68" i="27"/>
  <c r="W70" i="27"/>
  <c r="X70" i="27"/>
  <c r="V70" i="27"/>
  <c r="W72" i="27"/>
  <c r="X72" i="27"/>
  <c r="V72" i="27"/>
  <c r="X74" i="27"/>
  <c r="W74" i="27"/>
  <c r="V74" i="27"/>
  <c r="X76" i="27"/>
  <c r="W76" i="27"/>
  <c r="V76" i="27"/>
  <c r="X78" i="27"/>
  <c r="W78" i="27"/>
  <c r="V78" i="27"/>
  <c r="W80" i="27"/>
  <c r="X80" i="27"/>
  <c r="V80" i="27"/>
  <c r="Q6" i="28"/>
  <c r="S6" i="28"/>
  <c r="R6" i="28"/>
  <c r="U6" i="28"/>
  <c r="S7" i="28"/>
  <c r="U7" i="28"/>
  <c r="D54" i="28"/>
  <c r="D57" i="28"/>
  <c r="F57" i="28"/>
  <c r="G57" i="28"/>
  <c r="W63" i="28"/>
  <c r="V63" i="28"/>
  <c r="W67" i="28"/>
  <c r="V67" i="28"/>
  <c r="W69" i="28"/>
  <c r="V69" i="28"/>
  <c r="W71" i="28"/>
  <c r="V71" i="28"/>
  <c r="W73" i="28"/>
  <c r="V73" i="28"/>
  <c r="W75" i="28"/>
  <c r="V75" i="28"/>
  <c r="W77" i="28"/>
  <c r="V77" i="28"/>
  <c r="W79" i="28"/>
  <c r="V79" i="28"/>
  <c r="M62" i="28"/>
  <c r="D57" i="29"/>
  <c r="F24" i="29"/>
  <c r="U5" i="30"/>
  <c r="T5" i="30"/>
  <c r="V5" i="30"/>
  <c r="T6" i="30"/>
  <c r="U6" i="30"/>
  <c r="R6" i="30"/>
  <c r="V6" i="30"/>
  <c r="S7" i="30"/>
  <c r="E57" i="30"/>
  <c r="X62" i="30"/>
  <c r="W62" i="30"/>
  <c r="V62" i="30"/>
  <c r="W64" i="30"/>
  <c r="X64" i="30"/>
  <c r="V64" i="30"/>
  <c r="X66" i="30"/>
  <c r="W66" i="30"/>
  <c r="V66" i="30"/>
  <c r="W68" i="30"/>
  <c r="X68" i="30"/>
  <c r="V68" i="30"/>
  <c r="X70" i="30"/>
  <c r="W70" i="30"/>
  <c r="V70" i="30"/>
  <c r="W72" i="30"/>
  <c r="X72" i="30"/>
  <c r="V72" i="30"/>
  <c r="X74" i="30"/>
  <c r="W74" i="30"/>
  <c r="V74" i="30"/>
  <c r="W76" i="30"/>
  <c r="X76" i="30"/>
  <c r="V76" i="30"/>
  <c r="X78" i="30"/>
  <c r="W78" i="30"/>
  <c r="V78" i="30"/>
  <c r="X80" i="30"/>
  <c r="W80" i="30"/>
  <c r="V80" i="30"/>
  <c r="M62" i="30"/>
  <c r="F24" i="32"/>
  <c r="D54" i="33"/>
  <c r="X63" i="33"/>
  <c r="W63" i="33"/>
  <c r="V63" i="33"/>
  <c r="X67" i="33"/>
  <c r="W67" i="33"/>
  <c r="V67" i="33"/>
  <c r="X71" i="33"/>
  <c r="W71" i="33"/>
  <c r="V71" i="33"/>
  <c r="X75" i="33"/>
  <c r="W75" i="33"/>
  <c r="V75" i="33"/>
  <c r="X79" i="33"/>
  <c r="W79" i="33"/>
  <c r="V79" i="33"/>
  <c r="W77" i="27"/>
  <c r="X77" i="27"/>
  <c r="V77" i="27"/>
  <c r="W79" i="27"/>
  <c r="X79" i="27"/>
  <c r="V79" i="27"/>
  <c r="W62" i="27"/>
  <c r="X65" i="27"/>
  <c r="X62" i="27"/>
  <c r="X66" i="27"/>
  <c r="W63" i="27"/>
  <c r="W64" i="27"/>
  <c r="W65" i="27"/>
  <c r="W66" i="27"/>
  <c r="X63" i="27"/>
  <c r="X64" i="27"/>
  <c r="V63" i="27"/>
  <c r="V65" i="27"/>
  <c r="M77" i="27"/>
  <c r="L77" i="27"/>
  <c r="V62" i="27"/>
  <c r="V64" i="27"/>
  <c r="V66" i="27"/>
  <c r="M68" i="27"/>
  <c r="L68" i="27"/>
  <c r="M70" i="27"/>
  <c r="L70" i="27"/>
  <c r="M72" i="27"/>
  <c r="L72" i="27"/>
  <c r="M74" i="27"/>
  <c r="L74" i="27"/>
  <c r="M87" i="27"/>
  <c r="L87" i="27"/>
  <c r="M91" i="27"/>
  <c r="L91" i="27"/>
  <c r="M95" i="27"/>
  <c r="L95" i="27"/>
  <c r="M103" i="27"/>
  <c r="L103" i="27"/>
  <c r="M79" i="27"/>
  <c r="L79" i="27"/>
  <c r="M81" i="27"/>
  <c r="L81" i="27"/>
  <c r="M85" i="27"/>
  <c r="L85" i="27"/>
  <c r="M86" i="27"/>
  <c r="L86" i="27"/>
  <c r="M89" i="27"/>
  <c r="L89" i="27"/>
  <c r="M93" i="27"/>
  <c r="L93" i="27"/>
  <c r="M101" i="27"/>
  <c r="L101" i="27"/>
  <c r="M102" i="27"/>
  <c r="L102" i="27"/>
  <c r="E56" i="27"/>
  <c r="D56" i="27"/>
  <c r="H104" i="27"/>
  <c r="M67" i="27"/>
  <c r="L67" i="27"/>
  <c r="T6" i="28"/>
  <c r="V6" i="28"/>
  <c r="S5" i="28"/>
  <c r="V7" i="28"/>
  <c r="H104" i="28"/>
  <c r="E57" i="28"/>
  <c r="V64" i="28"/>
  <c r="W64" i="28"/>
  <c r="M64" i="28"/>
  <c r="L64" i="28"/>
  <c r="X64" i="28"/>
  <c r="W65" i="28"/>
  <c r="V65" i="28"/>
  <c r="V66" i="28"/>
  <c r="M66" i="28"/>
  <c r="L66" i="28"/>
  <c r="X66" i="28"/>
  <c r="W66" i="28"/>
  <c r="W68" i="28"/>
  <c r="V68" i="28"/>
  <c r="W70" i="28"/>
  <c r="V70" i="28"/>
  <c r="W72" i="28"/>
  <c r="V72" i="28"/>
  <c r="W74" i="28"/>
  <c r="V74" i="28"/>
  <c r="W76" i="28"/>
  <c r="V76" i="28"/>
  <c r="W78" i="28"/>
  <c r="V78" i="28"/>
  <c r="X63" i="28"/>
  <c r="X67" i="28"/>
  <c r="X65" i="28"/>
  <c r="X69" i="28"/>
  <c r="X71" i="28"/>
  <c r="X73" i="28"/>
  <c r="X75" i="28"/>
  <c r="X77" i="28"/>
  <c r="X79" i="28"/>
  <c r="X68" i="28"/>
  <c r="X70" i="28"/>
  <c r="X72" i="28"/>
  <c r="X74" i="28"/>
  <c r="X76" i="28"/>
  <c r="X78" i="28"/>
  <c r="W80" i="28"/>
  <c r="V80" i="28"/>
  <c r="M63" i="28"/>
  <c r="L63" i="28"/>
  <c r="M65" i="28"/>
  <c r="L65" i="28"/>
  <c r="M89" i="28"/>
  <c r="L89" i="28"/>
  <c r="M93" i="28"/>
  <c r="L93" i="28"/>
  <c r="M68" i="28"/>
  <c r="L68" i="28"/>
  <c r="M70" i="28"/>
  <c r="L70" i="28"/>
  <c r="M72" i="28"/>
  <c r="L72" i="28"/>
  <c r="M74" i="28"/>
  <c r="L74" i="28"/>
  <c r="M76" i="28"/>
  <c r="L76" i="28"/>
  <c r="M78" i="28"/>
  <c r="L78" i="28"/>
  <c r="M80" i="28"/>
  <c r="L80" i="28"/>
  <c r="M81" i="28"/>
  <c r="L81" i="28"/>
  <c r="X80" i="28"/>
  <c r="M82" i="28"/>
  <c r="L82" i="28"/>
  <c r="M83" i="28"/>
  <c r="L83" i="28"/>
  <c r="M84" i="28"/>
  <c r="L84" i="28"/>
  <c r="M85" i="28"/>
  <c r="L85" i="28"/>
  <c r="M86" i="28"/>
  <c r="L86" i="28"/>
  <c r="M91" i="28"/>
  <c r="L91" i="28"/>
  <c r="M95" i="28"/>
  <c r="L95" i="28"/>
  <c r="M99" i="28"/>
  <c r="L99" i="28"/>
  <c r="M100" i="28"/>
  <c r="L100" i="28"/>
  <c r="M103" i="28"/>
  <c r="L103" i="28"/>
  <c r="E56" i="28"/>
  <c r="D56" i="28"/>
  <c r="V62" i="28"/>
  <c r="X62" i="28"/>
  <c r="W62" i="28"/>
  <c r="I104" i="28"/>
  <c r="L62" i="28"/>
  <c r="E57" i="29"/>
  <c r="H104" i="29"/>
  <c r="S6" i="30"/>
  <c r="S5" i="30"/>
  <c r="U7" i="30"/>
  <c r="V7" i="30"/>
  <c r="D54" i="30"/>
  <c r="D57" i="30"/>
  <c r="F57" i="30"/>
  <c r="G57" i="30"/>
  <c r="W63" i="30"/>
  <c r="X63" i="30"/>
  <c r="V63" i="30"/>
  <c r="W65" i="30"/>
  <c r="X65" i="30"/>
  <c r="V65" i="30"/>
  <c r="X67" i="30"/>
  <c r="W67" i="30"/>
  <c r="V67" i="30"/>
  <c r="X69" i="30"/>
  <c r="W69" i="30"/>
  <c r="V69" i="30"/>
  <c r="W71" i="30"/>
  <c r="X71" i="30"/>
  <c r="V71" i="30"/>
  <c r="W73" i="30"/>
  <c r="X73" i="30"/>
  <c r="V73" i="30"/>
  <c r="X75" i="30"/>
  <c r="W75" i="30"/>
  <c r="V75" i="30"/>
  <c r="X77" i="30"/>
  <c r="W77" i="30"/>
  <c r="V77" i="30"/>
  <c r="W79" i="30"/>
  <c r="X79" i="30"/>
  <c r="V79" i="30"/>
  <c r="H104" i="30"/>
  <c r="D57" i="33"/>
  <c r="U5" i="33"/>
  <c r="T5" i="33"/>
  <c r="V5" i="33"/>
  <c r="U7" i="33"/>
  <c r="V7" i="33"/>
  <c r="F57" i="33"/>
  <c r="G57" i="33"/>
  <c r="W65" i="33"/>
  <c r="X65" i="33"/>
  <c r="V65" i="33"/>
  <c r="X69" i="33"/>
  <c r="W69" i="33"/>
  <c r="V69" i="33"/>
  <c r="W73" i="33"/>
  <c r="X73" i="33"/>
  <c r="V73" i="33"/>
  <c r="X77" i="33"/>
  <c r="W77" i="33"/>
  <c r="V77" i="33"/>
  <c r="M64" i="30"/>
  <c r="L64" i="30"/>
  <c r="M66" i="30"/>
  <c r="L66" i="30"/>
  <c r="M68" i="30"/>
  <c r="L68" i="30"/>
  <c r="M70" i="30"/>
  <c r="L70" i="30"/>
  <c r="M89" i="30"/>
  <c r="L89" i="30"/>
  <c r="M97" i="30"/>
  <c r="L97" i="30"/>
  <c r="M73" i="30"/>
  <c r="L73" i="30"/>
  <c r="M75" i="30"/>
  <c r="L75" i="30"/>
  <c r="M77" i="30"/>
  <c r="L77" i="30"/>
  <c r="M79" i="30"/>
  <c r="L79" i="30"/>
  <c r="M81" i="30"/>
  <c r="L81" i="30"/>
  <c r="M82" i="30"/>
  <c r="L82" i="30"/>
  <c r="M85" i="30"/>
  <c r="L85" i="30"/>
  <c r="M86" i="30"/>
  <c r="L86" i="30"/>
  <c r="M93" i="30"/>
  <c r="L93" i="30"/>
  <c r="M101" i="30"/>
  <c r="L101" i="30"/>
  <c r="M87" i="30"/>
  <c r="L87" i="30"/>
  <c r="M91" i="30"/>
  <c r="L91" i="30"/>
  <c r="M95" i="30"/>
  <c r="L95" i="30"/>
  <c r="M99" i="30"/>
  <c r="L99" i="30"/>
  <c r="M103" i="30"/>
  <c r="L103" i="30"/>
  <c r="E56" i="30"/>
  <c r="D56" i="30"/>
  <c r="L62" i="30"/>
  <c r="S5" i="33"/>
  <c r="S6" i="33"/>
  <c r="S7" i="33"/>
  <c r="E57" i="33"/>
  <c r="W62" i="33"/>
  <c r="X62" i="33"/>
  <c r="V62" i="33"/>
  <c r="X64" i="33"/>
  <c r="W64" i="33"/>
  <c r="V64" i="33"/>
  <c r="X66" i="33"/>
  <c r="W66" i="33"/>
  <c r="V66" i="33"/>
  <c r="X68" i="33"/>
  <c r="W68" i="33"/>
  <c r="V68" i="33"/>
  <c r="W70" i="33"/>
  <c r="X70" i="33"/>
  <c r="V70" i="33"/>
  <c r="X72" i="33"/>
  <c r="W72" i="33"/>
  <c r="V72" i="33"/>
  <c r="X74" i="33"/>
  <c r="W74" i="33"/>
  <c r="V74" i="33"/>
  <c r="X76" i="33"/>
  <c r="W76" i="33"/>
  <c r="V76" i="33"/>
  <c r="W78" i="33"/>
  <c r="X78" i="33"/>
  <c r="V78" i="33"/>
  <c r="H104" i="33"/>
  <c r="M62" i="33"/>
  <c r="O11" i="83"/>
  <c r="X80" i="33"/>
  <c r="W80" i="33"/>
  <c r="V80" i="33"/>
  <c r="M65" i="33"/>
  <c r="L65" i="33"/>
  <c r="M77" i="33"/>
  <c r="L77" i="33"/>
  <c r="M63" i="33"/>
  <c r="L63" i="33"/>
  <c r="M75" i="33"/>
  <c r="L75" i="33"/>
  <c r="M68" i="33"/>
  <c r="L68" i="33"/>
  <c r="M70" i="33"/>
  <c r="L70" i="33"/>
  <c r="M72" i="33"/>
  <c r="L72" i="33"/>
  <c r="M85" i="33"/>
  <c r="L85" i="33"/>
  <c r="M89" i="33"/>
  <c r="L89" i="33"/>
  <c r="M93" i="33"/>
  <c r="L93" i="33"/>
  <c r="M97" i="33"/>
  <c r="L97" i="33"/>
  <c r="M101" i="33"/>
  <c r="L101" i="33"/>
  <c r="M80" i="33"/>
  <c r="L80" i="33"/>
  <c r="M83" i="33"/>
  <c r="L83" i="33"/>
  <c r="M87" i="33"/>
  <c r="L87" i="33"/>
  <c r="M91" i="33"/>
  <c r="L91" i="33"/>
  <c r="M103" i="33"/>
  <c r="L103" i="33"/>
  <c r="E56" i="33"/>
  <c r="D56" i="33"/>
  <c r="L62" i="33"/>
  <c r="O10" i="74"/>
  <c r="O10" i="78"/>
  <c r="U5" i="10"/>
  <c r="T5" i="10"/>
  <c r="V5" i="10"/>
  <c r="U5" i="7"/>
  <c r="T5" i="7"/>
  <c r="V5" i="7"/>
  <c r="T5" i="13"/>
  <c r="V5" i="13"/>
  <c r="U5" i="13"/>
  <c r="U5" i="21"/>
  <c r="T5" i="21"/>
  <c r="V5" i="21"/>
  <c r="U5" i="17"/>
  <c r="T5" i="17"/>
  <c r="V5" i="17"/>
  <c r="U5" i="19"/>
  <c r="T5" i="19"/>
  <c r="V5" i="19"/>
  <c r="T5" i="28"/>
  <c r="V5" i="28"/>
  <c r="U5" i="28"/>
  <c r="S5" i="34"/>
  <c r="V5" i="34"/>
  <c r="T5" i="34"/>
  <c r="U5" i="34"/>
  <c r="U5" i="8"/>
  <c r="T5" i="8"/>
  <c r="V5" i="8"/>
  <c r="T5" i="9"/>
  <c r="V5" i="9"/>
  <c r="U5" i="9"/>
  <c r="T5" i="15"/>
  <c r="S5" i="15"/>
  <c r="U5" i="15"/>
  <c r="V5" i="15"/>
  <c r="S5" i="18"/>
  <c r="T5" i="18"/>
  <c r="U5" i="18"/>
  <c r="V5" i="18"/>
  <c r="O11" i="80"/>
  <c r="O10" i="80"/>
  <c r="U5" i="27"/>
  <c r="T5" i="27"/>
  <c r="V5" i="27"/>
  <c r="V5" i="29"/>
  <c r="U5" i="29"/>
  <c r="T5" i="29"/>
  <c r="V5" i="32"/>
  <c r="S5" i="32"/>
  <c r="U5" i="32"/>
  <c r="T5" i="32"/>
</calcChain>
</file>

<file path=xl/comments1.xml><?xml version="1.0" encoding="utf-8"?>
<comments xmlns="http://schemas.openxmlformats.org/spreadsheetml/2006/main">
  <authors>
    <author>sandra sieg</author>
  </authors>
  <commentList>
    <comment ref="D13" authorId="0">
      <text>
        <r>
          <rPr>
            <b/>
            <sz val="10"/>
            <color indexed="81"/>
            <rFont val="Tahoma"/>
            <family val="2"/>
          </rPr>
          <t>sandra sieg:</t>
        </r>
        <r>
          <rPr>
            <sz val="10"/>
            <color indexed="81"/>
            <rFont val="Tahoma"/>
            <family val="2"/>
          </rPr>
          <t xml:space="preserve">
Rate $111,168 at 1.0 FTE at 80% Electric
</t>
        </r>
      </text>
    </comment>
    <comment ref="E13" authorId="0">
      <text>
        <r>
          <rPr>
            <b/>
            <sz val="10"/>
            <color indexed="81"/>
            <rFont val="Tahoma"/>
            <family val="2"/>
          </rPr>
          <t>sandra sieg:</t>
        </r>
        <r>
          <rPr>
            <sz val="10"/>
            <color indexed="81"/>
            <rFont val="Tahoma"/>
            <family val="2"/>
          </rPr>
          <t xml:space="preserve">
Rate $114,503 at 1.0 FTE at 80% Electric
</t>
        </r>
      </text>
    </comment>
    <comment ref="D14" authorId="0">
      <text>
        <r>
          <rPr>
            <b/>
            <sz val="10"/>
            <color indexed="81"/>
            <rFont val="Tahoma"/>
            <family val="2"/>
          </rPr>
          <t>sandra sieg:</t>
        </r>
        <r>
          <rPr>
            <sz val="10"/>
            <color indexed="81"/>
            <rFont val="Tahoma"/>
            <family val="2"/>
          </rPr>
          <t xml:space="preserve">
Rate $111,168 at 1.0 FTE at 80% Electric
</t>
        </r>
      </text>
    </comment>
    <comment ref="E14" authorId="0">
      <text>
        <r>
          <rPr>
            <b/>
            <sz val="10"/>
            <color indexed="81"/>
            <rFont val="Tahoma"/>
            <family val="2"/>
          </rPr>
          <t>sandra sieg:</t>
        </r>
        <r>
          <rPr>
            <sz val="10"/>
            <color indexed="81"/>
            <rFont val="Tahoma"/>
            <family val="2"/>
          </rPr>
          <t xml:space="preserve">
Rate $114,503 at 1.0 FTE at 80% Electric
</t>
        </r>
      </text>
    </comment>
    <comment ref="D15" authorId="0">
      <text>
        <r>
          <rPr>
            <b/>
            <sz val="10"/>
            <color indexed="81"/>
            <rFont val="Tahoma"/>
            <family val="2"/>
          </rPr>
          <t>sandra sieg:</t>
        </r>
        <r>
          <rPr>
            <sz val="10"/>
            <color indexed="81"/>
            <rFont val="Tahoma"/>
            <family val="2"/>
          </rPr>
          <t xml:space="preserve">
Rate $111,168 at 1.0 FTE at 80% Electric
</t>
        </r>
      </text>
    </comment>
    <comment ref="E15" authorId="0">
      <text>
        <r>
          <rPr>
            <b/>
            <sz val="10"/>
            <color indexed="81"/>
            <rFont val="Tahoma"/>
            <family val="2"/>
          </rPr>
          <t>sandra sieg:</t>
        </r>
        <r>
          <rPr>
            <sz val="10"/>
            <color indexed="81"/>
            <rFont val="Tahoma"/>
            <family val="2"/>
          </rPr>
          <t xml:space="preserve">
Rate $114,503 at 1.0 FTE at 80% Electric
</t>
        </r>
      </text>
    </comment>
    <comment ref="D16" authorId="0">
      <text>
        <r>
          <rPr>
            <b/>
            <sz val="10"/>
            <color indexed="81"/>
            <rFont val="Tahoma"/>
            <family val="2"/>
          </rPr>
          <t>sandra sieg:</t>
        </r>
        <r>
          <rPr>
            <sz val="10"/>
            <color indexed="81"/>
            <rFont val="Tahoma"/>
            <family val="2"/>
          </rPr>
          <t xml:space="preserve">
Rate $111,168 at .25 FTE at 80% Electric
</t>
        </r>
      </text>
    </comment>
    <comment ref="E16" authorId="0">
      <text>
        <r>
          <rPr>
            <b/>
            <sz val="10"/>
            <color indexed="81"/>
            <rFont val="Tahoma"/>
            <family val="2"/>
          </rPr>
          <t>sandra sieg:</t>
        </r>
        <r>
          <rPr>
            <sz val="10"/>
            <color indexed="81"/>
            <rFont val="Tahoma"/>
            <family val="2"/>
          </rPr>
          <t xml:space="preserve">
Rate $114,503 at .25 FTE at 80% Electric
</t>
        </r>
      </text>
    </comment>
    <comment ref="M16" authorId="0">
      <text>
        <r>
          <rPr>
            <b/>
            <sz val="10"/>
            <color indexed="81"/>
            <rFont val="Tahoma"/>
            <family val="2"/>
          </rPr>
          <t>sandra sieg:</t>
        </r>
        <r>
          <rPr>
            <sz val="10"/>
            <color indexed="81"/>
            <rFont val="Tahoma"/>
            <family val="2"/>
          </rPr>
          <t xml:space="preserve">
insulation incentives unit count reduced by 30%</t>
        </r>
      </text>
    </comment>
    <comment ref="M17" authorId="0">
      <text>
        <r>
          <rPr>
            <b/>
            <sz val="10"/>
            <color indexed="81"/>
            <rFont val="Tahoma"/>
            <family val="2"/>
          </rPr>
          <t>sandra sieg:</t>
        </r>
        <r>
          <rPr>
            <sz val="10"/>
            <color indexed="81"/>
            <rFont val="Tahoma"/>
            <family val="2"/>
          </rPr>
          <t xml:space="preserve">
MF insulation down by 40%
</t>
        </r>
      </text>
    </comment>
    <comment ref="D18" authorId="0">
      <text>
        <r>
          <rPr>
            <b/>
            <sz val="10"/>
            <color indexed="81"/>
            <rFont val="Tahoma"/>
            <family val="2"/>
          </rPr>
          <t>sandra sieg:</t>
        </r>
        <r>
          <rPr>
            <sz val="10"/>
            <color indexed="81"/>
            <rFont val="Tahoma"/>
            <family val="2"/>
          </rPr>
          <t xml:space="preserve">
Rate $120,000 at .15 FTE at 80% Electric
</t>
        </r>
      </text>
    </comment>
    <comment ref="E18" authorId="0">
      <text>
        <r>
          <rPr>
            <b/>
            <sz val="10"/>
            <color indexed="81"/>
            <rFont val="Tahoma"/>
            <family val="2"/>
          </rPr>
          <t>sandra sieg:</t>
        </r>
        <r>
          <rPr>
            <sz val="10"/>
            <color indexed="81"/>
            <rFont val="Tahoma"/>
            <family val="2"/>
          </rPr>
          <t xml:space="preserve">
Rate $123,000 at .15 FTE at 80% Electric
</t>
        </r>
      </text>
    </comment>
    <comment ref="D38" authorId="0">
      <text>
        <r>
          <rPr>
            <b/>
            <sz val="10"/>
            <color indexed="81"/>
            <rFont val="Tahoma"/>
            <family val="2"/>
          </rPr>
          <t>sandra sieg:</t>
        </r>
        <r>
          <rPr>
            <sz val="10"/>
            <color indexed="81"/>
            <rFont val="Tahoma"/>
            <family val="2"/>
          </rPr>
          <t xml:space="preserve">
Based on 24K per yr at 80% E, 20% Gas</t>
        </r>
      </text>
    </comment>
    <comment ref="E38" authorId="0">
      <text>
        <r>
          <rPr>
            <b/>
            <sz val="10"/>
            <color indexed="81"/>
            <rFont val="Tahoma"/>
            <family val="2"/>
          </rPr>
          <t>sandra sieg:</t>
        </r>
        <r>
          <rPr>
            <sz val="10"/>
            <color indexed="81"/>
            <rFont val="Tahoma"/>
            <family val="2"/>
          </rPr>
          <t xml:space="preserve">
Based on 24K per yr at 80% E, 20% Gas</t>
        </r>
      </text>
    </comment>
    <comment ref="D39" authorId="0">
      <text>
        <r>
          <rPr>
            <b/>
            <sz val="10"/>
            <color indexed="81"/>
            <rFont val="Tahoma"/>
            <family val="2"/>
          </rPr>
          <t>sandra sieg:</t>
        </r>
        <r>
          <rPr>
            <sz val="10"/>
            <color indexed="81"/>
            <rFont val="Tahoma"/>
            <family val="2"/>
          </rPr>
          <t xml:space="preserve">
Based on $600k total spending at 20% cost to LIW. Of that 90% to Electric. Of that, 80% of expeniture in '12 and 20% in '13</t>
        </r>
      </text>
    </comment>
    <comment ref="E39" authorId="0">
      <text>
        <r>
          <rPr>
            <b/>
            <sz val="10"/>
            <color indexed="81"/>
            <rFont val="Tahoma"/>
            <family val="2"/>
          </rPr>
          <t>sandra sieg:</t>
        </r>
        <r>
          <rPr>
            <sz val="10"/>
            <color indexed="81"/>
            <rFont val="Tahoma"/>
            <family val="2"/>
          </rPr>
          <t xml:space="preserve">
Based on $600k total spending at 20% cost to LIW. Of that 90% to Electric. Of that, 80% of expeniture in '12 and 20% in '13</t>
        </r>
      </text>
    </comment>
    <comment ref="D43" authorId="0">
      <text>
        <r>
          <rPr>
            <b/>
            <sz val="10"/>
            <color indexed="81"/>
            <rFont val="Tahoma"/>
            <family val="2"/>
          </rPr>
          <t>sandra sieg:</t>
        </r>
        <r>
          <rPr>
            <sz val="10"/>
            <color indexed="81"/>
            <rFont val="Tahoma"/>
            <family val="2"/>
          </rPr>
          <t xml:space="preserve">
Based on 2011 actuals at average $900/month</t>
        </r>
      </text>
    </comment>
    <comment ref="E43" authorId="0">
      <text>
        <r>
          <rPr>
            <b/>
            <sz val="10"/>
            <color indexed="81"/>
            <rFont val="Tahoma"/>
            <family val="2"/>
          </rPr>
          <t>sandra sieg:</t>
        </r>
        <r>
          <rPr>
            <sz val="10"/>
            <color indexed="81"/>
            <rFont val="Tahoma"/>
            <family val="2"/>
          </rPr>
          <t xml:space="preserve">
Based on 2011 actuals at average $900/month</t>
        </r>
      </text>
    </comment>
    <comment ref="D48" authorId="0">
      <text>
        <r>
          <rPr>
            <b/>
            <sz val="10"/>
            <color indexed="81"/>
            <rFont val="Tahoma"/>
            <family val="2"/>
          </rPr>
          <t>sandra sieg:</t>
        </r>
        <r>
          <rPr>
            <sz val="10"/>
            <color indexed="81"/>
            <rFont val="Tahoma"/>
            <family val="2"/>
          </rPr>
          <t xml:space="preserve">
Based on 2011 actuals.</t>
        </r>
      </text>
    </comment>
    <comment ref="E48" authorId="0">
      <text>
        <r>
          <rPr>
            <b/>
            <sz val="10"/>
            <color indexed="81"/>
            <rFont val="Tahoma"/>
            <family val="2"/>
          </rPr>
          <t>sandra sieg:</t>
        </r>
        <r>
          <rPr>
            <sz val="10"/>
            <color indexed="81"/>
            <rFont val="Tahoma"/>
            <family val="2"/>
          </rPr>
          <t xml:space="preserve">
Based on 2011 actuals.</t>
        </r>
      </text>
    </comment>
    <comment ref="M51" authorId="0">
      <text>
        <r>
          <rPr>
            <b/>
            <sz val="10"/>
            <color indexed="81"/>
            <rFont val="Tahoma"/>
            <family val="2"/>
          </rPr>
          <t>sandra sieg:</t>
        </r>
        <r>
          <rPr>
            <sz val="10"/>
            <color indexed="81"/>
            <rFont val="Tahoma"/>
            <family val="2"/>
          </rPr>
          <t xml:space="preserve">
CFL fixture count reduced by 30% due to decrease in MF production</t>
        </r>
      </text>
    </comment>
    <comment ref="D52" authorId="0">
      <text>
        <r>
          <rPr>
            <b/>
            <sz val="10"/>
            <color indexed="81"/>
            <rFont val="Tahoma"/>
            <family val="2"/>
          </rPr>
          <t>sandra sieg:</t>
        </r>
        <r>
          <rPr>
            <sz val="10"/>
            <color indexed="81"/>
            <rFont val="Tahoma"/>
            <family val="2"/>
          </rPr>
          <t xml:space="preserve">
448800 from RISE Wx Innovation Pilot
</t>
        </r>
      </text>
    </comment>
    <comment ref="M61" authorId="0">
      <text>
        <r>
          <rPr>
            <b/>
            <sz val="10"/>
            <color indexed="81"/>
            <rFont val="Tahoma"/>
            <family val="2"/>
          </rPr>
          <t>sandra sieg:</t>
        </r>
        <r>
          <rPr>
            <sz val="10"/>
            <color indexed="81"/>
            <rFont val="Tahoma"/>
            <family val="2"/>
          </rPr>
          <t xml:space="preserve">
DOWN 40%</t>
        </r>
      </text>
    </comment>
    <comment ref="M62" authorId="0">
      <text>
        <r>
          <rPr>
            <b/>
            <sz val="10"/>
            <color indexed="81"/>
            <rFont val="Tahoma"/>
            <family val="2"/>
          </rPr>
          <t>sandra sieg:</t>
        </r>
        <r>
          <rPr>
            <sz val="10"/>
            <color indexed="81"/>
            <rFont val="Tahoma"/>
            <family val="2"/>
          </rPr>
          <t xml:space="preserve">
DOWN 40%</t>
        </r>
      </text>
    </comment>
    <comment ref="N70" authorId="0">
      <text>
        <r>
          <rPr>
            <b/>
            <sz val="10"/>
            <color indexed="81"/>
            <rFont val="Tahoma"/>
            <family val="2"/>
          </rPr>
          <t>sandra sieg:</t>
        </r>
        <r>
          <rPr>
            <sz val="10"/>
            <color indexed="81"/>
            <rFont val="Tahoma"/>
            <family val="2"/>
          </rPr>
          <t xml:space="preserve">
Down by 90% than original projected.  Not sure the decepancy between 12 and 13</t>
        </r>
      </text>
    </comment>
  </commentList>
</comments>
</file>

<file path=xl/comments2.xml><?xml version="1.0" encoding="utf-8"?>
<comments xmlns="http://schemas.openxmlformats.org/spreadsheetml/2006/main">
  <authors>
    <author>Dave Henson</author>
  </authors>
  <commentList>
    <comment ref="D48" authorId="0">
      <text>
        <r>
          <rPr>
            <sz val="10"/>
            <color indexed="81"/>
            <rFont val="Tahoma"/>
            <family val="2"/>
          </rPr>
          <t>Malcolm McCulloch:
$5/assessment kit</t>
        </r>
      </text>
    </comment>
    <comment ref="E48" authorId="0">
      <text>
        <r>
          <rPr>
            <sz val="10"/>
            <color indexed="81"/>
            <rFont val="Tahoma"/>
            <family val="2"/>
          </rPr>
          <t>Malcolm McCulloch:
$5/assessment kit</t>
        </r>
      </text>
    </comment>
    <comment ref="D52" authorId="0">
      <text>
        <r>
          <rPr>
            <sz val="10"/>
            <color indexed="81"/>
            <rFont val="Tahoma"/>
            <family val="2"/>
          </rPr>
          <t xml:space="preserve">
</t>
        </r>
        <r>
          <rPr>
            <b/>
            <sz val="10"/>
            <color indexed="81"/>
            <rFont val="Tahoma"/>
            <family val="2"/>
          </rPr>
          <t>Malcolm McCulloch:</t>
        </r>
        <r>
          <rPr>
            <sz val="10"/>
            <color indexed="81"/>
            <rFont val="Tahoma"/>
            <family val="2"/>
          </rPr>
          <t xml:space="preserve">
Malcolm McCulloch:
HPA incentive @ $90/each
+ $3/lamp + $10/showerhead
</t>
        </r>
      </text>
    </comment>
  </commentList>
</comments>
</file>

<file path=xl/comments3.xml><?xml version="1.0" encoding="utf-8"?>
<comments xmlns="http://schemas.openxmlformats.org/spreadsheetml/2006/main">
  <authors>
    <author>Malcolm McCulloch</author>
  </authors>
  <commentList>
    <comment ref="D38" authorId="0">
      <text>
        <r>
          <rPr>
            <b/>
            <sz val="10"/>
            <color indexed="81"/>
            <rFont val="Tahoma"/>
            <family val="2"/>
          </rPr>
          <t>Malcolm McCulloch:</t>
        </r>
        <r>
          <rPr>
            <sz val="10"/>
            <color indexed="81"/>
            <rFont val="Tahoma"/>
            <family val="2"/>
          </rPr>
          <t xml:space="preserve">
$225/unit MHDS
</t>
        </r>
        <r>
          <rPr>
            <b/>
            <sz val="10"/>
            <color indexed="81"/>
            <rFont val="Tahoma"/>
            <family val="2"/>
          </rPr>
          <t>lgiust:</t>
        </r>
        <r>
          <rPr>
            <sz val="10"/>
            <color indexed="81"/>
            <rFont val="Tahoma"/>
            <family val="2"/>
          </rPr>
          <t xml:space="preserve">
Revised to $375/unit
</t>
        </r>
      </text>
    </comment>
    <comment ref="E38" authorId="0">
      <text>
        <r>
          <rPr>
            <b/>
            <sz val="10"/>
            <color indexed="81"/>
            <rFont val="Tahoma"/>
            <family val="2"/>
          </rPr>
          <t>Malcolm McCulloch:</t>
        </r>
        <r>
          <rPr>
            <sz val="10"/>
            <color indexed="81"/>
            <rFont val="Tahoma"/>
            <family val="2"/>
          </rPr>
          <t xml:space="preserve">
$225/unit MHDS
</t>
        </r>
      </text>
    </comment>
  </commentList>
</comments>
</file>

<file path=xl/comments4.xml><?xml version="1.0" encoding="utf-8"?>
<comments xmlns="http://schemas.openxmlformats.org/spreadsheetml/2006/main">
  <authors>
    <author xml:space="preserve">Kevin Peterson </author>
  </authors>
  <commentList>
    <comment ref="D18" authorId="0">
      <text>
        <r>
          <rPr>
            <b/>
            <sz val="10"/>
            <color indexed="81"/>
            <rFont val="Tahoma"/>
            <family val="2"/>
          </rPr>
          <t>Kevin Peterson :</t>
        </r>
        <r>
          <rPr>
            <sz val="10"/>
            <color indexed="81"/>
            <rFont val="Tahoma"/>
            <family val="2"/>
          </rPr>
          <t xml:space="preserve">
120,000 x .55 = 66,000
66,000 x 60% = 39,600</t>
        </r>
      </text>
    </comment>
    <comment ref="E18" authorId="0">
      <text>
        <r>
          <rPr>
            <b/>
            <sz val="10"/>
            <color indexed="81"/>
            <rFont val="Tahoma"/>
            <family val="2"/>
          </rPr>
          <t>Kevin Peterson :</t>
        </r>
        <r>
          <rPr>
            <sz val="10"/>
            <color indexed="81"/>
            <rFont val="Tahoma"/>
            <family val="2"/>
          </rPr>
          <t xml:space="preserve">
123,000 x .55 = 67,650
67,650 x 60% = 40,590</t>
        </r>
      </text>
    </comment>
    <comment ref="D28" authorId="0">
      <text>
        <r>
          <rPr>
            <b/>
            <sz val="10"/>
            <color indexed="81"/>
            <rFont val="Tahoma"/>
            <family val="2"/>
          </rPr>
          <t>Kevin Peterson :</t>
        </r>
        <r>
          <rPr>
            <sz val="10"/>
            <color indexed="81"/>
            <rFont val="Tahoma"/>
            <family val="2"/>
          </rPr>
          <t xml:space="preserve">
Total two year marketing budget: $180,634. Total is approximately 60% for electric </t>
        </r>
      </text>
    </comment>
    <comment ref="E28" authorId="0">
      <text>
        <r>
          <rPr>
            <b/>
            <sz val="10"/>
            <color indexed="81"/>
            <rFont val="Tahoma"/>
            <family val="2"/>
          </rPr>
          <t>Kevin Peterson :</t>
        </r>
        <r>
          <rPr>
            <sz val="10"/>
            <color indexed="81"/>
            <rFont val="Tahoma"/>
            <family val="2"/>
          </rPr>
          <t xml:space="preserve">
Total two year marketing budget: $180,634. Total is approximately 60% for electric </t>
        </r>
      </text>
    </comment>
    <comment ref="C71" authorId="0">
      <text>
        <r>
          <rPr>
            <b/>
            <sz val="10"/>
            <color indexed="81"/>
            <rFont val="Tahoma"/>
            <family val="2"/>
          </rPr>
          <t>Kevin Peterson :</t>
        </r>
        <r>
          <rPr>
            <sz val="10"/>
            <color indexed="81"/>
            <rFont val="Tahoma"/>
            <family val="2"/>
          </rPr>
          <t xml:space="preserve">
Proposed new measure. For this exercise, SF Retrofit measure metrics are used until we can evaluate and achieve PSE deemed savings. </t>
        </r>
      </text>
    </comment>
    <comment ref="C72" authorId="0">
      <text>
        <r>
          <rPr>
            <b/>
            <sz val="10"/>
            <color indexed="81"/>
            <rFont val="Tahoma"/>
            <family val="2"/>
          </rPr>
          <t>Kevin Peterson :</t>
        </r>
        <r>
          <rPr>
            <sz val="10"/>
            <color indexed="81"/>
            <rFont val="Tahoma"/>
            <family val="2"/>
          </rPr>
          <t xml:space="preserve">
For this exercise, SF Retrofit measure metrics are used until we can evaluate and achieve PSE deemed savings. </t>
        </r>
      </text>
    </comment>
    <comment ref="C73" authorId="0">
      <text>
        <r>
          <rPr>
            <b/>
            <sz val="10"/>
            <color indexed="81"/>
            <rFont val="Tahoma"/>
            <family val="2"/>
          </rPr>
          <t>Kevin Peterson :</t>
        </r>
        <r>
          <rPr>
            <sz val="10"/>
            <color indexed="81"/>
            <rFont val="Tahoma"/>
            <family val="2"/>
          </rPr>
          <t xml:space="preserve">
For this exercise, SF Retrofit measure metrics are used until we can evaluate and achieve PSE deemed savings. </t>
        </r>
      </text>
    </comment>
    <comment ref="C77" authorId="0">
      <text>
        <r>
          <rPr>
            <b/>
            <sz val="10"/>
            <color indexed="81"/>
            <rFont val="Tahoma"/>
            <family val="2"/>
          </rPr>
          <t>Kevin Peterson :</t>
        </r>
        <r>
          <rPr>
            <sz val="10"/>
            <color indexed="81"/>
            <rFont val="Tahoma"/>
            <family val="2"/>
          </rPr>
          <t xml:space="preserve">
500 NWES homes, half out of electric budget, half out of gas. </t>
        </r>
      </text>
    </comment>
  </commentList>
</comments>
</file>

<file path=xl/comments5.xml><?xml version="1.0" encoding="utf-8"?>
<comments xmlns="http://schemas.openxmlformats.org/spreadsheetml/2006/main">
  <authors>
    <author>Dave Henson</author>
  </authors>
  <commentList>
    <comment ref="D13" authorId="0">
      <text>
        <r>
          <rPr>
            <sz val="10"/>
            <color indexed="81"/>
            <rFont val="Tahoma"/>
            <family val="2"/>
          </rPr>
          <t>Kevin Peterson :
92,241 x .05 = 4,612
4,612 x .75 = 3,459</t>
        </r>
      </text>
    </comment>
    <comment ref="E13" authorId="0">
      <text>
        <r>
          <rPr>
            <sz val="10"/>
            <color indexed="81"/>
            <rFont val="Tahoma"/>
            <family val="2"/>
          </rPr>
          <t>Kevin Peterson :
92,241 x .05 = 4,612
4,612 x .75 = 3,459</t>
        </r>
      </text>
    </comment>
    <comment ref="D14" authorId="0">
      <text>
        <r>
          <rPr>
            <sz val="10"/>
            <color indexed="81"/>
            <rFont val="Tahoma"/>
            <family val="2"/>
          </rPr>
          <t>Kevin Peterson :
92,241 x .05 = 4,612
4,612 x .75 = 3,459</t>
        </r>
      </text>
    </comment>
    <comment ref="E14" authorId="0">
      <text>
        <r>
          <rPr>
            <sz val="10"/>
            <color indexed="81"/>
            <rFont val="Tahoma"/>
            <family val="2"/>
          </rPr>
          <t>Kevin Peterson :
92,241 x .05 = 4,612
4,612 x .75 = 3,459</t>
        </r>
      </text>
    </comment>
    <comment ref="D15" authorId="0">
      <text>
        <r>
          <rPr>
            <sz val="10"/>
            <color indexed="81"/>
            <rFont val="Tahoma"/>
            <family val="2"/>
          </rPr>
          <t>Kevin Peterson :
92,241 x .03 = 2767
2767 x .75 = 2075</t>
        </r>
      </text>
    </comment>
    <comment ref="E15" authorId="0">
      <text>
        <r>
          <rPr>
            <sz val="10"/>
            <color indexed="81"/>
            <rFont val="Tahoma"/>
            <family val="2"/>
          </rPr>
          <t>Kevin Peterson :
92,241 x .03 = 2767
2767 x .75 = 2075</t>
        </r>
      </text>
    </comment>
    <comment ref="D27" authorId="0">
      <text>
        <r>
          <rPr>
            <sz val="10"/>
            <color indexed="81"/>
            <rFont val="Tahoma"/>
            <family val="2"/>
          </rPr>
          <t>Kevin Peterson :
Total two year marketing budget: $11,684. Total is approximately 60% for electric</t>
        </r>
      </text>
    </comment>
    <comment ref="E27" authorId="0">
      <text>
        <r>
          <rPr>
            <sz val="10"/>
            <color indexed="81"/>
            <rFont val="Tahoma"/>
            <family val="2"/>
          </rPr>
          <t>Kevin Peterson :
Total two year marketing budget: $11,684. Total is approximately 60% for electric</t>
        </r>
      </text>
    </comment>
  </commentList>
</comments>
</file>

<file path=xl/comments6.xml><?xml version="1.0" encoding="utf-8"?>
<comments xmlns="http://schemas.openxmlformats.org/spreadsheetml/2006/main">
  <authors>
    <author>Carolyn Tash</author>
    <author>John Forde</author>
    <author>Puget Sound Energy</author>
  </authors>
  <commentList>
    <comment ref="C38" authorId="0">
      <text>
        <r>
          <rPr>
            <sz val="10"/>
            <color indexed="81"/>
            <rFont val="Tahoma"/>
            <family val="2"/>
          </rPr>
          <t>DBtC:     $320,000 / 5000 = $64 each equipment * 2.5 equipment per dwelling unit = $160
Labor:     $220,000 / 5000 = $44 each equipment * 2.5 equipment per dwelling unit = $110
Savings: 600,000 kWh / 5000 = 120 kWh each *2.5 equipment per dwelling unit = 300 kWh
T-stats:   5,000 total equipment installed all in 2012 in 5,000 / 2.5 per dwelling unit = 2,000 dwelling units served
total installed</t>
        </r>
      </text>
    </comment>
    <comment ref="D40" authorId="1">
      <text>
        <r>
          <rPr>
            <b/>
            <sz val="10"/>
            <color indexed="81"/>
            <rFont val="Tahoma"/>
            <family val="2"/>
          </rPr>
          <t>John Forde:</t>
        </r>
        <r>
          <rPr>
            <sz val="10"/>
            <color indexed="81"/>
            <rFont val="Tahoma"/>
            <family val="2"/>
          </rPr>
          <t xml:space="preserve">
Includes Eval of $141,570.  This may be removed from proposal.</t>
        </r>
      </text>
    </comment>
    <comment ref="C66" authorId="0">
      <text>
        <r>
          <rPr>
            <b/>
            <sz val="10"/>
            <color indexed="81"/>
            <rFont val="Tahoma"/>
            <family val="2"/>
          </rPr>
          <t>Carolyn Tash:</t>
        </r>
        <r>
          <rPr>
            <sz val="10"/>
            <color indexed="81"/>
            <rFont val="Tahoma"/>
            <family val="2"/>
          </rPr>
          <t xml:space="preserve">
Use Bobbi - PSE Evaluation</t>
        </r>
      </text>
    </comment>
    <comment ref="C70" authorId="2">
      <text>
        <r>
          <rPr>
            <b/>
            <sz val="10"/>
            <color indexed="81"/>
            <rFont val="Tahoma"/>
            <family val="2"/>
          </rPr>
          <t>Puget Sound Energy:</t>
        </r>
        <r>
          <rPr>
            <sz val="10"/>
            <color indexed="81"/>
            <rFont val="Tahoma"/>
            <family val="2"/>
          </rPr>
          <t xml:space="preserve">
Use Bobbi - PSE evaluation</t>
        </r>
      </text>
    </comment>
    <comment ref="F93" authorId="0">
      <text>
        <r>
          <rPr>
            <b/>
            <sz val="10"/>
            <color indexed="81"/>
            <rFont val="Tahoma"/>
            <family val="2"/>
          </rPr>
          <t>Carolyn Tash:</t>
        </r>
        <r>
          <rPr>
            <sz val="10"/>
            <color indexed="81"/>
            <rFont val="Tahoma"/>
            <family val="2"/>
          </rPr>
          <t xml:space="preserve">
per 2.5 et-stats installed in each dwelling</t>
        </r>
      </text>
    </comment>
    <comment ref="G93" authorId="2">
      <text>
        <r>
          <rPr>
            <b/>
            <sz val="10"/>
            <color indexed="81"/>
            <rFont val="Tahoma"/>
            <family val="2"/>
          </rPr>
          <t>Puget Sound Energy:</t>
        </r>
        <r>
          <rPr>
            <sz val="10"/>
            <color indexed="81"/>
            <rFont val="Tahoma"/>
            <family val="2"/>
          </rPr>
          <t xml:space="preserve">
per John Forde</t>
        </r>
      </text>
    </comment>
  </commentList>
</comments>
</file>

<file path=xl/comments7.xml><?xml version="1.0" encoding="utf-8"?>
<comments xmlns="http://schemas.openxmlformats.org/spreadsheetml/2006/main">
  <authors>
    <author>sandra sieg</author>
  </authors>
  <commentList>
    <comment ref="D13" authorId="0">
      <text>
        <r>
          <rPr>
            <b/>
            <sz val="10"/>
            <color indexed="81"/>
            <rFont val="Tahoma"/>
            <family val="2"/>
          </rPr>
          <t>sandra sieg:</t>
        </r>
        <r>
          <rPr>
            <sz val="10"/>
            <color indexed="81"/>
            <rFont val="Tahoma"/>
            <family val="2"/>
          </rPr>
          <t xml:space="preserve">
Rate $111,168 at .25 FTE at 20% Gas</t>
        </r>
      </text>
    </comment>
    <comment ref="E13" authorId="0">
      <text>
        <r>
          <rPr>
            <b/>
            <sz val="10"/>
            <color indexed="81"/>
            <rFont val="Tahoma"/>
            <family val="2"/>
          </rPr>
          <t>sandra sieg:</t>
        </r>
        <r>
          <rPr>
            <sz val="10"/>
            <color indexed="81"/>
            <rFont val="Tahoma"/>
            <family val="2"/>
          </rPr>
          <t xml:space="preserve">
Rate $114,503 at .25 FTE at 20% Gas</t>
        </r>
      </text>
    </comment>
    <comment ref="D14" authorId="0">
      <text>
        <r>
          <rPr>
            <b/>
            <sz val="10"/>
            <color indexed="81"/>
            <rFont val="Tahoma"/>
            <family val="2"/>
          </rPr>
          <t>sandra sieg:</t>
        </r>
        <r>
          <rPr>
            <sz val="10"/>
            <color indexed="81"/>
            <rFont val="Tahoma"/>
            <family val="2"/>
          </rPr>
          <t xml:space="preserve">
Rate $111,168 at 1.0 FTE at 20% Gas</t>
        </r>
      </text>
    </comment>
    <comment ref="E14" authorId="0">
      <text>
        <r>
          <rPr>
            <b/>
            <sz val="10"/>
            <color indexed="81"/>
            <rFont val="Tahoma"/>
            <family val="2"/>
          </rPr>
          <t>sandra sieg:</t>
        </r>
        <r>
          <rPr>
            <sz val="10"/>
            <color indexed="81"/>
            <rFont val="Tahoma"/>
            <family val="2"/>
          </rPr>
          <t xml:space="preserve">
Rate $114,503 at 1.0 FTE at 20% Gas</t>
        </r>
      </text>
    </comment>
    <comment ref="D15" authorId="0">
      <text>
        <r>
          <rPr>
            <b/>
            <sz val="10"/>
            <color indexed="81"/>
            <rFont val="Tahoma"/>
            <family val="2"/>
          </rPr>
          <t>sandra sieg:</t>
        </r>
        <r>
          <rPr>
            <sz val="10"/>
            <color indexed="81"/>
            <rFont val="Tahoma"/>
            <family val="2"/>
          </rPr>
          <t xml:space="preserve">
Rate $111,168 at 1.0 FTE at 20% Gas</t>
        </r>
      </text>
    </comment>
    <comment ref="E15" authorId="0">
      <text>
        <r>
          <rPr>
            <b/>
            <sz val="10"/>
            <color indexed="81"/>
            <rFont val="Tahoma"/>
            <family val="2"/>
          </rPr>
          <t>sandra sieg:</t>
        </r>
        <r>
          <rPr>
            <sz val="10"/>
            <color indexed="81"/>
            <rFont val="Tahoma"/>
            <family val="2"/>
          </rPr>
          <t xml:space="preserve">
Rate $114,503 at 1.0 FTE at 20% Gas</t>
        </r>
      </text>
    </comment>
    <comment ref="D16" authorId="0">
      <text>
        <r>
          <rPr>
            <b/>
            <sz val="10"/>
            <color indexed="81"/>
            <rFont val="Tahoma"/>
            <family val="2"/>
          </rPr>
          <t>sandra sieg:</t>
        </r>
        <r>
          <rPr>
            <sz val="10"/>
            <color indexed="81"/>
            <rFont val="Tahoma"/>
            <family val="2"/>
          </rPr>
          <t xml:space="preserve">
Rate $111,168 at .25 FTE at 20% Gas</t>
        </r>
      </text>
    </comment>
    <comment ref="E16" authorId="0">
      <text>
        <r>
          <rPr>
            <b/>
            <sz val="10"/>
            <color indexed="81"/>
            <rFont val="Tahoma"/>
            <family val="2"/>
          </rPr>
          <t>sandra sieg:</t>
        </r>
        <r>
          <rPr>
            <sz val="10"/>
            <color indexed="81"/>
            <rFont val="Tahoma"/>
            <family val="2"/>
          </rPr>
          <t xml:space="preserve">
Rate $114,503 at .25 FTE at 20% Gas</t>
        </r>
      </text>
    </comment>
    <comment ref="D18" authorId="0">
      <text>
        <r>
          <rPr>
            <b/>
            <sz val="10"/>
            <color indexed="81"/>
            <rFont val="Tahoma"/>
            <family val="2"/>
          </rPr>
          <t>sandra sieg:</t>
        </r>
        <r>
          <rPr>
            <sz val="10"/>
            <color indexed="81"/>
            <rFont val="Tahoma"/>
            <family val="2"/>
          </rPr>
          <t xml:space="preserve">
Rate $120,000 at .15 FTE at 20% Gas
</t>
        </r>
      </text>
    </comment>
    <comment ref="E18" authorId="0">
      <text>
        <r>
          <rPr>
            <b/>
            <sz val="10"/>
            <color indexed="81"/>
            <rFont val="Tahoma"/>
            <family val="2"/>
          </rPr>
          <t>sandra sieg:</t>
        </r>
        <r>
          <rPr>
            <sz val="10"/>
            <color indexed="81"/>
            <rFont val="Tahoma"/>
            <family val="2"/>
          </rPr>
          <t xml:space="preserve">
Rate $123,000 at .15 FTE at 20% Gas
</t>
        </r>
      </text>
    </comment>
    <comment ref="M24" authorId="0">
      <text>
        <r>
          <rPr>
            <b/>
            <sz val="10"/>
            <color indexed="81"/>
            <rFont val="Tahoma"/>
            <family val="2"/>
          </rPr>
          <t>sandra sieg:</t>
        </r>
        <r>
          <rPr>
            <sz val="10"/>
            <color indexed="81"/>
            <rFont val="Tahoma"/>
            <family val="2"/>
          </rPr>
          <t xml:space="preserve">
40% of 2011 annualized production</t>
        </r>
      </text>
    </comment>
    <comment ref="M26" authorId="0">
      <text>
        <r>
          <rPr>
            <b/>
            <sz val="10"/>
            <color indexed="81"/>
            <rFont val="Tahoma"/>
            <family val="2"/>
          </rPr>
          <t>sandra sieg:</t>
        </r>
        <r>
          <rPr>
            <sz val="10"/>
            <color indexed="81"/>
            <rFont val="Tahoma"/>
            <family val="2"/>
          </rPr>
          <t xml:space="preserve">
40% of 2011 annualized production</t>
        </r>
      </text>
    </comment>
    <comment ref="D38" authorId="0">
      <text>
        <r>
          <rPr>
            <b/>
            <sz val="10"/>
            <color indexed="81"/>
            <rFont val="Tahoma"/>
            <family val="2"/>
          </rPr>
          <t>sandra sieg:</t>
        </r>
        <r>
          <rPr>
            <sz val="10"/>
            <color indexed="81"/>
            <rFont val="Tahoma"/>
            <family val="2"/>
          </rPr>
          <t xml:space="preserve">
Based on 24K per year at 20% gas</t>
        </r>
      </text>
    </comment>
    <comment ref="E38" authorId="0">
      <text>
        <r>
          <rPr>
            <b/>
            <sz val="10"/>
            <color indexed="81"/>
            <rFont val="Tahoma"/>
            <family val="2"/>
          </rPr>
          <t>sandra sieg:</t>
        </r>
        <r>
          <rPr>
            <sz val="10"/>
            <color indexed="81"/>
            <rFont val="Tahoma"/>
            <family val="2"/>
          </rPr>
          <t xml:space="preserve">
Based on 24K per year at 20% gas</t>
        </r>
      </text>
    </comment>
    <comment ref="D39" authorId="0">
      <text>
        <r>
          <rPr>
            <b/>
            <sz val="10"/>
            <color indexed="81"/>
            <rFont val="Tahoma"/>
            <family val="2"/>
          </rPr>
          <t>sandra sieg:</t>
        </r>
        <r>
          <rPr>
            <sz val="10"/>
            <color indexed="81"/>
            <rFont val="Tahoma"/>
            <family val="2"/>
          </rPr>
          <t xml:space="preserve">
Based on $600k total spending at 20% cost to LIW. Of that 10% to Gas. Of that, 80% of expeniture in '12 and 20% in '13</t>
        </r>
      </text>
    </comment>
    <comment ref="E39" authorId="0">
      <text>
        <r>
          <rPr>
            <b/>
            <sz val="10"/>
            <color indexed="81"/>
            <rFont val="Tahoma"/>
            <family val="2"/>
          </rPr>
          <t>sandra sieg:</t>
        </r>
        <r>
          <rPr>
            <sz val="10"/>
            <color indexed="81"/>
            <rFont val="Tahoma"/>
            <family val="2"/>
          </rPr>
          <t xml:space="preserve">
Based on $600k total spending at 20% cost to LIW. Of that 10% to Gas. Of that, 80% of expeniture in '12 and 20% in '13</t>
        </r>
      </text>
    </comment>
    <comment ref="D43" authorId="0">
      <text>
        <r>
          <rPr>
            <b/>
            <sz val="10"/>
            <color indexed="81"/>
            <rFont val="Tahoma"/>
            <family val="2"/>
          </rPr>
          <t>sandra sieg:</t>
        </r>
        <r>
          <rPr>
            <sz val="10"/>
            <color indexed="81"/>
            <rFont val="Tahoma"/>
            <family val="2"/>
          </rPr>
          <t xml:space="preserve">
Based on 2011 Actuals at $336.5 per month average</t>
        </r>
      </text>
    </comment>
    <comment ref="E43" authorId="0">
      <text>
        <r>
          <rPr>
            <b/>
            <sz val="10"/>
            <color indexed="81"/>
            <rFont val="Tahoma"/>
            <family val="2"/>
          </rPr>
          <t>sandra sieg:</t>
        </r>
        <r>
          <rPr>
            <sz val="10"/>
            <color indexed="81"/>
            <rFont val="Tahoma"/>
            <family val="2"/>
          </rPr>
          <t xml:space="preserve">
Based on 2011 Actuals at $336.5 per month average</t>
        </r>
      </text>
    </comment>
    <comment ref="D48" authorId="0">
      <text>
        <r>
          <rPr>
            <b/>
            <sz val="10"/>
            <color indexed="81"/>
            <rFont val="Tahoma"/>
            <family val="2"/>
          </rPr>
          <t>sandra sieg:</t>
        </r>
        <r>
          <rPr>
            <sz val="10"/>
            <color indexed="81"/>
            <rFont val="Tahoma"/>
            <family val="2"/>
          </rPr>
          <t xml:space="preserve">
Based on 2011 actuals.</t>
        </r>
      </text>
    </comment>
    <comment ref="E48" authorId="0">
      <text>
        <r>
          <rPr>
            <b/>
            <sz val="10"/>
            <color indexed="81"/>
            <rFont val="Tahoma"/>
            <family val="2"/>
          </rPr>
          <t>sandra sieg:</t>
        </r>
        <r>
          <rPr>
            <sz val="10"/>
            <color indexed="81"/>
            <rFont val="Tahoma"/>
            <family val="2"/>
          </rPr>
          <t xml:space="preserve">
Based on 2011 actuals.</t>
        </r>
      </text>
    </comment>
    <comment ref="D52" authorId="0">
      <text>
        <r>
          <rPr>
            <b/>
            <sz val="10"/>
            <color indexed="81"/>
            <rFont val="Tahoma"/>
            <family val="2"/>
          </rPr>
          <t>sandra sieg:</t>
        </r>
        <r>
          <rPr>
            <sz val="10"/>
            <color indexed="81"/>
            <rFont val="Tahoma"/>
            <family val="2"/>
          </rPr>
          <t xml:space="preserve">
61512 allocated to RISE Wx Innovation Pilot
</t>
        </r>
      </text>
    </comment>
  </commentList>
</comments>
</file>

<file path=xl/comments8.xml><?xml version="1.0" encoding="utf-8"?>
<comments xmlns="http://schemas.openxmlformats.org/spreadsheetml/2006/main">
  <authors>
    <author>Malcolm McCulloch</author>
    <author>Dave Henson</author>
  </authors>
  <commentList>
    <comment ref="D38" authorId="0">
      <text>
        <r>
          <rPr>
            <b/>
            <sz val="10"/>
            <color indexed="81"/>
            <rFont val="Tahoma"/>
            <family val="2"/>
          </rPr>
          <t>Malcolm McCulloch:</t>
        </r>
        <r>
          <rPr>
            <sz val="10"/>
            <color indexed="81"/>
            <rFont val="Tahoma"/>
            <family val="2"/>
          </rPr>
          <t xml:space="preserve">
$125/MH
</t>
        </r>
      </text>
    </comment>
    <comment ref="E38" authorId="0">
      <text>
        <r>
          <rPr>
            <b/>
            <sz val="10"/>
            <color indexed="81"/>
            <rFont val="Tahoma"/>
            <family val="2"/>
          </rPr>
          <t>Malcolm McCulloch:</t>
        </r>
        <r>
          <rPr>
            <sz val="10"/>
            <color indexed="81"/>
            <rFont val="Tahoma"/>
            <family val="2"/>
          </rPr>
          <t xml:space="preserve">
$125/MH
</t>
        </r>
      </text>
    </comment>
    <comment ref="D43" authorId="1">
      <text>
        <r>
          <rPr>
            <sz val="10"/>
            <color indexed="81"/>
            <rFont val="Tahoma"/>
            <family val="2"/>
          </rPr>
          <t>Malcolm McCulloch:
5000 CO monitors @ $40/ea</t>
        </r>
      </text>
    </comment>
    <comment ref="E43" authorId="1">
      <text>
        <r>
          <rPr>
            <sz val="10"/>
            <color indexed="81"/>
            <rFont val="Tahoma"/>
            <family val="2"/>
          </rPr>
          <t>Malcolm McCulloch:
5000 CO monitors @ $40/ea</t>
        </r>
      </text>
    </comment>
  </commentList>
</comments>
</file>

<file path=xl/comments9.xml><?xml version="1.0" encoding="utf-8"?>
<comments xmlns="http://schemas.openxmlformats.org/spreadsheetml/2006/main">
  <authors>
    <author>Carolyn Tash</author>
    <author>Puget Sound Energy</author>
  </authors>
  <commentList>
    <comment ref="C69" authorId="0">
      <text>
        <r>
          <rPr>
            <b/>
            <sz val="10"/>
            <color indexed="81"/>
            <rFont val="Tahoma"/>
            <family val="2"/>
          </rPr>
          <t>Carolyn Tash:</t>
        </r>
        <r>
          <rPr>
            <sz val="10"/>
            <color indexed="81"/>
            <rFont val="Tahoma"/>
            <family val="2"/>
          </rPr>
          <t xml:space="preserve">
Use Bobbi - PSE evaluation</t>
        </r>
      </text>
    </comment>
    <comment ref="C73" authorId="1">
      <text>
        <r>
          <rPr>
            <b/>
            <sz val="10"/>
            <color indexed="81"/>
            <rFont val="Tahoma"/>
            <family val="2"/>
          </rPr>
          <t>Puget Sound Energy:</t>
        </r>
        <r>
          <rPr>
            <sz val="10"/>
            <color indexed="81"/>
            <rFont val="Tahoma"/>
            <family val="2"/>
          </rPr>
          <t xml:space="preserve">
Use Bobbi - PSE evaluation</t>
        </r>
      </text>
    </comment>
    <comment ref="G85" authorId="1">
      <text>
        <r>
          <rPr>
            <b/>
            <sz val="10"/>
            <color indexed="81"/>
            <rFont val="Tahoma"/>
            <family val="2"/>
          </rPr>
          <t>Puget Sound Energy:</t>
        </r>
        <r>
          <rPr>
            <sz val="10"/>
            <color indexed="81"/>
            <rFont val="Tahoma"/>
            <family val="2"/>
          </rPr>
          <t xml:space="preserve">
Based on Arrow RFP response</t>
        </r>
      </text>
    </comment>
  </commentList>
</comments>
</file>

<file path=xl/sharedStrings.xml><?xml version="1.0" encoding="utf-8"?>
<sst xmlns="http://schemas.openxmlformats.org/spreadsheetml/2006/main" count="13872" uniqueCount="1312">
  <si>
    <t>May need more tabs to break out details</t>
  </si>
  <si>
    <t>This is only a tab title for Customer Engagement &amp; Education</t>
  </si>
  <si>
    <t>This is only a tab title for Web Experience</t>
  </si>
  <si>
    <t>Net Metering</t>
  </si>
  <si>
    <t>Schedule 150</t>
  </si>
  <si>
    <t>Electric</t>
  </si>
  <si>
    <t>Order Number</t>
  </si>
  <si>
    <t xml:space="preserve"> </t>
  </si>
  <si>
    <t>Do not input to this table!</t>
  </si>
  <si>
    <t>Labor</t>
  </si>
  <si>
    <t>Marketing Labor</t>
  </si>
  <si>
    <t>Overhead</t>
  </si>
  <si>
    <t>Marketing</t>
  </si>
  <si>
    <t>Employee Expense</t>
  </si>
  <si>
    <t>Outside Services</t>
  </si>
  <si>
    <t>Materials</t>
  </si>
  <si>
    <t>Miscellaneous</t>
  </si>
  <si>
    <t>Direct Benefit to Customer</t>
  </si>
  <si>
    <t>Total Budget</t>
  </si>
  <si>
    <t>Percent Budget Change from Previous Year</t>
  </si>
  <si>
    <t>2010 Total</t>
  </si>
  <si>
    <t>n/a</t>
  </si>
  <si>
    <t>2011 Budget</t>
  </si>
  <si>
    <t>2012-2013 TOTAL</t>
  </si>
  <si>
    <t>Requires Budget team</t>
  </si>
  <si>
    <t>approval to use.</t>
  </si>
  <si>
    <t>Cost Element Detail</t>
  </si>
  <si>
    <t>Dollars</t>
  </si>
  <si>
    <t>Description</t>
  </si>
  <si>
    <t>Total</t>
  </si>
  <si>
    <t>Please insert each year separately</t>
  </si>
  <si>
    <t>Insert pertinent comments below</t>
  </si>
  <si>
    <t>No Input!  Spreadsheet will calculate</t>
  </si>
  <si>
    <r>
      <t xml:space="preserve">FTE </t>
    </r>
    <r>
      <rPr>
        <sz val="10"/>
        <rFont val="Arial"/>
        <family val="2"/>
      </rPr>
      <t>(Insert each below):</t>
    </r>
  </si>
  <si>
    <t>Program Manager</t>
  </si>
  <si>
    <t>Implementer</t>
  </si>
  <si>
    <t>0.25 Manager</t>
  </si>
  <si>
    <t>Direct Assesments</t>
  </si>
  <si>
    <t>63% of direct labor</t>
  </si>
  <si>
    <t>Information Services</t>
  </si>
  <si>
    <t>Marketing--Third Party</t>
  </si>
  <si>
    <t>Local Travel</t>
  </si>
  <si>
    <t>Meals</t>
  </si>
  <si>
    <t>Training</t>
  </si>
  <si>
    <t>Conference Attendance (2,000 ea.)</t>
  </si>
  <si>
    <t>Etc.</t>
  </si>
  <si>
    <t>Engineering Services</t>
  </si>
  <si>
    <t>Includes tools, office equipment,</t>
  </si>
  <si>
    <t>presentation materials (excluding</t>
  </si>
  <si>
    <t>brochures, etc.)</t>
  </si>
  <si>
    <t>Please use a separate line for</t>
  </si>
  <si>
    <t>each.  Please insert additional</t>
  </si>
  <si>
    <t>lines as necessary.</t>
  </si>
  <si>
    <t>SEPA Membership</t>
  </si>
  <si>
    <t>Best Practices Workshop</t>
  </si>
  <si>
    <t>This field will not apply unless your program provides incentives, remuneration or</t>
  </si>
  <si>
    <t xml:space="preserve">a service that has a monetary value.  This will be based on consultation with the </t>
  </si>
  <si>
    <t>budget team.</t>
  </si>
  <si>
    <t>Renewable Energy Education (Demonstration Projects)</t>
  </si>
  <si>
    <t>Schedule  248</t>
  </si>
  <si>
    <t>Direct Assessment</t>
  </si>
  <si>
    <t>Travel in Territory</t>
  </si>
  <si>
    <t>Conference Attendance</t>
  </si>
  <si>
    <t>Brochures</t>
  </si>
  <si>
    <t>Grants to Schools and education</t>
  </si>
  <si>
    <t>C/I Load Control</t>
  </si>
  <si>
    <t>Schedule 249A</t>
  </si>
  <si>
    <t>Order #</t>
  </si>
  <si>
    <t>(incl est assmts; not incl OH)</t>
  </si>
  <si>
    <t>1.20 FTE x $115k staff avg</t>
  </si>
  <si>
    <t>BEM, Major Accts &amp; Meter</t>
  </si>
  <si>
    <t>Svcs Support</t>
  </si>
  <si>
    <t>Travel</t>
  </si>
  <si>
    <t>DR Service Provider</t>
  </si>
  <si>
    <t>Participant Meters changeout</t>
  </si>
  <si>
    <t>(Capital only)</t>
  </si>
  <si>
    <t>Participant Incentives</t>
  </si>
  <si>
    <t>Demand Response Pilot (Res.)</t>
  </si>
  <si>
    <t>Order#</t>
  </si>
  <si>
    <t>0.20 FTE x $115k staff avg</t>
  </si>
  <si>
    <t>Energy Efficient Communities</t>
  </si>
  <si>
    <t>5 FTEs per year</t>
  </si>
  <si>
    <t>no desciption</t>
  </si>
  <si>
    <t>Travel ("Fleet vehicles")</t>
  </si>
  <si>
    <t>Training, development, office supplies</t>
  </si>
  <si>
    <t>Conservation Supply Curves</t>
  </si>
  <si>
    <t>1.5 FTE in Resource Planning</t>
  </si>
  <si>
    <t>Conserv. Potential - Cadmus</t>
  </si>
  <si>
    <t>Program Evaluation</t>
  </si>
  <si>
    <t>insert pertinent comments below</t>
  </si>
  <si>
    <t>RTF - PSE Support commitment</t>
  </si>
  <si>
    <t>MARKET INTEGRATION / ELECTRIC</t>
  </si>
  <si>
    <t>Aerotek temp support</t>
  </si>
  <si>
    <t>2.0 FTE</t>
  </si>
  <si>
    <t>Res. Segmentation</t>
  </si>
  <si>
    <t>EE Communic. Monitor</t>
  </si>
  <si>
    <t>Comml. Segmentation</t>
  </si>
  <si>
    <t>Res. Prgm. Design Research</t>
  </si>
  <si>
    <t>Green Community Research</t>
  </si>
  <si>
    <t>Energy Advisor Cust. Sat.</t>
  </si>
  <si>
    <t>3rd Party Demographic Data Sets</t>
  </si>
  <si>
    <t>GIS/Geo-targeting software &amp; support</t>
  </si>
  <si>
    <t>Material, tool &amp; office supply assessments</t>
  </si>
  <si>
    <t>Phone, software, misc assessments</t>
  </si>
  <si>
    <t>Conservation Strategic Planning</t>
  </si>
  <si>
    <t>TBD</t>
  </si>
  <si>
    <t>1.5 FTE</t>
  </si>
  <si>
    <t>CBSA Supplement</t>
  </si>
  <si>
    <t>REUS Supplement</t>
  </si>
  <si>
    <t>MAINSTREAM GREEN / ELECTRIC</t>
  </si>
  <si>
    <t>2012 difference from input</t>
  </si>
  <si>
    <t>2013 difference from input</t>
  </si>
  <si>
    <t>Web development</t>
  </si>
  <si>
    <t>Web content &amp; maintenance</t>
  </si>
  <si>
    <t>Web analytics mining, analysis</t>
  </si>
  <si>
    <t>Aclara online tools</t>
  </si>
  <si>
    <t>Misc applications</t>
  </si>
  <si>
    <t>Supply Curves</t>
  </si>
  <si>
    <t>Gas</t>
  </si>
  <si>
    <t>Marketing Research</t>
  </si>
  <si>
    <t>Strategic Planning</t>
  </si>
  <si>
    <t xml:space="preserve">MARKET INTEGRATION </t>
  </si>
  <si>
    <t xml:space="preserve">MAINSTREAM GREEN </t>
  </si>
  <si>
    <t>Web analytics mining</t>
  </si>
  <si>
    <t>Aclara</t>
  </si>
  <si>
    <t xml:space="preserve">5 FTEs, </t>
  </si>
  <si>
    <t>no description</t>
  </si>
  <si>
    <t>"consultant work"</t>
  </si>
  <si>
    <t>This is a placeholder tab for Gas Schedule 214</t>
  </si>
  <si>
    <t>This is a placeholder tab for Electric Schedule 214</t>
  </si>
  <si>
    <t>Back to Rollup</t>
  </si>
  <si>
    <t>Tariff</t>
  </si>
  <si>
    <t>Ratios</t>
  </si>
  <si>
    <t>Acquisition Cost</t>
  </si>
  <si>
    <t>DBtC</t>
  </si>
  <si>
    <t>Revenue</t>
  </si>
  <si>
    <t>Total Savings</t>
  </si>
  <si>
    <t>DBTC</t>
  </si>
  <si>
    <t>Outside Svcs</t>
  </si>
  <si>
    <t>Order Name</t>
  </si>
  <si>
    <t>2012-13 TOTAL</t>
  </si>
  <si>
    <t>PROVIDE BUDGET DETAILS</t>
  </si>
  <si>
    <t>FILL THESE TWO COLUMNS</t>
  </si>
  <si>
    <t xml:space="preserve"> Do not fill in !  Measure Information prefills from below</t>
  </si>
  <si>
    <t>CURRENT</t>
  </si>
  <si>
    <t>BUDGET</t>
  </si>
  <si>
    <t>Measures</t>
  </si>
  <si>
    <t>Unit Totals</t>
  </si>
  <si>
    <t>Projected Savings</t>
  </si>
  <si>
    <t>Current Target</t>
  </si>
  <si>
    <t>Budget Category</t>
  </si>
  <si>
    <t>12-13 Total</t>
  </si>
  <si>
    <t>MeasureName</t>
  </si>
  <si>
    <t>MeasureSavings</t>
  </si>
  <si>
    <t>2012 UNITS</t>
  </si>
  <si>
    <t>2013 UNITS</t>
  </si>
  <si>
    <t>TOTAL UNITS</t>
  </si>
  <si>
    <t>2012 SAVINGS</t>
  </si>
  <si>
    <t>2013 SAVINGS</t>
  </si>
  <si>
    <t>TOTAL SAVINGS</t>
  </si>
  <si>
    <t>2011 SAVINGS</t>
  </si>
  <si>
    <t>LABOR</t>
  </si>
  <si>
    <t>Detail 1</t>
  </si>
  <si>
    <t>Detail 2</t>
  </si>
  <si>
    <t>Detail 3</t>
  </si>
  <si>
    <t>Detail 4</t>
  </si>
  <si>
    <t>MARKETING LABOR</t>
  </si>
  <si>
    <t>OVERHEAD</t>
  </si>
  <si>
    <t>63% of Direct  Program Labor</t>
  </si>
  <si>
    <t>63% of Direct  Marketing Labor</t>
  </si>
  <si>
    <t>MARKETING</t>
  </si>
  <si>
    <t>EMPLOYEE EXPENSES</t>
  </si>
  <si>
    <t>OUTSIDE SERVICES</t>
  </si>
  <si>
    <t>MATERIALS</t>
  </si>
  <si>
    <t>MISCELLANEOUS</t>
  </si>
  <si>
    <t>DIRECT BENEFIT TO CUSTOMER</t>
  </si>
  <si>
    <t>linked to measure incentives below</t>
  </si>
  <si>
    <t>REVENUE</t>
  </si>
  <si>
    <t>TOTAL</t>
  </si>
  <si>
    <t>Total Program Admin</t>
  </si>
  <si>
    <t>Total Program Incentives</t>
  </si>
  <si>
    <t>DBTC Ratio</t>
  </si>
  <si>
    <t>SAVINGS</t>
  </si>
  <si>
    <t>COMPLETE ALL COLUMNS OF THIS TABLE</t>
  </si>
  <si>
    <t>Measure Metrics</t>
  </si>
  <si>
    <t>Cost Effectiveness (based on two year total)</t>
  </si>
  <si>
    <t>Incentive Totals</t>
  </si>
  <si>
    <t>ID</t>
  </si>
  <si>
    <t>SavingsUOM</t>
  </si>
  <si>
    <t>UnitType</t>
  </si>
  <si>
    <t>Measure Cost</t>
  </si>
  <si>
    <t>Incentive</t>
  </si>
  <si>
    <t>Admin %</t>
  </si>
  <si>
    <t>Measure Life</t>
  </si>
  <si>
    <t>End Use</t>
  </si>
  <si>
    <t>UC Ratio</t>
  </si>
  <si>
    <t>TRC Ratio</t>
  </si>
  <si>
    <t>PV UC</t>
  </si>
  <si>
    <t>PV TRC</t>
  </si>
  <si>
    <t>CE Std UC</t>
  </si>
  <si>
    <t>CE Std -TRC</t>
  </si>
  <si>
    <t>EOY Adj</t>
  </si>
  <si>
    <t>2012 INCENTIVES</t>
  </si>
  <si>
    <t>2013 INCENTIVES</t>
  </si>
  <si>
    <t>TOTAL INCENTIVES</t>
  </si>
  <si>
    <t>CFL bulbs -DI</t>
  </si>
  <si>
    <t>kwh</t>
  </si>
  <si>
    <t>unit</t>
  </si>
  <si>
    <t>Res Lighting</t>
  </si>
  <si>
    <t>HomePrint Assessment</t>
  </si>
  <si>
    <t>showerhead - leave behind</t>
  </si>
  <si>
    <t>per unit</t>
  </si>
  <si>
    <t>Res water heat</t>
  </si>
  <si>
    <t>Measure 4</t>
  </si>
  <si>
    <t>Measure 5</t>
  </si>
  <si>
    <t>Measure 6</t>
  </si>
  <si>
    <t>Measure 7</t>
  </si>
  <si>
    <t>Measure 8</t>
  </si>
  <si>
    <t>Measure 9</t>
  </si>
  <si>
    <t>Measure 10</t>
  </si>
  <si>
    <t>Measure 11</t>
  </si>
  <si>
    <t>Measure 12</t>
  </si>
  <si>
    <t>Measure 13</t>
  </si>
  <si>
    <t>Measure 14</t>
  </si>
  <si>
    <t>Measure 15</t>
  </si>
  <si>
    <t>Measure 16</t>
  </si>
  <si>
    <t>Measure 17</t>
  </si>
  <si>
    <t>Measure 18</t>
  </si>
  <si>
    <t>Measure 19</t>
  </si>
  <si>
    <t>Measure 20</t>
  </si>
  <si>
    <t>Measure 21</t>
  </si>
  <si>
    <t>Measure 22</t>
  </si>
  <si>
    <t>Measure 23</t>
  </si>
  <si>
    <t>Measure 24</t>
  </si>
  <si>
    <t>Measure 25</t>
  </si>
  <si>
    <t>Measure 26</t>
  </si>
  <si>
    <t>Measure 27</t>
  </si>
  <si>
    <t>Measure 28</t>
  </si>
  <si>
    <t>Measure 29</t>
  </si>
  <si>
    <t>Measure 30</t>
  </si>
  <si>
    <t>Measure 31</t>
  </si>
  <si>
    <t>Measure 32</t>
  </si>
  <si>
    <t>Measure 33</t>
  </si>
  <si>
    <t>Measure 34</t>
  </si>
  <si>
    <t>Measure 35</t>
  </si>
  <si>
    <t>Measure 36</t>
  </si>
  <si>
    <t>Measure 37</t>
  </si>
  <si>
    <t>Measure 38</t>
  </si>
  <si>
    <t>Measure 39</t>
  </si>
  <si>
    <t>Measure 40</t>
  </si>
  <si>
    <t>Measure 41</t>
  </si>
  <si>
    <t>Measure 42</t>
  </si>
  <si>
    <t>E214</t>
  </si>
  <si>
    <t>HomePrint - Electric</t>
  </si>
  <si>
    <t>Malcolm McCulloch</t>
  </si>
  <si>
    <t>Dealer Channel</t>
  </si>
  <si>
    <t>admin</t>
  </si>
  <si>
    <t>Energy Star Heat Pump Water Heater (=&gt; 2.0 EF)</t>
  </si>
  <si>
    <t>per home</t>
  </si>
  <si>
    <t>Res Water Heat</t>
  </si>
  <si>
    <t>High Efficiency Electric Water Heater (=&gt; .94 EF)</t>
  </si>
  <si>
    <t>Waste Water Heat Recovery (models with an efficiency of 42% or greater)</t>
  </si>
  <si>
    <t>New: Direct Install Showerhead</t>
  </si>
  <si>
    <t>SF Existing Water Heat - Electric</t>
  </si>
  <si>
    <t>Dennis Rominger</t>
  </si>
  <si>
    <t>Market Manager</t>
  </si>
  <si>
    <t>Program Coordinator</t>
  </si>
  <si>
    <t>QA Staff (???)</t>
  </si>
  <si>
    <t>Market Analyst</t>
  </si>
  <si>
    <t>Autonetics Solutions</t>
  </si>
  <si>
    <t>Other: MF Air Sealing, thermostats</t>
  </si>
  <si>
    <t>General Needs</t>
  </si>
  <si>
    <t>too high</t>
  </si>
  <si>
    <t xml:space="preserve"> Use the following link tp access LIW Labor Worksheet:</t>
  </si>
  <si>
    <t>LIWLaborWorksheet.xls</t>
  </si>
  <si>
    <t>is this a measure yet?</t>
  </si>
  <si>
    <t>2012-13 Budget Total DBtc Analysis</t>
  </si>
  <si>
    <t>2012-13 Breakdown</t>
  </si>
  <si>
    <t xml:space="preserve">Incentives </t>
  </si>
  <si>
    <t>Agency Admin</t>
  </si>
  <si>
    <t>LIW Electric Energy Efficiency</t>
  </si>
  <si>
    <t>LIW Electric Program Repairs</t>
  </si>
  <si>
    <t>Shareholder</t>
  </si>
  <si>
    <t>2012 Breakdown</t>
  </si>
  <si>
    <t>2013 Breakdown</t>
  </si>
  <si>
    <t>RISE Wx Pilot</t>
  </si>
  <si>
    <t xml:space="preserve"> Use the following link to access LIW CE Calculations:</t>
  </si>
  <si>
    <t>CostEffectivenessSupplement_LIWElectric 20122013.xls</t>
  </si>
  <si>
    <t>program level</t>
  </si>
  <si>
    <t>na</t>
  </si>
  <si>
    <t>Refrigerator Replacement - MF</t>
  </si>
  <si>
    <t>Res Refrigerator</t>
  </si>
  <si>
    <t>Refrigerator Replacement - MH</t>
  </si>
  <si>
    <t>Refrigerator Replacement - SF</t>
  </si>
  <si>
    <t>Insulation-Attic R0 to R38 - MF</t>
  </si>
  <si>
    <t>sq.ft.</t>
  </si>
  <si>
    <t>MF Space Heat</t>
  </si>
  <si>
    <t>Insulation-Attic R0 to R38 - SF</t>
  </si>
  <si>
    <t>SF Space Heat</t>
  </si>
  <si>
    <t>Insulation-Attic R11 to R38 - MF</t>
  </si>
  <si>
    <t>Insulation-Attic R11 to R38 - SF</t>
  </si>
  <si>
    <t>Insulation-Attic R19 to R38 - MF</t>
  </si>
  <si>
    <t>Insulation-Attic R19 to R38 - SF</t>
  </si>
  <si>
    <t>Insulation-Attic R0 to R19 - MF</t>
  </si>
  <si>
    <t>Insulation-Attic R0 to R19 - MH</t>
  </si>
  <si>
    <t>Insulation-Attic R0 to R19 - SF</t>
  </si>
  <si>
    <t>Insulation-Attic R11 to R33 - MH</t>
  </si>
  <si>
    <t>Insulation-Attic R0 to R49 - MF</t>
  </si>
  <si>
    <t>Insulation-Attic R0 to R49 - SF</t>
  </si>
  <si>
    <t>Insulation-Attic R0 to R30 - MH</t>
  </si>
  <si>
    <t>Insulation-Attic R0 to R33 - MH</t>
  </si>
  <si>
    <t>Insulation-Attic R0 to R22 - MH</t>
  </si>
  <si>
    <t>Insulation-Duct R0 to R11 - MF</t>
  </si>
  <si>
    <t>Insulation-Duct R0 to R11 - SF</t>
  </si>
  <si>
    <t>Insulation-Floor R0 to R19 - MF</t>
  </si>
  <si>
    <t>Insulation-Floor R0 to R19 - SF</t>
  </si>
  <si>
    <t>Insulation-Floor R0 to R30 - MF</t>
  </si>
  <si>
    <t>Insulation-Floor R0 to R30 - SF</t>
  </si>
  <si>
    <t>Insulation-Floor R0 to R30 - MH</t>
  </si>
  <si>
    <t>Insulation-Floor R0 to R22 - MH</t>
  </si>
  <si>
    <t>Insulation-Floor R11 to R22 - MH</t>
  </si>
  <si>
    <t>Insulation-Floor R11 to R30 - MF</t>
  </si>
  <si>
    <t>Insulation-Floor R11 to R30 - SF</t>
  </si>
  <si>
    <t>Insulation-TaperedRoof R5 to R38 - MF</t>
  </si>
  <si>
    <t>Insulation-Wall R0 to R11 - MF</t>
  </si>
  <si>
    <t>Insulation-Wall R0 to R11 - SF</t>
  </si>
  <si>
    <t>Insulation-Wall R0 to R11 - MH</t>
  </si>
  <si>
    <t>Insulation-Wall R0 to R15 - SF</t>
  </si>
  <si>
    <t>Showerhead - MF</t>
  </si>
  <si>
    <t>Showerhead - MH</t>
  </si>
  <si>
    <t>Showerhead - SF</t>
  </si>
  <si>
    <t>CF Fixture - MH</t>
  </si>
  <si>
    <t>CF Fixture - SF</t>
  </si>
  <si>
    <t>CF Fixture - MF</t>
  </si>
  <si>
    <t>CFL  - MF</t>
  </si>
  <si>
    <t>CFL  - MH</t>
  </si>
  <si>
    <t>CFL  - SF</t>
  </si>
  <si>
    <t>Light Socket Conversion - MF</t>
  </si>
  <si>
    <t>Light Socket Conversion - MH</t>
  </si>
  <si>
    <t>Light Socket Conversion - SF</t>
  </si>
  <si>
    <t>Common Area Lighting - MF</t>
  </si>
  <si>
    <t>Calc.</t>
  </si>
  <si>
    <t>Duct Sealing - MH</t>
  </si>
  <si>
    <t>Duct Sealing - SF</t>
  </si>
  <si>
    <t>Structure Sealing - MH</t>
  </si>
  <si>
    <t>Structure Sealing - SF</t>
  </si>
  <si>
    <t>Structure Sealing - MF</t>
  </si>
  <si>
    <t>Solar Pool - MF</t>
  </si>
  <si>
    <t>Plug Load</t>
  </si>
  <si>
    <t>Thermostat-Electric Setback - MH</t>
  </si>
  <si>
    <t>Thermostat-Electric Setback - SF</t>
  </si>
  <si>
    <t>Water Heater (.95 EF) - MF</t>
  </si>
  <si>
    <t>Water Heater (.95 EF) - MH</t>
  </si>
  <si>
    <t>Water Heater (.95 EF) - SF</t>
  </si>
  <si>
    <t>Ductless Heat Pump - SF</t>
  </si>
  <si>
    <t>Ductless Heat Pump - MF</t>
  </si>
  <si>
    <t>Ductless Heat Pump - MH</t>
  </si>
  <si>
    <t>Water Heater Pipe Wrap - MF</t>
  </si>
  <si>
    <t>Water Heater Pipe Wrap - MH</t>
  </si>
  <si>
    <t>Water Heater Pipe Wrap - SF</t>
  </si>
  <si>
    <t>Windows-Double to Double - MF</t>
  </si>
  <si>
    <t>Windows-Double to Double - MH</t>
  </si>
  <si>
    <t>Windows-Double to Double - SF</t>
  </si>
  <si>
    <t>Windows-Single to Double - MF</t>
  </si>
  <si>
    <t>Windows-Single to Double - MH</t>
  </si>
  <si>
    <t>Windows-Single to Double - SF</t>
  </si>
  <si>
    <t>Windows-Single to Triple - MF</t>
  </si>
  <si>
    <t>Windows-Single to Triple - SF</t>
  </si>
  <si>
    <t>Windows-Double to Triple - MF</t>
  </si>
  <si>
    <t>Windows-Double to Triple - SF</t>
  </si>
  <si>
    <t>EnergyStar Whole House Ventilation - MF</t>
  </si>
  <si>
    <t>EnergyStar Whole House Ventilation - SF</t>
  </si>
  <si>
    <t>EnergyStar Whole House Ventilation - MH</t>
  </si>
  <si>
    <t>Smart Strips - MF</t>
  </si>
  <si>
    <t>Smart Strips - SF</t>
  </si>
  <si>
    <t>Smart Strips - MH</t>
  </si>
  <si>
    <t>LED Lamp (Incandescent) - MF</t>
  </si>
  <si>
    <t>LED Lamp (Incandescent) - SF</t>
  </si>
  <si>
    <t>LED Lamp (Incandescent) - MH</t>
  </si>
  <si>
    <t>Shareholder Repairs</t>
  </si>
  <si>
    <t>E201</t>
  </si>
  <si>
    <t>Low Income Weatherization TE</t>
  </si>
  <si>
    <t>Sandy Sieg</t>
  </si>
  <si>
    <t>Low Income</t>
  </si>
  <si>
    <t>Attic Insulation R-0 to R-49 - Average</t>
  </si>
  <si>
    <t>Floor Insulation R-0 to R-30 - Average</t>
  </si>
  <si>
    <t>Wall Insulation R-0 to R-11 - Average</t>
  </si>
  <si>
    <t>Duct Insulation R-2 to R-11</t>
  </si>
  <si>
    <t>PTCS Duct Sealing</t>
  </si>
  <si>
    <t>Air Sealing- Average</t>
  </si>
  <si>
    <t>Windows- Single Pane to U.30- Average</t>
  </si>
  <si>
    <t>Windows- Double Pane to U.30- Average</t>
  </si>
  <si>
    <t>MH Duct Sealing L1</t>
  </si>
  <si>
    <t>MH Duct Sealing L2</t>
  </si>
  <si>
    <t>MH Duct Sealing L3</t>
  </si>
  <si>
    <t>MH CFL (DI )</t>
  </si>
  <si>
    <t>MH Showerheads (Leave Behind)</t>
  </si>
  <si>
    <t>Home Performance with Energy Star</t>
  </si>
  <si>
    <t>SF Existing Wx - Electric</t>
  </si>
  <si>
    <t>Energy Star Geothermal Heat Pump</t>
  </si>
  <si>
    <t>SF Heat Pump</t>
  </si>
  <si>
    <t>Ductless Heat Pump</t>
  </si>
  <si>
    <t>Energy Star Heat Pump - Tier 1 = 8.5 HSPF, 14 SEER</t>
  </si>
  <si>
    <t>Energy Star Heat Pump - Tier 2 = 9.0 HSPF, 14 SEER</t>
  </si>
  <si>
    <t>Forced-air-furnace to Heat Pump Conversion (greater than or equal to 8.5 HSPF, 14 SEER)</t>
  </si>
  <si>
    <t>Heat Pump Sizing &amp; Lock out Controls</t>
  </si>
  <si>
    <t>NEW Energy Star Heat Pump - Tier 3 = 10.0 HSPF, 16 SEER</t>
  </si>
  <si>
    <t>NEW Web Enabled T-Stats (Programmable)</t>
  </si>
  <si>
    <t>SF Existing Space Heat - Electric</t>
  </si>
  <si>
    <t>Measure 1</t>
  </si>
  <si>
    <t>Measure 2</t>
  </si>
  <si>
    <t>Measure 3</t>
  </si>
  <si>
    <t>MFSH</t>
  </si>
  <si>
    <t>Refrigerator Replacement Program</t>
  </si>
  <si>
    <t>Laura Wilson</t>
  </si>
  <si>
    <t>Retail Channel</t>
  </si>
  <si>
    <t>Home Appliances</t>
  </si>
  <si>
    <t xml:space="preserve">Sr. Market Analyst </t>
  </si>
  <si>
    <t xml:space="preserve">Program Manager </t>
  </si>
  <si>
    <t xml:space="preserve">Program Coordinator &amp; Program Implementor </t>
  </si>
  <si>
    <t xml:space="preserve">Marketing Manager </t>
  </si>
  <si>
    <t xml:space="preserve">Marketing Support </t>
  </si>
  <si>
    <t>Incentive Processing</t>
  </si>
  <si>
    <t>Field Services</t>
  </si>
  <si>
    <t xml:space="preserve">Refrigerators CEE Tier 2 </t>
  </si>
  <si>
    <t>Refrigerators CEE Tier 3</t>
  </si>
  <si>
    <t>Energy Star Freezers</t>
  </si>
  <si>
    <t>Retail Refrigerator Decomm</t>
  </si>
  <si>
    <t>Retail Freezer Decomm</t>
  </si>
  <si>
    <t>Refrigerator Decomm</t>
  </si>
  <si>
    <t>Freezer Decomm</t>
  </si>
  <si>
    <t>Clothes Washers 2.2-2.45 (Any WH-Dryer)</t>
  </si>
  <si>
    <t>Clothes Washers 2.46-2.69 (Any WH-Dryer)</t>
  </si>
  <si>
    <t>Clothes Washers 2.7 and above (Any WH-Dryer)</t>
  </si>
  <si>
    <t>Clothes Washers 2.2-2.45 (E WH-E Dryer)</t>
  </si>
  <si>
    <t>Clothes Washers 2.46-2.69 (E WH-E Dryer)</t>
  </si>
  <si>
    <t>Clothes Washers 2.7 and above (E WH-E Dryer)</t>
  </si>
  <si>
    <t>Clothes Washers 2.2-2.45 (E WH-G Dryer)</t>
  </si>
  <si>
    <t>Clothes Washers 2.46-2.69 (E WH-G Dryer)</t>
  </si>
  <si>
    <t>Clothes Washers 2.7 and above (E WH-G Dryer)</t>
  </si>
  <si>
    <t>Clothes Washers 2.2-2.45 (G WH-E Dryer)</t>
  </si>
  <si>
    <t>Clothes Washers 2.46-2.69 (G WH-E Dryer)</t>
  </si>
  <si>
    <t>Clothes Washers 2.7 and above (G WH-E Dryer)</t>
  </si>
  <si>
    <t>Clothes Washers 2.2-2.45 (G WH-G Dryer)</t>
  </si>
  <si>
    <t>Clothes Washers 2.46-2.69 (G WH-G Dryer)</t>
  </si>
  <si>
    <t>Clothes Washers 2.7 and above (G WH-G Dryer)</t>
  </si>
  <si>
    <t>Refrigerator Replacement</t>
  </si>
  <si>
    <t>Showerheads E</t>
  </si>
  <si>
    <t xml:space="preserve">2.0 - 1.76 gpm Showerheads - Mail-in </t>
  </si>
  <si>
    <t>1.75 - 1.51 gpm Showerheads - Mail-in</t>
  </si>
  <si>
    <t>1.50 and less Showerheads - Mail-in</t>
  </si>
  <si>
    <t>2.0 - 1.76 gpm Showerheads - Retail_Electric WH_Any Shower</t>
  </si>
  <si>
    <t>1.75 - 1.51 gpm Showerheads - Retail_Electric WH_Any Shower</t>
  </si>
  <si>
    <t>1.50 and less Showerheads - Retail_Electric WH_Any Shower</t>
  </si>
  <si>
    <t>Lighting</t>
  </si>
  <si>
    <t xml:space="preserve">Materials &amp; Campaign </t>
  </si>
  <si>
    <t>ENERGY STAR Indoor CFL Fixtures</t>
  </si>
  <si>
    <t>ENERGY STAR Outdoor CFL Fixtures</t>
  </si>
  <si>
    <t>ENERGY STAR Spiral CFL Bulbs</t>
  </si>
  <si>
    <t>ENERGY STAR Specialty CFL Bulbs</t>
  </si>
  <si>
    <t>ENERGY STAR LED Bulbs_Downlight_Incan Baseline</t>
  </si>
  <si>
    <t>ENERGY STAR LED Fixtures</t>
  </si>
  <si>
    <t>ENERGY STAR Engagement Bulbs</t>
  </si>
  <si>
    <t>ENERGY STAR LED Bulbs_A-line_Incan Baseline</t>
  </si>
  <si>
    <t>Retail Promo CFL Spirals</t>
  </si>
  <si>
    <t>Retail Promo CFL Specialty</t>
  </si>
  <si>
    <t>Marketing Manager/Coordinator</t>
  </si>
  <si>
    <t xml:space="preserve">OVERHEAD LABOR </t>
  </si>
  <si>
    <t>Marketing Communications Budget</t>
  </si>
  <si>
    <t xml:space="preserve">Trainings, Bus Passes, Travel, Fleet, etc. </t>
  </si>
  <si>
    <t xml:space="preserve">New Home Trends Database </t>
  </si>
  <si>
    <t>Office Supplies, Printing, Phones, etc.</t>
  </si>
  <si>
    <t>Clothes Washer Tier 3(GWH/Edryer 2.7 or higher)</t>
  </si>
  <si>
    <t>Clothes Washers Tier 1 (GWH/Edryer 2.2 - 2.45)</t>
  </si>
  <si>
    <t>Clothes Washers Tier 2 (GWH/Edryer 2.46 - 2.69)</t>
  </si>
  <si>
    <t>ENERGY STAR Refrigerator (CEE Tier 3)</t>
  </si>
  <si>
    <t>ENERGY STAR Refrigerator (CEE Tier 2 )</t>
  </si>
  <si>
    <t>ENERGY STAR Whole House Ventilation</t>
  </si>
  <si>
    <t>Air-Source Heat Pump Tier #1</t>
  </si>
  <si>
    <t>Air-Source Heat Pump Tier #2</t>
  </si>
  <si>
    <t xml:space="preserve">Ductless Mini-Split Heat Pump </t>
  </si>
  <si>
    <t xml:space="preserve">ENERGY STAR Heat Pump Water Heater </t>
  </si>
  <si>
    <r>
      <t>ENERGY STAR Storage Water Heater</t>
    </r>
    <r>
      <rPr>
        <sz val="8"/>
        <color indexed="10"/>
        <rFont val="Calibri"/>
        <family val="2"/>
      </rPr>
      <t xml:space="preserve"> ( 0.94 EF +)</t>
    </r>
  </si>
  <si>
    <t>ENERGY STAR LED Lamp (Pilot)</t>
  </si>
  <si>
    <t>ENERGY STAR LED Fixture (Pilot)</t>
  </si>
  <si>
    <t>ENERGY STAR Homes Bonus (Electric)</t>
  </si>
  <si>
    <t>ENERGY STAR Homes Verifier Bonus</t>
  </si>
  <si>
    <t>E215</t>
  </si>
  <si>
    <t>Single Family New Construction - Electric</t>
  </si>
  <si>
    <t>Megan Doyle</t>
  </si>
  <si>
    <t>New Construction</t>
  </si>
  <si>
    <t xml:space="preserve">Program Coordinator </t>
  </si>
  <si>
    <t xml:space="preserve">Rebate Analyst </t>
  </si>
  <si>
    <t xml:space="preserve">Marketing Manager/Coordinator </t>
  </si>
  <si>
    <t xml:space="preserve">Marketing Communications Budget </t>
  </si>
  <si>
    <t>Heating Zone 1 / cooling zone n/a - FAF</t>
  </si>
  <si>
    <t>Heating Zone 2 / cooling zone 2 -  HP</t>
  </si>
  <si>
    <t>Energy Star Manufactured Home Elect</t>
  </si>
  <si>
    <t>E2G Fuel Conv - Space &amp; WH - BB - 19-20K</t>
  </si>
  <si>
    <t>each</t>
  </si>
  <si>
    <t>E2G Fuel Conv - Space &amp; WH - BB - 20-22.5K</t>
  </si>
  <si>
    <t>E2G Fuel Conv - Space &amp; WH - BB - 22.5-25K</t>
  </si>
  <si>
    <t>E2G Fuel Conv - Space &amp; WH - BB - 25K+</t>
  </si>
  <si>
    <t>E2G Fuel Conv - Space &amp; WH - FA - 19-20K</t>
  </si>
  <si>
    <t>E2G Fuel Conv - Space &amp; WH - FA - 20-22.5K</t>
  </si>
  <si>
    <t>E2G Fuel Conv - Space &amp; WH - FA - 22.5-25K</t>
  </si>
  <si>
    <t>E2G Fuel Conv - Space &amp; WH - FA - 25K+</t>
  </si>
  <si>
    <t>E2G Fuel Conv - Space Heat Only - BB - 20-22.5K</t>
  </si>
  <si>
    <t>E2G Fuel Conv - Space Heat Only - BB - 25K+</t>
  </si>
  <si>
    <t>E2G Fuel Conv - Space Heat Only - FA - 20-22.5K</t>
  </si>
  <si>
    <t>E2G Fuel Conv - Space Heat Only - FA - 22.5-25K</t>
  </si>
  <si>
    <t>E2G Fuel Conv - WH Only - Storage</t>
  </si>
  <si>
    <t>Res Water heat</t>
  </si>
  <si>
    <t>E2G Fuel Conv - WH Only - Tankless</t>
  </si>
  <si>
    <t>E2G Fuel Conv - Space Heat Only - BB - 19-20K</t>
  </si>
  <si>
    <t>E2G Fuel Conv - Space Heat Only - BB - 22.5-25K</t>
  </si>
  <si>
    <t>E2G Fuel Conv - Space Heat Only - FA - 19-20K</t>
  </si>
  <si>
    <t>E2G Fuel Conv - Space Heat Only - FA - 25K+</t>
  </si>
  <si>
    <t>E2G Fuel Conv - Boilers</t>
  </si>
  <si>
    <t>E216</t>
  </si>
  <si>
    <t>Fuel Conversion Rebate</t>
  </si>
  <si>
    <t>Kyle Webley</t>
  </si>
  <si>
    <t>Program Staff</t>
  </si>
  <si>
    <t>Marketing Lead</t>
  </si>
  <si>
    <t>Marketing Support</t>
  </si>
  <si>
    <t>Marketing Events, material, mailings etc.</t>
  </si>
  <si>
    <t>Employee Expenses</t>
  </si>
  <si>
    <t>Direct Install Program</t>
  </si>
  <si>
    <t>Printing</t>
  </si>
  <si>
    <t>PSE Assessed Charges</t>
  </si>
  <si>
    <t>Contingency</t>
  </si>
  <si>
    <t>Showerhead - Max 1.5 gpm EWH</t>
  </si>
  <si>
    <t>Solar Pool Heater (Calculated)</t>
  </si>
  <si>
    <t>per project</t>
  </si>
  <si>
    <t>Water Heater Pipewrap</t>
  </si>
  <si>
    <t>Attic Insulation R-0 to R-38 MF</t>
  </si>
  <si>
    <t>Attic Insulation R-11 to R-38 MF</t>
  </si>
  <si>
    <t>Attic Insulation R-19 to R-38 MF</t>
  </si>
  <si>
    <t>Floor Insulation R-0 to R-30 MF</t>
  </si>
  <si>
    <t>Floor Insulation R-0 to R-19 MF</t>
  </si>
  <si>
    <t>Floor Insulation R-11 to R-30 MF</t>
  </si>
  <si>
    <t>Wall Insulation R-0 to R-11 MF</t>
  </si>
  <si>
    <t>Windows (single to double paned) U= 1.2 to 0.30</t>
  </si>
  <si>
    <t>Windows (single to triple paned) U= 1.2 to 0.22</t>
  </si>
  <si>
    <t>Windows (double to double paned) U= 0.6 to 0.30</t>
  </si>
  <si>
    <t>Windows (double to triple paned) U= 0.6 to 0.22</t>
  </si>
  <si>
    <t>Common Area Lighting (Calculated)</t>
  </si>
  <si>
    <t>Clothes Washer Tier 1 MEF 2.2-2.45 (EWH/Edryer)</t>
  </si>
  <si>
    <t>Clothes Washer Tier 2 MEF 2.46 or Higher (EWH/Edryer)</t>
  </si>
  <si>
    <t>Energy Star Fixture - Tenant Controlled</t>
  </si>
  <si>
    <t>Energy Star CFL - Direct Install</t>
  </si>
  <si>
    <t>Water Heater (0.95)</t>
  </si>
  <si>
    <t>Energy Star Refrigerator Upgrade</t>
  </si>
  <si>
    <t>GU-24 Fixture</t>
  </si>
  <si>
    <t>LED Fixtures</t>
  </si>
  <si>
    <t>Smart Strips</t>
  </si>
  <si>
    <t>LED Lamps</t>
  </si>
  <si>
    <t>Energy Star Whole House Ventilation</t>
  </si>
  <si>
    <t>Parking Garage CO Sensors</t>
  </si>
  <si>
    <t>Solar Water</t>
  </si>
  <si>
    <t>Energy Efficient Doors</t>
  </si>
  <si>
    <t>ELV Thermostat</t>
  </si>
  <si>
    <t>per dwelling</t>
  </si>
  <si>
    <t>Custom Analysis</t>
  </si>
  <si>
    <t>E217</t>
  </si>
  <si>
    <t>Multi-Family Retrofit Elect</t>
  </si>
  <si>
    <t>John Forde</t>
  </si>
  <si>
    <t>Multi-Family</t>
  </si>
  <si>
    <t>Program Labor</t>
  </si>
  <si>
    <t>Marketing - Advertising</t>
  </si>
  <si>
    <t>Assesses Charges</t>
  </si>
  <si>
    <t>L UC</t>
  </si>
  <si>
    <t>L TRC</t>
  </si>
  <si>
    <t>U-PV Esave</t>
  </si>
  <si>
    <t>Clothes Washer MEF 2.2 - 2.45 WF 4.5 - EWH/Edryer</t>
  </si>
  <si>
    <t>Clothes Washer MEF 2.46+ WF 4- EWH/Edryer</t>
  </si>
  <si>
    <t>Energy Star Refrigerator</t>
  </si>
  <si>
    <t>Windows U-0.30 or better ESH High Rise Metal Frame</t>
  </si>
  <si>
    <t>sqft</t>
  </si>
  <si>
    <t>Heat Recovery - Elec Res no Cooling-HighRise</t>
  </si>
  <si>
    <t>Comm Space Heat</t>
  </si>
  <si>
    <t>Heat Recovery - Elec Res no Cooling-LowRise</t>
  </si>
  <si>
    <t>Air-to-Air Heat Pump 2011</t>
  </si>
  <si>
    <t>Package Terminal Heat Pump Low Rise</t>
  </si>
  <si>
    <t>Package Terminal Heat Pump Low Rise Townhome</t>
  </si>
  <si>
    <t>Energy Star hard-wired CFL fixture - TCt 69</t>
  </si>
  <si>
    <t xml:space="preserve">Corridor Lighting Reduction </t>
  </si>
  <si>
    <t>sqft/%</t>
  </si>
  <si>
    <t>Comm Lighting</t>
  </si>
  <si>
    <t>Stairwell bi-level &gt;= 10 floors</t>
  </si>
  <si>
    <t>fixture</t>
  </si>
  <si>
    <t>Stairwell bi-level &gt;3 &lt;10 floors</t>
  </si>
  <si>
    <t>Garage Lighting Reduction 2011</t>
  </si>
  <si>
    <t>Drain Water Heat Recovery</t>
  </si>
  <si>
    <t>Showerhead - Max 2.0 gpm EWH</t>
  </si>
  <si>
    <t>E218</t>
  </si>
  <si>
    <t>Multi-Family New Construction Elect</t>
  </si>
  <si>
    <t>OPOWER</t>
  </si>
  <si>
    <t>Efficiency 2.0</t>
  </si>
  <si>
    <t>OPOWER - DBtC</t>
  </si>
  <si>
    <t>Home Energy Reports - OPOWER</t>
  </si>
  <si>
    <t>Personal Energy Efficiency Rewards - Efficiency 2.0</t>
  </si>
  <si>
    <t>E249</t>
  </si>
  <si>
    <t>Home Energy Reports E</t>
  </si>
  <si>
    <t>Pilots</t>
  </si>
  <si>
    <t>Pilot Management</t>
  </si>
  <si>
    <t>SF Existing Pilots - Electric</t>
  </si>
  <si>
    <t>Joel Smith</t>
  </si>
  <si>
    <t>Residential Energy Management</t>
  </si>
  <si>
    <t>Schedule</t>
  </si>
  <si>
    <t>Residential Showerheads Elect</t>
  </si>
  <si>
    <t>Energy Efficient Lighting Services</t>
  </si>
  <si>
    <t>2012 / 2013</t>
  </si>
  <si>
    <t>QA (???)</t>
  </si>
  <si>
    <t>Breakdown</t>
  </si>
  <si>
    <t>LIW Gas Energy Efficiency</t>
  </si>
  <si>
    <t>Furnace Replacement (90% AFUE) - MF</t>
  </si>
  <si>
    <t>therms</t>
  </si>
  <si>
    <t>Res Space Heat</t>
  </si>
  <si>
    <t>Furnace Replacement (90% AFUE) - MH</t>
  </si>
  <si>
    <t>Furnace Replacement (90% AFUE) - SF</t>
  </si>
  <si>
    <t>Boiler Space Heat Replacement - MF</t>
  </si>
  <si>
    <t>Boiler Water Heat Replacement - MF</t>
  </si>
  <si>
    <t>Tankless Water Heater (.90 EF) - MF</t>
  </si>
  <si>
    <t>Tankless Water Heater (.90 EF) - MH</t>
  </si>
  <si>
    <t>Tankless Water Heater (.90 EF) - SF</t>
  </si>
  <si>
    <t>Water Heater (.67 EF) - MF</t>
  </si>
  <si>
    <t>Water Heater (.67 EF) - MH</t>
  </si>
  <si>
    <t>Water Heater (.67 EF) - SF</t>
  </si>
  <si>
    <t>Insulation-Tapered Roof R5 to R38 - MF</t>
  </si>
  <si>
    <t>G203</t>
  </si>
  <si>
    <t>Low Income Weatherization TG</t>
  </si>
  <si>
    <t>G214</t>
  </si>
  <si>
    <t>HomePrint - Gas</t>
  </si>
  <si>
    <t>Tier 1 Energy Star Tankless Water Heater  (&gt;= 0.82 EF)</t>
  </si>
  <si>
    <t>Tier 2 Energy Star Tankless Water Heater  (&gt;= 0.90 EF)</t>
  </si>
  <si>
    <t>Energy Star Gas Water Heater  (&gt;= 0.67 EF)</t>
  </si>
  <si>
    <t>SF Existing Water Heat - Gas</t>
  </si>
  <si>
    <t>Attic Insulation R-0 to R-49 - Gas</t>
  </si>
  <si>
    <t>Floor insulation R-0 to R-30 - Gas</t>
  </si>
  <si>
    <t>Wall Insulation R-0 to R-11 - Gas</t>
  </si>
  <si>
    <t>Duct Insulation FAF Gas R-2 to R-11</t>
  </si>
  <si>
    <t>PTCS Duct Sealing -Gas</t>
  </si>
  <si>
    <t>Air Sealing</t>
  </si>
  <si>
    <t>SF Existing Wx - Gas</t>
  </si>
  <si>
    <t>Efficient 95% Gas Furnace (Note:  Raised from 90%)</t>
  </si>
  <si>
    <t>Energy Star qualified Boilers (95% AFUE)</t>
  </si>
  <si>
    <t xml:space="preserve">High Efficiency Natural Gas Fireplace </t>
  </si>
  <si>
    <t>NEW Integrated Space &amp; Water Heating</t>
  </si>
  <si>
    <t>SF Existing Space Heat - Gas</t>
  </si>
  <si>
    <t>Materials &amp; Campaign</t>
  </si>
  <si>
    <t>2.0 - 1.76 gpm Showerheads - Retail_Gas WH_Any Shower</t>
  </si>
  <si>
    <t>1.75 - 1.51 gpm Showerheads - Retail_Gas WH_Any Shower</t>
  </si>
  <si>
    <t>1.50 and less Showerheads - Retail_Gas WH_Any Shower</t>
  </si>
  <si>
    <t>Residential Showerheads Gas</t>
  </si>
  <si>
    <t>Rebate Analyst</t>
  </si>
  <si>
    <t>Manufactured Home Gas</t>
  </si>
  <si>
    <t>G215</t>
  </si>
  <si>
    <t>Energy Star Manufactured Home Gas</t>
  </si>
  <si>
    <t>Labor Consolidated</t>
  </si>
  <si>
    <t>New Home Trends Database</t>
  </si>
  <si>
    <t>ENERGY STAR Gas Furnace Tier 2 (95% AFUE)</t>
  </si>
  <si>
    <t>ENERGY STAR Gas Water Heater Tier 1 (.62-.66 EF)</t>
  </si>
  <si>
    <t>ENERGY STAR Gas Water Heater Tier 2 (.67 +)</t>
  </si>
  <si>
    <t>ES Homes Ducts in Conditioned Space w/ PT</t>
  </si>
  <si>
    <t xml:space="preserve">ENERGY STAR Tankless Water Heater </t>
  </si>
  <si>
    <t>ENERGY STAR Gas Boiler/Hydronic (95% AFUE)</t>
  </si>
  <si>
    <t xml:space="preserve">High Efficiency Gas Fireplace </t>
  </si>
  <si>
    <t>ENERGY STAR Gas Furnace Tier 1 (90%-94.9% AFUE)</t>
  </si>
  <si>
    <t>ENERGY STAR Homes Bonus (Gas)</t>
  </si>
  <si>
    <t xml:space="preserve">ENERGY STAR Homes Verifier Bonus </t>
  </si>
  <si>
    <t>SH</t>
  </si>
  <si>
    <t>Single Family New Construction - Gas</t>
  </si>
  <si>
    <t>Showerhead - Max 1.50 gpm GWH</t>
  </si>
  <si>
    <t>Boiler (Domestic Water) Replacement (Calculated)</t>
  </si>
  <si>
    <t>Boiler (Pool Heating ) (Calculated)</t>
  </si>
  <si>
    <t>Tankless Water Heater Gas In-unit (.82 EF)</t>
  </si>
  <si>
    <t>Gas Water Heater (.67 EF)</t>
  </si>
  <si>
    <t xml:space="preserve">Furnaces .90 + In Unit </t>
  </si>
  <si>
    <t>Boiler (Space Heating ) Replacement (Calculated)</t>
  </si>
  <si>
    <t>Boiler (Space Heating - Steam ) Replacement (Calculated)</t>
  </si>
  <si>
    <t>Boiler (Domestic Water + Space Heating) Replacement (Calculated)</t>
  </si>
  <si>
    <t>Aerator</t>
  </si>
  <si>
    <t>Hydronic Heating</t>
  </si>
  <si>
    <t>ERV/HRV</t>
  </si>
  <si>
    <t>G217</t>
  </si>
  <si>
    <t>Multi-Family Retrofit Gas</t>
  </si>
  <si>
    <t>Assessed Charges</t>
  </si>
  <si>
    <t>Hydronic w/ Condensing Boiler w/ ext tank</t>
  </si>
  <si>
    <t>Hydronic w/ Condensing Water Heater</t>
  </si>
  <si>
    <t>Heat Recovery with hydronic no cooling High Rise</t>
  </si>
  <si>
    <t>Heat Recovery with hydronic no cooling Low Rise</t>
  </si>
  <si>
    <t>Condensing Boiler w/ ext tank EF .93 2011</t>
  </si>
  <si>
    <t>Condensing Water Heater EF .93 2011</t>
  </si>
  <si>
    <t>Showerhead - Max 2.0 gpm GWH 2010-2011</t>
  </si>
  <si>
    <t>G218</t>
  </si>
  <si>
    <t>Multi-Family New Construction Gas</t>
  </si>
  <si>
    <t>G249</t>
  </si>
  <si>
    <t>SF Existing Pilots - Gas</t>
  </si>
  <si>
    <t>Home Energy Reports G</t>
  </si>
  <si>
    <t>C/I Retrofit - Sch 250 Electric</t>
  </si>
  <si>
    <t xml:space="preserve">Overhead </t>
  </si>
  <si>
    <t>Direct Benefit to Customer (Incentives)</t>
  </si>
  <si>
    <t>2010 
(Total--budget was not broken out into CE groups)</t>
  </si>
  <si>
    <t>2011 budget</t>
  </si>
  <si>
    <t>Order Number: 18230711</t>
  </si>
  <si>
    <t>Summary of 2012-2013 Program Expenses</t>
  </si>
  <si>
    <t>Conservation Incentives</t>
  </si>
  <si>
    <t>In-House Programs</t>
  </si>
  <si>
    <t>Labor - EES Staff</t>
  </si>
  <si>
    <t>Contracted Programs</t>
  </si>
  <si>
    <t>Labor - Info Svcs</t>
  </si>
  <si>
    <t>Labor - Marketing</t>
  </si>
  <si>
    <t>Labor (Incl Mgr, Dir, VP, and Budget &amp; Admin Assessments)</t>
  </si>
  <si>
    <t>Miscellaneous Expenses</t>
  </si>
  <si>
    <t xml:space="preserve">     EES Staff, Maj Accts, CSY Support</t>
  </si>
  <si>
    <t>Full Time Equivalent</t>
  </si>
  <si>
    <t>Materials Expenses</t>
  </si>
  <si>
    <t xml:space="preserve">     Information Services (Energy Advisors)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</si>
  <si>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</si>
  <si>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</si>
  <si>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</si>
  <si>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</si>
  <si>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</si>
  <si>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</si>
  <si>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</si>
  <si>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</si>
  <si>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</si>
  <si>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</si>
  <si>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</si>
  <si>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</si>
  <si>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</si>
  <si>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</si>
  <si>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</si>
  <si>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</si>
  <si>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Bradson Technologies - CSY Support</t>
  </si>
  <si>
    <t>Itron (Energy Interval Service)</t>
  </si>
  <si>
    <t>Cellnet (Meter Data Collection Fees)</t>
  </si>
  <si>
    <t>Lighting Design Lab (Training &amp; Cust Consultations)</t>
  </si>
  <si>
    <t>Software Development (CMS - Tracking/Forecasting)</t>
  </si>
  <si>
    <t>Other (Misc Small Contracts)</t>
  </si>
  <si>
    <t>Energy Smart Grocer (PECI)</t>
  </si>
  <si>
    <t>RFP: Data Centers (Clear Result)</t>
  </si>
  <si>
    <t xml:space="preserve">     Total Outside Services</t>
  </si>
  <si>
    <t>TOTAL PROGRAM EXPENSES</t>
  </si>
  <si>
    <t>Annual Energy Savings (kWh)</t>
  </si>
  <si>
    <t>kWh</t>
  </si>
  <si>
    <t>Industrial</t>
  </si>
  <si>
    <t>Building Energy Optimization (BEOP)</t>
  </si>
  <si>
    <t>Other</t>
  </si>
  <si>
    <t xml:space="preserve">     Total Savings</t>
  </si>
  <si>
    <t>Percent of 2-Year Total</t>
  </si>
  <si>
    <t>Supporting Notes</t>
  </si>
  <si>
    <t>C/I New Construction - Sch 251 Electric</t>
  </si>
  <si>
    <t>Order Number: 18230715</t>
  </si>
  <si>
    <t>Conservation Incentives (In-House)</t>
  </si>
  <si>
    <t xml:space="preserve">     DSE (Alan Kakaley) - Energy Modeling</t>
  </si>
  <si>
    <t xml:space="preserve">     Bradson Technologies - CSY Support</t>
  </si>
  <si>
    <t xml:space="preserve">     Itron (Energy Interval Service)</t>
  </si>
  <si>
    <t xml:space="preserve">     Cellnet (Meter Data Collection Fees)</t>
  </si>
  <si>
    <t xml:space="preserve">     Lighting Design Lab (Training &amp; Cust Consultations)</t>
  </si>
  <si>
    <t>Resource Conservation Manager - Sch 253 Electric</t>
  </si>
  <si>
    <t>Order Number: 18230723</t>
  </si>
  <si>
    <t>*Direct benefits to customer also include RCM employee labor (3-for-free audits, etc.) and</t>
  </si>
  <si>
    <t xml:space="preserve">  energy information via Itron, Utility Mgr Software, and database support from BEM employees.</t>
  </si>
  <si>
    <t xml:space="preserve">     LPB Energy or Alternate (Utility Mgr Software)</t>
  </si>
  <si>
    <t xml:space="preserve">     Software Development (RCM Software Support)</t>
  </si>
  <si>
    <t>Small Business Energy Efficiency (Lighting) - Sch 255 Electric</t>
  </si>
  <si>
    <t>Order Number: 18230725</t>
  </si>
  <si>
    <t xml:space="preserve">     Software Development (CMS - Tracking/Forecasting)</t>
  </si>
  <si>
    <t xml:space="preserve">     Other (Misc Small Contracts)</t>
  </si>
  <si>
    <t>LED Traffic Signals - Sch 257 Electric</t>
  </si>
  <si>
    <t>Order Number: 18230728</t>
  </si>
  <si>
    <t>RETIRED</t>
  </si>
  <si>
    <t>Large Power User Self-Directed Program - Sch 258 Electric</t>
  </si>
  <si>
    <t>Order Number: 18230729</t>
  </si>
  <si>
    <t xml:space="preserve">       via journal entry transfer credit to E250 C/I Retro Order #18230711 &amp; debit to E258 Self-Directed Order #18230729</t>
  </si>
  <si>
    <t xml:space="preserve">       NOTE: Labor charges not reported directly to Order #18230729; program operating costs are reported</t>
  </si>
  <si>
    <t xml:space="preserve">       based on 7.5% of Sch 120 collections for Rate Sch 449/459 customers.</t>
  </si>
  <si>
    <t xml:space="preserve">     NEEA Contribution (10% of Sch 120 Collections)</t>
  </si>
  <si>
    <t>Energy Efficiency Technology Evaluation - Sch 261 Electric</t>
  </si>
  <si>
    <t>Order Number: 18230448</t>
  </si>
  <si>
    <t>Commercial Rebates - Sch 262 Electric</t>
  </si>
  <si>
    <t>Order Number: 18230449</t>
  </si>
  <si>
    <t xml:space="preserve">     Other Small Misc Contracts</t>
  </si>
  <si>
    <t xml:space="preserve">     SPIF Payments (Comm Kitchen, Ltg Buydowns)</t>
  </si>
  <si>
    <t xml:space="preserve">Premium HVAC Service </t>
  </si>
  <si>
    <t>Pre Rinse LFSH Spray Head- Elec</t>
  </si>
  <si>
    <t xml:space="preserve">Green Motor Rewind </t>
  </si>
  <si>
    <t>RFP:  Outreach - SB Direct Install (Wilden/SBW)</t>
  </si>
  <si>
    <t>RFP: CoolerMiser Installation</t>
  </si>
  <si>
    <t>PC Power Management Rebate</t>
  </si>
  <si>
    <t>HE Heat Pump &amp; Air Conditioner</t>
  </si>
  <si>
    <t>Portable Classroom Controls</t>
  </si>
  <si>
    <t xml:space="preserve">ECM Motors </t>
  </si>
  <si>
    <t>Variable Speed Drives</t>
  </si>
  <si>
    <t>Comml. Light. Rebate/Lighting Control Rebates</t>
  </si>
  <si>
    <t>Hospitality Rebates</t>
  </si>
  <si>
    <t>LED Traffic Signals</t>
  </si>
  <si>
    <t>Commercial Kitchen Equip.</t>
  </si>
  <si>
    <t>Commercial Washer/dryer rebate</t>
  </si>
  <si>
    <t>Totals:</t>
  </si>
  <si>
    <t>C/I Retrofit - Sch 205 Natural Gas</t>
  </si>
  <si>
    <t>Order Number: 18230731</t>
  </si>
  <si>
    <t>Therms</t>
  </si>
  <si>
    <t>/Therm</t>
  </si>
  <si>
    <t>Annual Energy Savings (therms)</t>
  </si>
  <si>
    <t>Resource Conservation Manager - Sch 208 Natural Gas</t>
  </si>
  <si>
    <t>Order Number: 18230691</t>
  </si>
  <si>
    <t xml:space="preserve">     LPB Energy (Utility Mgr Software)</t>
  </si>
  <si>
    <t>C/I New Construction - Sch 251 Natural Gas</t>
  </si>
  <si>
    <t>Order Number: 18230706</t>
  </si>
  <si>
    <t xml:space="preserve">     Aerotek (Al Dunlap &amp; Steve Jack -- Contract EMEs)</t>
  </si>
  <si>
    <t>Energy Efficiency Technology Evaluation - Sch 261 Natural Gas</t>
  </si>
  <si>
    <t>Order Number: 18230694</t>
  </si>
  <si>
    <t>Commercial Rebates - Sch 262 Natural Gas</t>
  </si>
  <si>
    <t>Order Number: 18230697</t>
  </si>
  <si>
    <t xml:space="preserve">     SPIF Payments (Comm Kitchen)</t>
  </si>
  <si>
    <t>Commercial Laundry Water Heating</t>
  </si>
  <si>
    <t>Total Energy Savings:</t>
  </si>
  <si>
    <t>Business Energy Managment</t>
  </si>
  <si>
    <t>E251</t>
  </si>
  <si>
    <t>E253</t>
  </si>
  <si>
    <t>E255</t>
  </si>
  <si>
    <t>E257</t>
  </si>
  <si>
    <t>E258</t>
  </si>
  <si>
    <t>E261</t>
  </si>
  <si>
    <t>E262</t>
  </si>
  <si>
    <t>Commercial/Industrial Retrofit</t>
  </si>
  <si>
    <t>Commercial/Industrial New Construction</t>
  </si>
  <si>
    <t>Resource Conservation Manager</t>
  </si>
  <si>
    <t>Small Business Lighting</t>
  </si>
  <si>
    <t>LED Traffic Signals (RETIRED)</t>
  </si>
  <si>
    <t>High Voltage, Self-Directed</t>
  </si>
  <si>
    <t>Technology Evaluation</t>
  </si>
  <si>
    <t>Business Rebates</t>
  </si>
  <si>
    <t>G205</t>
  </si>
  <si>
    <t>G208</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</si>
  <si>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</si>
  <si>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</si>
  <si>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</si>
  <si>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</si>
  <si>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</si>
  <si>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</si>
  <si>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</si>
  <si>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</si>
  <si>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</si>
  <si>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</si>
  <si>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</si>
  <si>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Portfolio Support</t>
  </si>
  <si>
    <t>Customer Engagement &amp; Education</t>
  </si>
  <si>
    <t xml:space="preserve">     Energy Advisors</t>
  </si>
  <si>
    <t xml:space="preserve">     Events</t>
  </si>
  <si>
    <t xml:space="preserve">     Brochures</t>
  </si>
  <si>
    <t xml:space="preserve">     Education</t>
  </si>
  <si>
    <t>Web Experience</t>
  </si>
  <si>
    <t xml:space="preserve">     Mainstreaming Green</t>
  </si>
  <si>
    <t xml:space="preserve">     Market Integration</t>
  </si>
  <si>
    <t>Trade Ally Support</t>
  </si>
  <si>
    <t>Total, Portfolio Support</t>
  </si>
  <si>
    <t>Research &amp; Compliance</t>
  </si>
  <si>
    <t>Program Support</t>
  </si>
  <si>
    <t>Total, Research &amp; Compliance</t>
  </si>
  <si>
    <t>Other Electric Programs</t>
  </si>
  <si>
    <t>Renewable Energy Education</t>
  </si>
  <si>
    <t>Residential Demand Response</t>
  </si>
  <si>
    <t>Total, Other Electric Programs</t>
  </si>
  <si>
    <t>Schedule 270</t>
  </si>
  <si>
    <t>GRAND TOTAL, ELECTRIC PROGRAMS</t>
  </si>
  <si>
    <t>GRAND TOTAL, GAS PROGRAMS</t>
  </si>
  <si>
    <t xml:space="preserve">Energy Advisors Electric                </t>
  </si>
  <si>
    <t>E200</t>
  </si>
  <si>
    <t>Stacey Nyman</t>
  </si>
  <si>
    <t>Consumer Channel</t>
  </si>
  <si>
    <t>Training/Employee Development</t>
  </si>
  <si>
    <t>Events/Meals/Parking</t>
  </si>
  <si>
    <t>Mileage/Car Expense/Ferry/Orca Pass</t>
  </si>
  <si>
    <t>Memberships/Subscriptions</t>
  </si>
  <si>
    <t>On Hold Concepts</t>
  </si>
  <si>
    <t>Phone Equipment</t>
  </si>
  <si>
    <t>Office Materials</t>
  </si>
  <si>
    <t>L UC/therm</t>
  </si>
  <si>
    <t>L TRC/therm</t>
  </si>
  <si>
    <t>CE Std/therm UC</t>
  </si>
  <si>
    <t>CE Std/therm -TRC</t>
  </si>
  <si>
    <t>LFCR</t>
  </si>
  <si>
    <t>Shar Kegley</t>
  </si>
  <si>
    <t xml:space="preserve">Powerful Choices  Elect                           </t>
  </si>
  <si>
    <t>E202</t>
  </si>
  <si>
    <t>Teri 50%</t>
  </si>
  <si>
    <t xml:space="preserve">new position </t>
  </si>
  <si>
    <t>L UC/kwh</t>
  </si>
  <si>
    <t>L TRC/kwh</t>
  </si>
  <si>
    <t>CE Std/kwh UC</t>
  </si>
  <si>
    <t>CE Std/kwh -TRC</t>
  </si>
  <si>
    <t xml:space="preserve">Energy Advisors Gas                </t>
  </si>
  <si>
    <t>G206</t>
  </si>
  <si>
    <t>Mike Miller</t>
  </si>
  <si>
    <t>Linda Anderson</t>
  </si>
  <si>
    <t>Sarah Isham</t>
  </si>
  <si>
    <t>Zack Krupp</t>
  </si>
  <si>
    <t>Events/Parking/Meals</t>
  </si>
  <si>
    <t>Phone equipment</t>
  </si>
  <si>
    <t>G207</t>
  </si>
  <si>
    <t>EES 2012-2013 Budgets, Sector View</t>
  </si>
  <si>
    <t>Electric Programs</t>
  </si>
  <si>
    <t>Nora 100%</t>
  </si>
  <si>
    <t>Corp. Comm. Kristine Skinner</t>
  </si>
  <si>
    <t>customer incentive packets</t>
  </si>
  <si>
    <t>employee training, mileage, travel</t>
  </si>
  <si>
    <t>Contracts; C+C, Pinkleg, Ungerboeck, Skyline</t>
  </si>
  <si>
    <t>outside labor- Aertotek- event staffing- Outside services booth fees, carpet, lighting &amp; one large scale market driven events</t>
  </si>
  <si>
    <t>PSE Van</t>
  </si>
  <si>
    <t>Res Energy Efficiency Information Gas</t>
  </si>
  <si>
    <t>Employee training, mileage, travel</t>
  </si>
  <si>
    <t>5a</t>
  </si>
  <si>
    <t>5b</t>
  </si>
  <si>
    <t>5c</t>
  </si>
  <si>
    <t>5d</t>
  </si>
  <si>
    <t>5e</t>
  </si>
  <si>
    <t>5f</t>
  </si>
  <si>
    <t>5g</t>
  </si>
  <si>
    <t>5h</t>
  </si>
  <si>
    <t>6a</t>
  </si>
  <si>
    <t>10a</t>
  </si>
  <si>
    <t>Total Savings
kWh</t>
  </si>
  <si>
    <t>32a</t>
  </si>
  <si>
    <t>32b</t>
  </si>
  <si>
    <t>32c</t>
  </si>
  <si>
    <t>32d</t>
  </si>
  <si>
    <t>33a</t>
  </si>
  <si>
    <t>33b</t>
  </si>
  <si>
    <t>Comments</t>
  </si>
  <si>
    <t>Total $ disagrees with 7/20 Exhibit 1</t>
  </si>
  <si>
    <t>Requested input from Syd 7/26</t>
  </si>
  <si>
    <t>Workbook Tab #</t>
  </si>
  <si>
    <t>Workbook Tab#</t>
  </si>
  <si>
    <t>Low Income Weatherization</t>
  </si>
  <si>
    <t>12a</t>
  </si>
  <si>
    <t>12b</t>
  </si>
  <si>
    <t>12c</t>
  </si>
  <si>
    <t>12d</t>
  </si>
  <si>
    <t>12e</t>
  </si>
  <si>
    <t>13a</t>
  </si>
  <si>
    <t>Gas Programs</t>
  </si>
  <si>
    <t>16a</t>
  </si>
  <si>
    <t>Total Savings
Therms</t>
  </si>
  <si>
    <t>37a</t>
  </si>
  <si>
    <t>37b</t>
  </si>
  <si>
    <t>37c</t>
  </si>
  <si>
    <t>37d</t>
  </si>
  <si>
    <t>38a</t>
  </si>
  <si>
    <t>38b</t>
  </si>
  <si>
    <t>EES Conservation Rider/Tracker Savings Goals and Budgets, 2012 - 2013</t>
  </si>
  <si>
    <t>Last revised:</t>
  </si>
  <si>
    <t>Schedule Nos.</t>
  </si>
  <si>
    <t>Program Name</t>
  </si>
  <si>
    <t>MWH Savings</t>
  </si>
  <si>
    <t>Electric Rider Budget</t>
  </si>
  <si>
    <t>Therm Savings</t>
  </si>
  <si>
    <t>Gas Tracker Budget</t>
  </si>
  <si>
    <t>Total Tariff Budget</t>
  </si>
  <si>
    <t>Single Family Existing     (Subtotal)</t>
  </si>
  <si>
    <t>Residential lighting</t>
  </si>
  <si>
    <t>Space heat</t>
  </si>
  <si>
    <t>Water heat</t>
  </si>
  <si>
    <t>-</t>
  </si>
  <si>
    <t>HomePrint</t>
  </si>
  <si>
    <t>Energy Star Clothes Washers</t>
  </si>
  <si>
    <t>Showerheads</t>
  </si>
  <si>
    <t>Weatherization</t>
  </si>
  <si>
    <t>Single Family New Construction</t>
  </si>
  <si>
    <t>Fuel Conversion</t>
  </si>
  <si>
    <t>Multi Family Existing</t>
  </si>
  <si>
    <t>Multi Family New Construction</t>
  </si>
  <si>
    <t>Pilots, excluding:</t>
  </si>
  <si>
    <t xml:space="preserve">Home Energy Reports </t>
  </si>
  <si>
    <t>Total, Residential Programs</t>
  </si>
  <si>
    <t>E250</t>
  </si>
  <si>
    <t>Commercial / Industrial Retrofit</t>
  </si>
  <si>
    <t xml:space="preserve">     Energy Smart Grocer</t>
  </si>
  <si>
    <t>Small Business Lighting Rebate</t>
  </si>
  <si>
    <t>Large Power User - Self Directed Program</t>
  </si>
  <si>
    <t>Energy Efficient Technology Evaluation</t>
  </si>
  <si>
    <t>Commercial Rebates</t>
  </si>
  <si>
    <t>Subtotal, Business Programs</t>
  </si>
  <si>
    <t>NW Energy Efficiency Alliance</t>
  </si>
  <si>
    <t>Subtotal, Regional Programs</t>
  </si>
  <si>
    <t>EES Portfolio Support</t>
  </si>
  <si>
    <t>Customer Engagement and Education</t>
  </si>
  <si>
    <t>Residential</t>
  </si>
  <si>
    <t>Energy Advisors</t>
  </si>
  <si>
    <t>Business</t>
  </si>
  <si>
    <t>Events</t>
  </si>
  <si>
    <t>Education</t>
  </si>
  <si>
    <t>EES Market Integration</t>
  </si>
  <si>
    <t>Online Tools</t>
  </si>
  <si>
    <t xml:space="preserve">Trade Ally Support </t>
  </si>
  <si>
    <t>Subtotal, Portfolio Support</t>
  </si>
  <si>
    <t>EES Research &amp; Compliance</t>
  </si>
  <si>
    <t>Subtotal, Research &amp; Compliance</t>
  </si>
  <si>
    <t>Total, Efficiency Programs Included in CE Calculations</t>
  </si>
  <si>
    <t>E150</t>
  </si>
  <si>
    <t>E248</t>
  </si>
  <si>
    <t>Renewables Education</t>
  </si>
  <si>
    <t>E249a</t>
  </si>
  <si>
    <t>Residential Demand Response Pilot</t>
  </si>
  <si>
    <t>Subtotal, Other Electric Programs</t>
  </si>
  <si>
    <t>GRAND TOTAL All EES Programs</t>
  </si>
  <si>
    <t>Please note that Schedules E200, G202, E206, G207, E/G260 and E/G270 are retired in 2012.</t>
  </si>
  <si>
    <t>2010-2011 original filing:</t>
  </si>
  <si>
    <t>Blue cells = use for 10% "info-only" calculation:</t>
  </si>
  <si>
    <t>Purple cells = use for 1 - 3% eval calculation:</t>
  </si>
  <si>
    <t>Web Development</t>
  </si>
  <si>
    <t>Online customer tools</t>
  </si>
  <si>
    <t>E-news</t>
  </si>
  <si>
    <t>Miscellaneous applications</t>
  </si>
  <si>
    <t>Web content, maintenance + analytics</t>
  </si>
  <si>
    <t xml:space="preserve">Enews </t>
  </si>
  <si>
    <t>Retired</t>
  </si>
  <si>
    <t>Create new#</t>
  </si>
  <si>
    <t>ENERGY STAR LED Outdoor Fixtures</t>
  </si>
  <si>
    <t>ENERGY STAR Storage Water Heater ( 0.94 EF +)</t>
  </si>
  <si>
    <t xml:space="preserve">Definition     </t>
  </si>
  <si>
    <t>This is the main level of tracking expenditures and expenses in EES.  Per FERC rules, all conservation order numbers start with a "1823nnnn", where "n" is some number.  Cost elements apply to all order numbers (for instance, all conservation programs that</t>
  </si>
  <si>
    <t>EES program staff labor. Average FTE cost including management assessments.</t>
  </si>
  <si>
    <t>Overhead--costs associated with employee benefits and other PSE overhead, including those charged to EES from other departments.</t>
  </si>
  <si>
    <t>Service and materials associated with the cost of printing brochures, marketing pieces, advertising, banners, etc.  Also includes marketing conducted by vendors and contractors.</t>
  </si>
  <si>
    <t>Costs associated with EES events, training, conferences,  business meals, business parking, ferry &amp; bridge tolls, etc.</t>
  </si>
  <si>
    <t>Contractors and vendors, such as PECI, Ecos, CostCo, EFI.  These costs do NOT include brochure development, marketing pieces, (which are classified under MARKETING).  These costs do NOT include incentives paid by contractors.</t>
  </si>
  <si>
    <t>Office equipment, tools, trade show equipment</t>
  </si>
  <si>
    <t>This includes lease/rent, association dues, subscriptions, memberships and expenses that don't fit into another category.</t>
  </si>
  <si>
    <t>All costs associated with rebates, grants, remuneration, value-added services.</t>
  </si>
  <si>
    <t>Any amount that PSE is paid by a customer, partner, municipality or outside entity.</t>
  </si>
  <si>
    <t>Cost Element Segment Definitions</t>
  </si>
  <si>
    <t>PLEASE NOTE:  The cost element (CE) groupings have been updated from the 2011 ACP to include more detailed descriptions of the account numbers (CE numbers) included in that group.  A detailed listing of the CE numbers is noted in the tab "CE List".  Adjusted description language is noted in red below.</t>
  </si>
  <si>
    <t>Cost Element</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</si>
  <si>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 Expenses include travel, meals, lodging, parking, etc. cost element numbers.</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</si>
  <si>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</si>
  <si>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</si>
  <si>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</si>
  <si>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t>Contractors and vendors, such as PECI, Ecos, CostCo, EFI.  Legal expenses, technical services (CMS design, PSE.com web portals, etc.).  These costs do NOT include brochure development, marketing pieces, (which are classified under MARKETING).  These costs do NOT include incentives paid by contractors.</t>
  </si>
  <si>
    <t xml:space="preserve"> tools, trade show equipment, </t>
  </si>
  <si>
    <r>
      <t xml:space="preserve">Revenue                  
 </t>
    </r>
    <r>
      <rPr>
        <sz val="8"/>
        <color indexed="9"/>
        <rFont val="Arial"/>
        <family val="2"/>
      </rPr>
      <t>(Enter as a negative)</t>
    </r>
  </si>
  <si>
    <t>EES program staff labor. Average FTE cost including management assessments.  This CE group includes assessments from Major Accounts management, Resource Planning,  Corporate Communications management, IT specialists and some building maintenance allocations.</t>
  </si>
  <si>
    <t>Also EES staff labor, associated specifically with Marketing functions.  Marketing allocates staffing according to program needs.</t>
  </si>
  <si>
    <t>Costs associated with EES staff attending events, employee training, conferences,  business meals, business parking, ferry &amp; bridge tolls, mileage incurred on employee automobiles, office supplies, subcription, software/hardware,etc.</t>
  </si>
  <si>
    <r>
      <t>This includes taxes, lease/rent, association dues, subscriptions, insurance, injury and damages costs, memberships, rent/lease, facilities services, postage, printing</t>
    </r>
    <r>
      <rPr>
        <strike/>
        <sz val="10"/>
        <color theme="1"/>
        <rFont val="Arial"/>
        <family val="2"/>
      </rPr>
      <t>.</t>
    </r>
    <r>
      <rPr>
        <sz val="10"/>
        <color theme="1"/>
        <rFont val="Arial"/>
        <family val="2"/>
      </rPr>
      <t xml:space="preserve">
PSE cost element # 62510000; Consumer Incentive Payments, is classified by the Accounting department as Miscellaneous.  However, it is one of the primarly elements of EES's Direct Benefit to Customer (DBtC).</t>
    </r>
  </si>
  <si>
    <t>Electric Program Repairs</t>
  </si>
  <si>
    <t xml:space="preserve">Order# </t>
  </si>
  <si>
    <t>1.78 FTE @ avg $115k/2012 w Assmts</t>
  </si>
  <si>
    <t>0.42 FTE @ 115k/2012 w Assmts</t>
  </si>
  <si>
    <t>2.0 - 1.76 gpm Showerheads - Any WH_Any Shower</t>
  </si>
  <si>
    <t>1.75 - 1.51 gpm Showerheads - Any WH_Any Shower</t>
  </si>
  <si>
    <t>1.50 and less Showerheads - Any WH_Any Shower</t>
  </si>
  <si>
    <t xml:space="preserve">APT Contract </t>
  </si>
  <si>
    <t>ENERGY STAR CFL Fixture- Indoor</t>
  </si>
  <si>
    <t xml:space="preserve">CFL Fixture SPIF </t>
  </si>
  <si>
    <t>Structure Air Sealing  (Attic &amp; Floor Stand-Alone)</t>
  </si>
  <si>
    <t>Structure Air Sealing  (Wall  Stand-Alone)</t>
  </si>
  <si>
    <t>Structure Air Sealing  (Attic &amp; Floor Blended Insulation)</t>
  </si>
  <si>
    <t>Arrow Air Sealing</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</si>
  <si>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</si>
  <si>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</si>
  <si>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</si>
  <si>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</si>
  <si>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</si>
  <si>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</si>
  <si>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</si>
  <si>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</si>
  <si>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</si>
  <si>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</si>
  <si>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T&amp;D</t>
  </si>
  <si>
    <t>Phase Balancing</t>
  </si>
  <si>
    <t>CVR</t>
  </si>
  <si>
    <t>RFP: Industrial Energy Management</t>
  </si>
  <si>
    <t>Structure Air Sealing</t>
  </si>
  <si>
    <t>Air Sealing &amp; Insulation</t>
  </si>
  <si>
    <t>Benchmarking updates</t>
  </si>
  <si>
    <t>Electric League</t>
  </si>
  <si>
    <t>CEE</t>
  </si>
  <si>
    <t>NEEC</t>
  </si>
  <si>
    <t>BOMA</t>
  </si>
  <si>
    <t>ESC - Energy Services Center</t>
  </si>
  <si>
    <t>Comml Lighting Mark Down Program</t>
  </si>
  <si>
    <t>Cx Light Pilot Program</t>
  </si>
  <si>
    <t>Cs Light Pilop Program</t>
  </si>
  <si>
    <t>e-news</t>
  </si>
  <si>
    <t>misc applications</t>
  </si>
  <si>
    <t>Structure Air Sealing  (Wall  Blow)</t>
  </si>
  <si>
    <t>3/8 FTE Program Manager</t>
  </si>
  <si>
    <t xml:space="preserve">    BEM Folder</t>
  </si>
  <si>
    <t xml:space="preserve">    BEM Phone Cards</t>
  </si>
  <si>
    <t xml:space="preserve">    BEM Overview Sheet</t>
  </si>
  <si>
    <t xml:space="preserve">    Case Studies</t>
  </si>
  <si>
    <t xml:space="preserve">    Misc Pieces</t>
  </si>
  <si>
    <t>Attic Insulation R-19 to R-49 - Average</t>
  </si>
  <si>
    <t>Prescriptive Duct Sealing and Insulation - Electric</t>
  </si>
  <si>
    <t>TV Turn-In - TV Decommission and Replacement</t>
  </si>
  <si>
    <t>TV Turn-In Decommission</t>
  </si>
  <si>
    <t>Attic Insulation R-19 to R-49 - Gas</t>
  </si>
  <si>
    <t>Prescriptive Duct Sealing and Insulation - Gas</t>
  </si>
  <si>
    <t>Angie Jones</t>
  </si>
  <si>
    <t>Ben Pelkey</t>
  </si>
  <si>
    <t>Danny Grady</t>
  </si>
  <si>
    <t>CJ Connor</t>
  </si>
  <si>
    <t>Wayne Ballew</t>
  </si>
  <si>
    <t>Ben Johnson</t>
  </si>
  <si>
    <t>CMS 18230498</t>
  </si>
  <si>
    <t>CMS 18230739</t>
  </si>
  <si>
    <t>employee training, travel expenses, mileage</t>
  </si>
  <si>
    <t>Hopelink:(ESL)- Energy Education workshops- 4 years</t>
  </si>
  <si>
    <t>Independent Colleges of Washington (ICW) 50 years</t>
  </si>
  <si>
    <t>Speakers Bureau; Develop employee education curriculum</t>
  </si>
  <si>
    <t>Misc. education printing</t>
  </si>
  <si>
    <t>2012 EES Conservation Rider/Tracker Savings Goals and Budgets</t>
  </si>
  <si>
    <t>Vacant (BEM)</t>
  </si>
  <si>
    <t>E26x</t>
  </si>
  <si>
    <t>Generation, Transmission, and Distribution</t>
  </si>
  <si>
    <t>Generation, Transmission and Distribution</t>
  </si>
  <si>
    <t>REM- Business office display; Call Center, Poster messaging, Employee EES campaign</t>
  </si>
  <si>
    <t xml:space="preserve">   BEM-West Coast Energy Management Conference(AEE)</t>
  </si>
  <si>
    <t xml:space="preserve">   BEM-Exhibits Update</t>
  </si>
  <si>
    <t xml:space="preserve">   BEM-Powerful Business Conference</t>
  </si>
  <si>
    <t xml:space="preserve">   BEM-Outreach-Brownbags &amp; Breakfast Meetings</t>
  </si>
  <si>
    <t xml:space="preserve">   BEM-Outreach- Misc Professional Associations: </t>
  </si>
  <si>
    <t xml:space="preserve">   BEM-Outreach- Misc Publications</t>
  </si>
  <si>
    <t>Stock Photography</t>
  </si>
  <si>
    <t>Custom Photography</t>
  </si>
  <si>
    <t xml:space="preserve">   Advertise- Misc Publications and Directories</t>
  </si>
  <si>
    <t xml:space="preserve">   REM- C+C, Pinkleg, Ungerboeck, Skyline</t>
  </si>
  <si>
    <t>REM- Info. Services Brochures</t>
  </si>
  <si>
    <r>
      <rPr>
        <b/>
        <strike/>
        <sz val="12"/>
        <color indexed="8"/>
        <rFont val="Calibri"/>
        <family val="2"/>
      </rPr>
      <t>Residential</t>
    </r>
    <r>
      <rPr>
        <b/>
        <sz val="12"/>
        <color indexed="8"/>
        <rFont val="Calibri"/>
        <family val="2"/>
      </rPr>
      <t xml:space="preserve"> Brochures Elect</t>
    </r>
  </si>
  <si>
    <r>
      <rPr>
        <b/>
        <strike/>
        <sz val="12"/>
        <color indexed="8"/>
        <rFont val="Calibri"/>
        <family val="2"/>
      </rPr>
      <t>Res</t>
    </r>
    <r>
      <rPr>
        <b/>
        <sz val="12"/>
        <color indexed="8"/>
        <rFont val="Calibri"/>
        <family val="2"/>
      </rPr>
      <t xml:space="preserve"> Energy Efficiency Events-- Elect</t>
    </r>
  </si>
  <si>
    <r>
      <t>Strategic Planning</t>
    </r>
    <r>
      <rPr>
        <strike/>
        <sz val="10"/>
        <color rgb="FFFF0000"/>
        <rFont val="Arial"/>
        <family val="2"/>
      </rPr>
      <t xml:space="preserve"> </t>
    </r>
  </si>
  <si>
    <t>Two-Year 2012-2013 Savings and Incentives (DBtC) for Programs Operated In-House</t>
  </si>
  <si>
    <t>Incentives (DBtC)</t>
  </si>
  <si>
    <t>Savings</t>
  </si>
  <si>
    <t>Incentives ($/UOM)</t>
  </si>
  <si>
    <t>2012 Percent Savings</t>
  </si>
  <si>
    <t>Notes on Savings and Incentives</t>
  </si>
  <si>
    <t>Program</t>
  </si>
  <si>
    <t>Electric (kWh)</t>
  </si>
  <si>
    <t>Gas (Therms)</t>
  </si>
  <si>
    <t>Electric ($/kWh)</t>
  </si>
  <si>
    <t>Gas ($/Therm)</t>
  </si>
  <si>
    <t>General</t>
  </si>
  <si>
    <t>Codes &amp; Standards</t>
  </si>
  <si>
    <t>C/I Retrofit Program Totals:</t>
  </si>
  <si>
    <t/>
  </si>
  <si>
    <t>E250/G205</t>
  </si>
  <si>
    <t>E/G 251</t>
  </si>
  <si>
    <t>C/I New Construction</t>
  </si>
  <si>
    <t>E253/G208</t>
  </si>
  <si>
    <t>Resource Conservation Manager (RCM)</t>
  </si>
  <si>
    <t>Codes &amp; Standards do not apply to behavioral measures implemented under the RCM program.  Program provides tools and assistance for customers to meet the new state and City of Seattle Benchmarking requirements (RCW 19.27A-190 and Ordinance 123226).</t>
  </si>
  <si>
    <t>Small Business Lighting Rebates</t>
  </si>
  <si>
    <t>HV Self Directed</t>
  </si>
  <si>
    <t>Commercial Rebate Program Totals:</t>
  </si>
  <si>
    <t>E/G 262</t>
  </si>
  <si>
    <t>Generation &amp; T&amp;D Efficiency Program</t>
  </si>
  <si>
    <t>The Multiparty Settlement Stipulation #47 study identified this potential energy efficiency improvement.  Savings based on EME walkthrough and PSE lighting calculation spreadsheet.</t>
  </si>
  <si>
    <t>The Multiparty Settlement Stipulation #47 study identified this potential energy efficiency improvement.  Savings based on EME walkthrough and regional compressed air savings tool.</t>
  </si>
  <si>
    <t>Savings based on replacing incandescent motor control indicator lights with LED lamps.</t>
  </si>
  <si>
    <t>The Multiparty Settlement Stipulation #47 study identified this potential energy efficiency improvement.  Savings assumed to be similar to other sites.</t>
  </si>
  <si>
    <t>Transmission and Distribution</t>
  </si>
  <si>
    <t>Savings based on 2005 study and 3.5% loss savings.</t>
  </si>
  <si>
    <t>Savings based on 2% kWh savings per 3 volt circuit reduction.  The average voltage reduction for the circuits in the proposed substations is assumed to range between 2 and 3 volts.</t>
  </si>
  <si>
    <t>Two-Year 2012-2013 Savings and Costs for Contracted Programs</t>
  </si>
  <si>
    <t>Administrative</t>
  </si>
  <si>
    <t>Incentives</t>
  </si>
  <si>
    <t>Admin</t>
  </si>
  <si>
    <t>Mainstreaming Green (Subtotal)</t>
  </si>
  <si>
    <t>HER program costs excluded from "info-only" calculation because savings will be measured.</t>
  </si>
  <si>
    <r>
      <rPr>
        <sz val="10"/>
        <color indexed="30"/>
        <rFont val="Arial"/>
        <family val="2"/>
      </rPr>
      <t>BLUE</t>
    </r>
    <r>
      <rPr>
        <sz val="10"/>
        <color theme="1"/>
        <rFont val="Arial"/>
        <family val="2"/>
      </rPr>
      <t xml:space="preserve"> print represents a former Support Activity budget amount.</t>
    </r>
  </si>
  <si>
    <t>71.0 aMW</t>
  </si>
  <si>
    <t>e-news ($3,000 for BEM)</t>
  </si>
  <si>
    <t>Journal Entry Transfer Credit</t>
  </si>
  <si>
    <t>Net Labor (EES, Maj Accts, CSY)</t>
  </si>
  <si>
    <t>Note:  Program operating costs equal to 7.5% of Sch 120 collections for Rate Sch 449/459 customers are trabsferred</t>
  </si>
  <si>
    <t>by journal entry transfer credit to E250 C/I Retrofit #18230711 &amp; debit to E258 Self-Directed Order #18230729</t>
  </si>
  <si>
    <t>Journal Entry Transfer Credit (See Labor Note Above)</t>
  </si>
  <si>
    <t>Net Overhead</t>
  </si>
  <si>
    <t>Net Labor - EES Staff</t>
  </si>
  <si>
    <t>Journal Entry Transfer Credit - 2-Year Amount (See Labor Note)</t>
  </si>
  <si>
    <t>Sch 250 to Sch 258 Journal Transfer Amt:</t>
  </si>
  <si>
    <t>EES Labor Adjustment:</t>
  </si>
  <si>
    <t>Overhead Adjustment:</t>
  </si>
  <si>
    <t>Journal Entry Transfer (7.5% of Sch 120 Collections)</t>
  </si>
  <si>
    <t>Overhead (See Labor Note Above)</t>
  </si>
  <si>
    <t>Journal Entry Transfer Debit - 2-Year Amount (See Labor Note)</t>
  </si>
  <si>
    <t xml:space="preserve">An existing ESG contract is in effect for the 2012 - 2013 program years. Market saturation is expected to reduce energy savings in 2013.  </t>
  </si>
  <si>
    <t>RFP: Data Centers</t>
  </si>
  <si>
    <t>Pre Rinse Low Flow Spray Head &amp; Aerator</t>
  </si>
  <si>
    <t>RFP:  Outreach - Small Business Direct Install</t>
  </si>
  <si>
    <t xml:space="preserve">     Other Departments' Labor</t>
  </si>
  <si>
    <t>Total Labor</t>
  </si>
  <si>
    <t>Labor - Other Departments</t>
  </si>
  <si>
    <t>NEEA contracted payments</t>
  </si>
  <si>
    <t>kWh Savings Estimates</t>
  </si>
  <si>
    <r>
      <rPr>
        <b/>
        <strike/>
        <sz val="12"/>
        <color rgb="FFFF0000"/>
        <rFont val="Calibri"/>
        <family val="2"/>
      </rPr>
      <t>Residential</t>
    </r>
    <r>
      <rPr>
        <b/>
        <sz val="12"/>
        <color indexed="8"/>
        <rFont val="Calibri"/>
        <family val="2"/>
      </rPr>
      <t xml:space="preserve"> Brochures Elect</t>
    </r>
  </si>
  <si>
    <t>Rename to Energy Education</t>
  </si>
  <si>
    <r>
      <rPr>
        <b/>
        <strike/>
        <sz val="12"/>
        <color rgb="FFFF0000"/>
        <rFont val="Calibri"/>
        <family val="2"/>
      </rPr>
      <t xml:space="preserve">Powerful Choices  Elect </t>
    </r>
    <r>
      <rPr>
        <b/>
        <sz val="12"/>
        <color indexed="8"/>
        <rFont val="Calibri"/>
        <family val="2"/>
      </rPr>
      <t xml:space="preserve">                          </t>
    </r>
  </si>
  <si>
    <t>(Retired)</t>
  </si>
  <si>
    <t>(new)</t>
  </si>
  <si>
    <r>
      <rPr>
        <b/>
        <strike/>
        <sz val="12"/>
        <color rgb="FFFF0000"/>
        <rFont val="Calibri"/>
        <family val="2"/>
      </rPr>
      <t xml:space="preserve">Res </t>
    </r>
    <r>
      <rPr>
        <b/>
        <sz val="12"/>
        <color indexed="8"/>
        <rFont val="Calibri"/>
        <family val="2"/>
      </rPr>
      <t>Energy Efficiency Events-- Gas</t>
    </r>
  </si>
  <si>
    <r>
      <rPr>
        <b/>
        <strike/>
        <sz val="12"/>
        <color rgb="FFFF0000"/>
        <rFont val="Calibri"/>
        <family val="2"/>
      </rPr>
      <t>Residential</t>
    </r>
    <r>
      <rPr>
        <b/>
        <sz val="12"/>
        <color indexed="8"/>
        <rFont val="Calibri"/>
        <family val="2"/>
      </rPr>
      <t xml:space="preserve"> Brochures Gas</t>
    </r>
  </si>
  <si>
    <r>
      <rPr>
        <b/>
        <strike/>
        <sz val="12"/>
        <color rgb="FFFF0000"/>
        <rFont val="Calibri"/>
        <family val="2"/>
      </rPr>
      <t>Residential</t>
    </r>
    <r>
      <rPr>
        <b/>
        <sz val="12"/>
        <color rgb="FFFF0000"/>
        <rFont val="Calibri"/>
        <family val="2"/>
      </rPr>
      <t xml:space="preserve"> </t>
    </r>
    <r>
      <rPr>
        <b/>
        <sz val="12"/>
        <color indexed="8"/>
        <rFont val="Calibri"/>
        <family val="2"/>
      </rPr>
      <t>Brochures Gas</t>
    </r>
  </si>
  <si>
    <t>Rename; Energy Education</t>
  </si>
  <si>
    <r>
      <rPr>
        <b/>
        <strike/>
        <sz val="12"/>
        <color rgb="FFFF0000"/>
        <rFont val="Calibri"/>
        <family val="2"/>
      </rPr>
      <t>Powerful Choices</t>
    </r>
    <r>
      <rPr>
        <b/>
        <sz val="12"/>
        <color indexed="8"/>
        <rFont val="Calibri"/>
        <family val="2"/>
      </rPr>
      <t xml:space="preserve"> Gas</t>
    </r>
  </si>
  <si>
    <t>No longer a pilot</t>
  </si>
  <si>
    <t>need new order#</t>
  </si>
  <si>
    <t>(Title pg)</t>
  </si>
  <si>
    <r>
      <t xml:space="preserve">Order Number
</t>
    </r>
    <r>
      <rPr>
        <sz val="8"/>
        <color theme="1"/>
        <rFont val="Arial"/>
        <family val="2"/>
      </rPr>
      <t>(Click on the order# below to link to the detail page)</t>
    </r>
  </si>
  <si>
    <t>Estimated Sch 120 Collections:</t>
  </si>
  <si>
    <t>10% of Sch 120 Collections:</t>
  </si>
  <si>
    <t>NOTE:</t>
  </si>
  <si>
    <t>Capital Cost not Included Above =</t>
  </si>
  <si>
    <t>Total Cost (Program Exp + Capital) =</t>
  </si>
  <si>
    <t>12f</t>
  </si>
  <si>
    <t>Savings Only</t>
  </si>
  <si>
    <t>Residential Home Appliances--Gas Savings</t>
  </si>
  <si>
    <t>18230432--Gas</t>
  </si>
  <si>
    <t>This sheet represents gas savings from installation of appliances</t>
  </si>
  <si>
    <t>Commercial Water Heat</t>
  </si>
  <si>
    <t>Custom Measures</t>
  </si>
  <si>
    <t xml:space="preserve">Incentive increased to include enhanced lighting @ $.30/kWh. 2012 participation/savings will be in line w/ 2011; 2013 will experience an estimated 17% reduction in savings as T-12 retrofit contribution goes away. Regional T12 lighting retrofit incentives </t>
  </si>
  <si>
    <t xml:space="preserve">Per Energy Independence and Security Act (EISA) of 2007, effective July 14, 2012, linear fluorescent lamps must meet more stringent efficacy standards significantly limiting T12 lamp purchase options. This will diminsh lighting program savings achievable </t>
  </si>
  <si>
    <t>Custom grants continue at current 2011 levels (up to $0.30/kWh &amp; $5/therm annual savings) for industrial measures consisting of process, non-comfort HVAC, and peripheral systems.</t>
  </si>
  <si>
    <t>Energy codes not directly applicable to most industrial/process systems, hence limited direct impact. ISO Standard 50001 may begin to influence participation.</t>
  </si>
  <si>
    <t>Incentive payments and savings based on current contracts in place that will be completed in 2012-2013 + forecasted growth in program participation.</t>
  </si>
  <si>
    <t>Energy code impacts negligible in 2012-2013 since savings comes from maintenance and operational changes in existing buildings, not from equipment replacement.</t>
  </si>
  <si>
    <t>Category includes all custom grant projects not classified as Lighting, Industrial or BEOP. Custom grants continue at current 2011 levels (up to $0.30/kWh &amp; $5/therm annual savings). ARRA/OSPI stimulus funding continues to impact program performance in 20</t>
  </si>
  <si>
    <t xml:space="preserve">Program supports retrofit of existing equipment. 2009 WSEC and other efficiency standards have limited impact on retrofit measures/savings. </t>
  </si>
  <si>
    <t xml:space="preserve">Approximately 4.5 million kWh and 145,000 therms projected for projects with 2012 completion dates. Fewer projects on horizon for 2013. Incentives will be returned to 100% of incremental cost to encourage continued efforts to exceed code minimum reqmt's. </t>
  </si>
  <si>
    <t>The more stringent 2009 WSEC baseline has limited program's offerings and savings potential compared to prior years.</t>
  </si>
  <si>
    <t>Savings targets are based on performance expectations for existing RCM customers, plus additional savings from estimated recruitment of four new customers per year.</t>
  </si>
  <si>
    <t>2012 program performance to exceed 2013 as customers and contractors realize that the opportunity to upgrade T12 lighting with utility company incentives is will be terminating due to EISA standards. Program will be sustained through offering incentives f</t>
  </si>
  <si>
    <t>EISA Standards will go into effect January 1, 2012 to lower the maximum wattage from typical current incandescent lamp Wattage 100 to maximum wattage of 72.  On January 1, 2013, the maximum wattage from typical incandescent of 75 will lower to a maximum r</t>
  </si>
  <si>
    <t>Majority of projects completed in 2012 and 2013 are expected to be in the non-competitive phase.  Average incentive for non-competitive projects in previous cycle was $0.243/kWh.  PSE assumes a higher average incentive of $0.28/kWh for non-competitive pro</t>
  </si>
  <si>
    <t>Program supports retrofit of existing equipment. 2009 WSEC and other efficiency standards have limited impact on retrofit measures/savings. Large portion of program participants are industrial sector w/ projects focusing on process improvements not subjec</t>
  </si>
  <si>
    <t>Program was updated in 2011 to utilize RTF provisional savings of 115 kWh/desktop. Will continue to use these savings moving forward into 2012 with participation levels remaining consistent.</t>
  </si>
  <si>
    <t>No anticipated impacts of code or efficiency standards on program performance anticipated in 2012-2013.</t>
  </si>
  <si>
    <t>Program performance anticipated to remain consistent with 2011 in 2012 &amp; 2013 with limited new construction participation due to continuation of economic downturn. Will continue to monitor variable refrigerant flow zoning (VRFZ) system maturation and duct</t>
  </si>
  <si>
    <t>Market is becoming saturated &amp; participation anticipated to continue decline.</t>
  </si>
  <si>
    <t>Code requirement to remain 7-day control. The 360-day programmable thermostat funded by this program will continue to provide consistent energy savings.</t>
  </si>
  <si>
    <t>Measure required by WSEC 2009 for new construction &amp; tenant improvements. Anticipate limited program participation for energy efficiency retrofits.</t>
  </si>
  <si>
    <t>Enactment of WSEC 2009 has made measure a code requirement for new construction &amp; code-triggering TIs, reducing size of this program in 2012-2013.</t>
  </si>
  <si>
    <t>New construction opportunities are limited due to more stringent energy code requirements (WSEC 2009) and slowed construction due to economic conditions. However, program performance will be maintained via increased savings opportunities from innovative f</t>
  </si>
  <si>
    <t>Enactment of WSEC 2009 has made code requirement for many motors in new construction &amp; tenant improvements.</t>
  </si>
  <si>
    <t>Contractor participation forecasted to continue growth as result of new measures (LEDs and low-wattage T8s) being added to the program in mid-2011.</t>
  </si>
  <si>
    <t>Continue to encourage participants to include these rebates in Retrofit and New Construction projects in 2012.  Integral LED's are expected to increase in popularity as prices decrease and when code/standards changes drive more efficient options.</t>
  </si>
  <si>
    <t>Program marketing efforts focused on smaller chain/franchised hospitality customers required for forecasted program performance. No changes anticipated to existing incentive structures.</t>
  </si>
  <si>
    <t>No anticipated impacts of code or efficiency standards on program performance anticipated in 2012-2013 as this program predominately supports retrofit activities.</t>
  </si>
  <si>
    <t>Most municipalities have already converted to LED traffic signals, and most of the remaining signals suitable for conversion are expected to be upgraded in 2012 under economic stimulus programs.</t>
  </si>
  <si>
    <t>The program serves retrofit applications only, since LED traffic signals are required by code for new installations.  The program encourages early conversions since replacement incandescent lamps are still available.</t>
  </si>
  <si>
    <t>Commercial Kitchen Equipment</t>
  </si>
  <si>
    <t>Modest growth in program will result though trade ally and point-of-sale marketing efforts incorporating new vendors, addition of new incented equipment, and higher program awareness. Increasing code efficiency requirements, particularly within the city o</t>
  </si>
  <si>
    <t>City of Seattle code requirements become more stringent for several pieces of equipment, requiring adaptation of program for various code requirements within PSE service area.</t>
  </si>
  <si>
    <t>Commercial Washer/Dryer Rebate</t>
  </si>
  <si>
    <t>2012-2013 program incentives remain consistent. Particiaption will be limited due to impacts of economy on this market sector.</t>
  </si>
  <si>
    <t>No code impacts anticipated on equipment funded under this program.</t>
  </si>
  <si>
    <t>Program participation expected to continue near the 2010-2011 level.</t>
  </si>
  <si>
    <t>Additional feasibility analysis required.
Savings potential estimated at 7,000 kWh/yr savings.</t>
  </si>
  <si>
    <t>Codes &amp; Standards Impacts</t>
  </si>
  <si>
    <t xml:space="preserve">Program retrofits existing equipment (primarily refrigeration), therefore minimal impacts in 12-13. Energy code not applicable to some measures.  Where applicable, installed measures shall meet code.  </t>
  </si>
  <si>
    <t>2012-2013 RFP: Building Tune-Up and Tracking</t>
  </si>
  <si>
    <t>Program operation will extend into 2014 for 6 &amp; 12 month diagnostics/close-out. Claimed savings per measured 6 &amp; 12 month actual usage. 2012 includes program dev. and recruitment. Savings realization begins 2013. See EXHIBIT D "Measure Metrics Summary" in</t>
  </si>
  <si>
    <t>Legislated state and City of Seattle benchmarking requirements (RCW 19.27A-190 and Ordinance 123226) anticipated to drive customer awareness of building EUIs. Anticipate this program will leverage compliance requirements in participant recruitment.</t>
  </si>
  <si>
    <t>2012-2013 RFP: Industrial Systems Optimization</t>
  </si>
  <si>
    <t>Target 21 project sites; average 20 "action items" implemented per site. Improvements focus on refrigeration, compressed air, pumps, fans, lighting &amp; process-specific measures. See EXHIBIT D "Measure Metrics Summary" in contractor proposal for details.</t>
  </si>
  <si>
    <t>NWFPA Energy Roadmap is driving food processors toward a 25% in 10 yr energy reduction goal. ISO 50001 will drive energy management at industrial facilities. Leveraging these initiatives/standards will support participant recruitment.</t>
  </si>
  <si>
    <t>Target 40 server rooms (localized, mid-tier data centers &gt; 1500 sqft). Measures: Lighting, VSDs, Server Virtualization, Hot/Cold Aisle Containment, Power Dist Equip, Chiller Efficiency Economizers, HVAC system separation. See EXHIBIT D "Measure Metrics Su</t>
  </si>
  <si>
    <t xml:space="preserve">Program retrofits existing equipment, therefore minimal impacts in 12-13. Energy code not applicable to some measures.  Where applicable, installed measures shall meet code.  </t>
  </si>
  <si>
    <t>Updated building energy simulations to quantify savings completed in 2011, resulting in reduced claimed savings moving forward to 2012-2013 (particularly) gas measures. Program procedures streamlined to sustain program participation rates.</t>
  </si>
  <si>
    <t>Operational efficiency improvements to existing HVAC equipment, thus code changes do not impact savings/participation.</t>
  </si>
  <si>
    <t>Direct install program. Cost of installation included in "Incentives" column as it is a direct benefit to the customer.</t>
  </si>
  <si>
    <t>Code requirement is 1.6 GPM for pre-rinse spray heads. Previous program cycles have installed 2.6 GPM, 2.2 GPM, 1.6 GPM &amp; 1.0 GPM units. This program will install 0.6 GPM pre-rinse spray heads + 0.5 GPM aerators at all appropriate faucets.</t>
  </si>
  <si>
    <t>PSE supports Green Motor Initiative (GMI) implemented by The Green Motors Practices Group throughout US &amp; Canada. GREEN REWIND of 15-5000 hp motors receive $2/hp incentive ($1/hp passed along to customer on rewind shop invoice).</t>
  </si>
  <si>
    <t>Federal standards have eliminated cost-effective incremental efficiency improvements for motors. This program addresses existing motors that are rewound (vs replaced) w/ steady program participation anticipated.</t>
  </si>
  <si>
    <t>Taget's PSE's Sch 24 customers. Estimate 40,000 candidates for program with 10% penetration achievable in 2012-13 (4000 audits). Anticipate 2800 installations focusing on lighting, HVAC tune-ups, refrigeration, low-flow devices, weatherization.See EXHIBIT</t>
  </si>
  <si>
    <t>Limited impacts. Anticipate continuing community efforts to be "green" and "sustainable" to drive participation in this program by small businesses.</t>
  </si>
  <si>
    <t>Contract proposal is for 5000 units w/ 1160 kWh savings per unit per PECI Energy Smart deemed savings. Will monitor initial installations (approx 30) to measure actual savings. Estimate 4 million kWh savings completed in 2012 &amp; 2013 program years.</t>
  </si>
  <si>
    <t>No codes/standards impact on this program.</t>
  </si>
  <si>
    <t>Outside labor-Aerotek-event booths</t>
  </si>
  <si>
    <r>
      <rPr>
        <b/>
        <strike/>
        <sz val="12"/>
        <color indexed="8"/>
        <rFont val="Calibri"/>
        <family val="2"/>
      </rPr>
      <t>Res</t>
    </r>
    <r>
      <rPr>
        <b/>
        <sz val="12"/>
        <color indexed="8"/>
        <rFont val="Calibri"/>
        <family val="2"/>
      </rPr>
      <t xml:space="preserve"> Energy Efficiency </t>
    </r>
    <r>
      <rPr>
        <b/>
        <strike/>
        <sz val="12"/>
        <color indexed="8"/>
        <rFont val="Calibri"/>
        <family val="2"/>
      </rPr>
      <t>Information</t>
    </r>
    <r>
      <rPr>
        <b/>
        <sz val="12"/>
        <color indexed="8"/>
        <rFont val="Calibri"/>
        <family val="2"/>
      </rPr>
      <t xml:space="preserve"> Elect</t>
    </r>
  </si>
  <si>
    <t>Do not input to this range of cells!</t>
  </si>
  <si>
    <r>
      <rPr>
        <sz val="12"/>
        <color theme="1"/>
        <rFont val="Calibri"/>
        <family val="2"/>
        <scheme val="minor"/>
      </rPr>
      <t xml:space="preserve">rename: </t>
    </r>
    <r>
      <rPr>
        <b/>
        <sz val="12"/>
        <color theme="1"/>
        <rFont val="Calibri"/>
        <family val="2"/>
        <scheme val="minor"/>
      </rPr>
      <t>Events</t>
    </r>
  </si>
  <si>
    <t>Consultant work</t>
  </si>
  <si>
    <t>Conservation Marketing Research</t>
  </si>
  <si>
    <r>
      <rPr>
        <b/>
        <strike/>
        <sz val="12"/>
        <color indexed="8"/>
        <rFont val="Calibri"/>
        <family val="2"/>
      </rPr>
      <t>Powerful Choices</t>
    </r>
    <r>
      <rPr>
        <b/>
        <sz val="12"/>
        <color indexed="8"/>
        <rFont val="Calibri"/>
        <family val="2"/>
      </rPr>
      <t xml:space="preserve"> Gas</t>
    </r>
  </si>
  <si>
    <t>(Formerly Local Infrastructure &amp; Market Integration)</t>
  </si>
  <si>
    <t>Detailed in Evaluation plan</t>
  </si>
  <si>
    <t>Details outlined in Evaluation plan</t>
  </si>
  <si>
    <t>New Schedule # ("26n") TBD</t>
  </si>
  <si>
    <t>payments of $1,315,160</t>
  </si>
  <si>
    <t>per quarter includes</t>
  </si>
  <si>
    <t>proceeds collected from</t>
  </si>
  <si>
    <t>Sched 258 customers.</t>
  </si>
  <si>
    <t>NEEA</t>
  </si>
  <si>
    <t xml:space="preserve">     10% of Sch 120 Rider Collections (2012-2013)</t>
  </si>
  <si>
    <t>Sch 120 Collections passed through to NEEA Budget</t>
  </si>
  <si>
    <t>Sch 250/258 JE Amount (7.5% of collections):</t>
  </si>
  <si>
    <t>10% NEEA Contribution Calculation</t>
  </si>
  <si>
    <t>E271</t>
  </si>
  <si>
    <t xml:space="preserve">C/I Load Control </t>
  </si>
  <si>
    <t>Showerhead (1.5 GPM)</t>
  </si>
  <si>
    <t>LED Fixtures-MF</t>
  </si>
  <si>
    <t>LED Fixtures-SF</t>
  </si>
  <si>
    <t>LED Fixtures-MH</t>
  </si>
  <si>
    <t>RISE Wx Innovation Project</t>
  </si>
  <si>
    <t>RISE WX Project</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</si>
</sst>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quot;$&quot;#,##0.000"/>
    <numFmt numFmtId="174" formatCode="#,###\ &quot;therms&quot;"/>
    <numFmt numFmtId="175" formatCode="General\ &quot;thms/unit&quot;"/>
    <numFmt numFmtId="176" formatCode="0.0"/>
    <numFmt numFmtId="177" formatCode="#,###\ &quot;kWh/yr&quot;"/>
    <numFmt numFmtId="178" formatCode="#,###\ &quot;Therms/yr&quot;"/>
    <numFmt numFmtId="179" formatCode="#,##0.0000"/>
    <numFmt numFmtId="180" formatCode="0.0000"/>
    <numFmt numFmtId="181" formatCode="_(&quot;$&quot;* #,##0_);_(&quot;$&quot;* \(#,##0\);_(&quot;$&quot;* &quot;-&quot;?_);_(@_)"/>
    <numFmt numFmtId="182" formatCode="#,###.0\ &quot;aMW&quot;"/>
    <numFmt numFmtId="183" formatCode="[$-F800]dddd\,\ mmmm\ dd\,\ yyyy"/>
    <numFmt numFmtId="184" formatCode="[$-409]m/d/yy\ h:mm\ AM/PM;@"/>
    <numFmt numFmtId="185" formatCode="##.0\ &quot;FTEs&quot;"/>
    <numFmt numFmtId="186" formatCode="###.0\ &quot;aMW&quot;"/>
    <numFmt numFmtId="187" formatCode="_(&quot;$&quot;* #,##0.0_);_(&quot;$&quot;* \(#,##0.0\);_(&quot;$&quot;* &quot;-&quot;??_);_(@_)"/>
    <numFmt numFmtId="188" formatCode="_(&quot;$&quot;* #,##0.000_);_(&quot;$&quot;* \(#,##0.000\);_(&quot;$&quot;* &quot;-&quot;??_);_(@_)"/>
    <numFmt numFmtId="189" formatCode="#,##0.000"/>
  </numFmts>
  <fonts count="135" x14ac:knownFonts="1">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sz val="10"/>
      <color rgb="FFFF0000"/>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i/>
      <sz val="10"/>
      <name val="Arial"/>
      <family val="2"/>
    </font>
    <font>
      <sz val="10"/>
      <color indexed="8"/>
      <name val="Tahoma"/>
      <family val="2"/>
    </font>
    <font>
      <b/>
      <sz val="10"/>
      <name val="Arial"/>
      <family val="2"/>
    </font>
    <font>
      <b/>
      <sz val="12"/>
      <name val="Arial"/>
      <family val="2"/>
    </font>
    <font>
      <i/>
      <sz val="12"/>
      <color indexed="10"/>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8"/>
      <color indexed="10"/>
      <name val="Calibri"/>
      <family val="2"/>
    </font>
    <font>
      <sz val="9"/>
      <name val="Arial"/>
      <family val="2"/>
    </font>
    <font>
      <i/>
      <sz val="10"/>
      <color indexed="8"/>
      <name val="Calibri"/>
      <family val="2"/>
    </font>
    <font>
      <sz val="9"/>
      <color indexed="8"/>
      <name val="Courier New"/>
      <family val="3"/>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b/>
      <sz val="10"/>
      <color indexed="8"/>
      <name val="Tahoma"/>
      <family val="2"/>
    </font>
    <font>
      <sz val="10"/>
      <color indexed="8"/>
      <name val="Arial"/>
      <family val="2"/>
    </font>
    <font>
      <b/>
      <sz val="16"/>
      <color rgb="FFFF0000"/>
      <name val="Tahoma"/>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sz val="10"/>
      <color indexed="30"/>
      <name val="Arial"/>
      <family val="2"/>
    </font>
    <font>
      <i/>
      <sz val="9"/>
      <name val="Arial"/>
      <family val="2"/>
    </font>
    <font>
      <strike/>
      <sz val="10"/>
      <color theme="1"/>
      <name val="Arial"/>
      <family val="2"/>
    </font>
    <font>
      <sz val="10"/>
      <color rgb="FF0070C0"/>
      <name val="Arial"/>
      <family val="2"/>
    </font>
    <font>
      <sz val="12"/>
      <color rgb="FF0070C0"/>
      <name val="Arial"/>
      <family val="2"/>
    </font>
    <font>
      <b/>
      <sz val="12"/>
      <color rgb="FF0070C0"/>
      <name val="Arial"/>
      <family val="2"/>
    </font>
    <font>
      <b/>
      <sz val="10"/>
      <color rgb="FFFF0000"/>
      <name val="Arial"/>
      <family val="2"/>
    </font>
    <font>
      <strike/>
      <sz val="10"/>
      <color rgb="FFFF0000"/>
      <name val="Arial"/>
      <family val="2"/>
    </font>
    <font>
      <i/>
      <sz val="9"/>
      <color theme="1"/>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53"/>
      <name val="Arial"/>
      <family val="2"/>
    </font>
    <font>
      <b/>
      <sz val="12"/>
      <color indexed="20"/>
      <name val="Arial"/>
      <family val="2"/>
    </font>
    <font>
      <sz val="8"/>
      <color indexed="9"/>
      <name val="Arial"/>
      <family val="2"/>
    </font>
    <font>
      <sz val="10"/>
      <color theme="1"/>
      <name val="Calibri"/>
      <family val="2"/>
    </font>
    <font>
      <b/>
      <sz val="10"/>
      <color indexed="18"/>
      <name val="Tahoma"/>
      <family val="2"/>
    </font>
    <font>
      <sz val="10"/>
      <name val="Arial"/>
      <family val="2"/>
    </font>
    <font>
      <b/>
      <u/>
      <sz val="12"/>
      <color theme="10"/>
      <name val="Arial"/>
      <family val="2"/>
    </font>
    <font>
      <sz val="10"/>
      <name val="Tahoma"/>
      <family val="2"/>
    </font>
    <font>
      <b/>
      <sz val="10"/>
      <name val="Tahoma"/>
      <family val="2"/>
    </font>
    <font>
      <sz val="9"/>
      <color indexed="8"/>
      <name val="Calibri"/>
      <family val="2"/>
    </font>
    <font>
      <b/>
      <strike/>
      <sz val="12"/>
      <color indexed="8"/>
      <name val="Calibri"/>
      <family val="2"/>
    </font>
    <font>
      <b/>
      <sz val="12"/>
      <color indexed="61"/>
      <name val="Arial"/>
      <family val="2"/>
    </font>
    <font>
      <i/>
      <sz val="9"/>
      <color indexed="8"/>
      <name val="Arial"/>
      <family val="2"/>
    </font>
    <font>
      <i/>
      <strike/>
      <sz val="9"/>
      <color rgb="FFFF0000"/>
      <name val="Arial"/>
      <family val="2"/>
    </font>
    <font>
      <sz val="10"/>
      <name val="Tahoma"/>
      <family val="2"/>
    </font>
    <font>
      <u/>
      <sz val="10"/>
      <name val="Tahoma"/>
      <family val="2"/>
    </font>
    <font>
      <sz val="10"/>
      <name val="Arial"/>
      <family val="2"/>
    </font>
    <font>
      <b/>
      <sz val="10"/>
      <name val="Arial"/>
      <family val="2"/>
    </font>
    <font>
      <b/>
      <sz val="10"/>
      <color indexed="8"/>
      <name val="Arial"/>
      <family val="2"/>
    </font>
    <font>
      <sz val="10"/>
      <color indexed="8"/>
      <name val="Arial"/>
      <family val="2"/>
    </font>
    <font>
      <b/>
      <sz val="10"/>
      <color theme="1"/>
      <name val="Calibri"/>
      <family val="2"/>
    </font>
    <font>
      <b/>
      <strike/>
      <sz val="12"/>
      <color rgb="FFFF0000"/>
      <name val="Calibri"/>
      <family val="2"/>
    </font>
    <font>
      <b/>
      <sz val="12"/>
      <color rgb="FFFF0000"/>
      <name val="Calibri"/>
      <family val="2"/>
    </font>
    <font>
      <u/>
      <sz val="12"/>
      <color theme="10"/>
      <name val="Calibri"/>
      <family val="2"/>
    </font>
    <font>
      <i/>
      <sz val="10"/>
      <color theme="1"/>
      <name val="Arial"/>
      <family val="2"/>
    </font>
    <font>
      <sz val="10"/>
      <color indexed="8"/>
      <name val="Calibri"/>
      <family val="2"/>
    </font>
    <font>
      <sz val="9"/>
      <color theme="1"/>
      <name val="Arial"/>
      <family val="2"/>
    </font>
    <font>
      <b/>
      <strike/>
      <sz val="12"/>
      <color indexed="8"/>
      <name val="Arial"/>
      <family val="2"/>
    </font>
    <font>
      <b/>
      <sz val="12"/>
      <color theme="1"/>
      <name val="Calibri"/>
      <family val="2"/>
      <scheme val="minor"/>
    </font>
    <font>
      <sz val="12"/>
      <color theme="1"/>
      <name val="Calibri"/>
      <family val="2"/>
      <scheme val="minor"/>
    </font>
    <font>
      <strike/>
      <sz val="12"/>
      <color rgb="FFFF0000"/>
      <name val="Arial"/>
      <family val="2"/>
    </font>
    <font>
      <strike/>
      <sz val="12"/>
      <name val="Arial"/>
      <family val="2"/>
    </font>
  </fonts>
  <fills count="48">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52"/>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30"/>
        <bgColor indexed="64"/>
      </patternFill>
    </fill>
    <fill>
      <patternFill patternType="solid">
        <fgColor indexed="46"/>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theme="0" tint="-0.249977111117893"/>
        <bgColor indexed="64"/>
      </patternFill>
    </fill>
    <fill>
      <patternFill patternType="solid">
        <fgColor indexed="29"/>
        <bgColor indexed="64"/>
      </patternFill>
    </fill>
    <fill>
      <patternFill patternType="solid">
        <fgColor rgb="FF83AFB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34998626667073579"/>
        <bgColor indexed="64"/>
      </patternFill>
    </fill>
  </fills>
  <borders count="124">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22"/>
      </left>
      <right style="medium">
        <color indexed="22"/>
      </right>
      <top style="medium">
        <color indexed="22"/>
      </top>
      <bottom style="medium">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bottom style="medium">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thin">
        <color indexed="64"/>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style="double">
        <color auto="1"/>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s>
  <cellStyleXfs count="216">
    <xf numFmtId="0" fontId="0" fillId="0" borderId="0"/>
    <xf numFmtId="44" fontId="6" fillId="0" borderId="0" applyFont="0" applyFill="0" applyBorder="0" applyAlignment="0" applyProtection="0"/>
    <xf numFmtId="0" fontId="13" fillId="0" borderId="0"/>
    <xf numFmtId="0" fontId="16" fillId="0" borderId="0"/>
    <xf numFmtId="9" fontId="16" fillId="0" borderId="0" applyFont="0" applyFill="0" applyBorder="0" applyAlignment="0" applyProtection="0"/>
    <xf numFmtId="44" fontId="13" fillId="0" borderId="0" applyFont="0" applyFill="0" applyBorder="0" applyAlignment="0" applyProtection="0"/>
    <xf numFmtId="0" fontId="13" fillId="0" borderId="0"/>
    <xf numFmtId="43" fontId="6" fillId="0" borderId="0" applyFont="0" applyFill="0" applyBorder="0" applyAlignment="0" applyProtection="0"/>
    <xf numFmtId="9" fontId="6" fillId="0" borderId="0" applyFont="0" applyFill="0" applyBorder="0" applyAlignment="0" applyProtection="0"/>
    <xf numFmtId="0" fontId="2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9" fontId="30" fillId="0" borderId="0" applyFont="0" applyFill="0" applyBorder="0" applyAlignment="0" applyProtection="0"/>
    <xf numFmtId="0" fontId="46" fillId="0" borderId="0"/>
    <xf numFmtId="43" fontId="46" fillId="0" borderId="0" applyFont="0" applyFill="0" applyBorder="0" applyAlignment="0" applyProtection="0"/>
    <xf numFmtId="43" fontId="13" fillId="0" borderId="0" applyFont="0" applyFill="0" applyBorder="0" applyAlignment="0" applyProtection="0"/>
    <xf numFmtId="44" fontId="46" fillId="0" borderId="0" applyFont="0" applyFill="0" applyBorder="0" applyAlignment="0" applyProtection="0"/>
    <xf numFmtId="44" fontId="13" fillId="0" borderId="0" applyFont="0" applyFill="0" applyBorder="0" applyAlignment="0" applyProtection="0"/>
    <xf numFmtId="38" fontId="54" fillId="0" borderId="0"/>
    <xf numFmtId="9" fontId="46" fillId="0" borderId="0" applyFont="0" applyFill="0" applyBorder="0" applyAlignment="0" applyProtection="0"/>
    <xf numFmtId="9" fontId="13"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38" fontId="13" fillId="0" borderId="0"/>
    <xf numFmtId="43" fontId="16" fillId="0" borderId="0" applyFont="0" applyFill="0" applyBorder="0" applyAlignment="0" applyProtection="0"/>
    <xf numFmtId="44" fontId="13" fillId="0" borderId="0" applyFont="0" applyFill="0" applyBorder="0" applyAlignment="0" applyProtection="0"/>
    <xf numFmtId="0" fontId="13" fillId="0" borderId="0"/>
    <xf numFmtId="0" fontId="6" fillId="0" borderId="0"/>
    <xf numFmtId="0" fontId="67" fillId="0" borderId="0"/>
    <xf numFmtId="43" fontId="30"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4" fillId="0" borderId="0" applyFont="0" applyFill="0" applyBorder="0" applyAlignment="0" applyProtection="0"/>
    <xf numFmtId="44" fontId="69" fillId="0" borderId="0" applyFont="0" applyFill="0" applyBorder="0" applyAlignment="0" applyProtection="0"/>
    <xf numFmtId="0" fontId="13" fillId="0" borderId="0"/>
    <xf numFmtId="0" fontId="13" fillId="0" borderId="0"/>
    <xf numFmtId="0" fontId="70" fillId="0" borderId="0"/>
    <xf numFmtId="0" fontId="70" fillId="0" borderId="0"/>
    <xf numFmtId="0" fontId="13" fillId="0" borderId="0"/>
    <xf numFmtId="0" fontId="13" fillId="0" borderId="0"/>
    <xf numFmtId="0" fontId="13" fillId="0" borderId="0"/>
    <xf numFmtId="0" fontId="13" fillId="0" borderId="0"/>
    <xf numFmtId="0" fontId="70" fillId="0" borderId="0"/>
    <xf numFmtId="0" fontId="69" fillId="0" borderId="0"/>
    <xf numFmtId="0" fontId="13" fillId="0" borderId="0"/>
    <xf numFmtId="0" fontId="13" fillId="0" borderId="0"/>
    <xf numFmtId="0" fontId="69" fillId="0" borderId="0"/>
    <xf numFmtId="0" fontId="70" fillId="0" borderId="0"/>
    <xf numFmtId="0" fontId="70" fillId="0" borderId="0"/>
    <xf numFmtId="0" fontId="13" fillId="0" borderId="0"/>
    <xf numFmtId="0" fontId="13" fillId="0" borderId="0"/>
    <xf numFmtId="0" fontId="13" fillId="0" borderId="0"/>
    <xf numFmtId="0" fontId="13" fillId="0" borderId="0"/>
    <xf numFmtId="0" fontId="70" fillId="0" borderId="0"/>
    <xf numFmtId="0" fontId="70" fillId="0" borderId="0"/>
    <xf numFmtId="0" fontId="13" fillId="0" borderId="0"/>
    <xf numFmtId="0" fontId="13" fillId="0" borderId="0"/>
    <xf numFmtId="0" fontId="54"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90" fillId="0" borderId="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2" fillId="26" borderId="0" applyNumberFormat="0" applyBorder="0" applyAlignment="0" applyProtection="0"/>
    <xf numFmtId="0" fontId="92" fillId="26" borderId="0" applyNumberFormat="0" applyBorder="0" applyAlignment="0" applyProtection="0"/>
    <xf numFmtId="0" fontId="93" fillId="43" borderId="91" applyNumberFormat="0" applyAlignment="0" applyProtection="0"/>
    <xf numFmtId="0" fontId="93" fillId="43" borderId="91" applyNumberFormat="0" applyAlignment="0" applyProtection="0"/>
    <xf numFmtId="0" fontId="3" fillId="44" borderId="92" applyNumberFormat="0" applyAlignment="0" applyProtection="0"/>
    <xf numFmtId="0" fontId="3" fillId="44" borderId="92" applyNumberFormat="0" applyAlignment="0" applyProtection="0"/>
    <xf numFmtId="44" fontId="90" fillId="0" borderId="0" applyFont="0" applyFill="0" applyBorder="0" applyAlignment="0" applyProtection="0"/>
    <xf numFmtId="44" fontId="90"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27" borderId="0" applyNumberFormat="0" applyBorder="0" applyAlignment="0" applyProtection="0"/>
    <xf numFmtId="0" fontId="2" fillId="27" borderId="0" applyNumberFormat="0" applyBorder="0" applyAlignment="0" applyProtection="0"/>
    <xf numFmtId="0" fontId="95" fillId="0" borderId="93" applyNumberFormat="0" applyFill="0" applyAlignment="0" applyProtection="0"/>
    <xf numFmtId="0" fontId="95" fillId="0" borderId="93" applyNumberFormat="0" applyFill="0" applyAlignment="0" applyProtection="0"/>
    <xf numFmtId="0" fontId="96" fillId="0" borderId="94" applyNumberFormat="0" applyFill="0" applyAlignment="0" applyProtection="0"/>
    <xf numFmtId="0" fontId="96" fillId="0" borderId="94" applyNumberFormat="0" applyFill="0" applyAlignment="0" applyProtection="0"/>
    <xf numFmtId="0" fontId="97" fillId="0" borderId="95" applyNumberFormat="0" applyFill="0" applyAlignment="0" applyProtection="0"/>
    <xf numFmtId="0" fontId="97" fillId="0" borderId="95"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30" borderId="91" applyNumberFormat="0" applyAlignment="0" applyProtection="0"/>
    <xf numFmtId="0" fontId="98" fillId="30" borderId="91" applyNumberFormat="0" applyAlignment="0" applyProtection="0"/>
    <xf numFmtId="0" fontId="99" fillId="0" borderId="96" applyNumberFormat="0" applyFill="0" applyAlignment="0" applyProtection="0"/>
    <xf numFmtId="0" fontId="99" fillId="0" borderId="96" applyNumberFormat="0" applyFill="0" applyAlignment="0" applyProtection="0"/>
    <xf numFmtId="0" fontId="100" fillId="45" borderId="0" applyNumberFormat="0" applyBorder="0" applyAlignment="0" applyProtection="0"/>
    <xf numFmtId="0" fontId="100" fillId="45" borderId="0" applyNumberFormat="0" applyBorder="0" applyAlignment="0" applyProtection="0"/>
    <xf numFmtId="0" fontId="90" fillId="0" borderId="0"/>
    <xf numFmtId="0" fontId="6" fillId="0" borderId="0"/>
    <xf numFmtId="0" fontId="54" fillId="0" borderId="0"/>
    <xf numFmtId="0" fontId="54" fillId="46" borderId="43" applyNumberFormat="0" applyFont="0" applyAlignment="0" applyProtection="0"/>
    <xf numFmtId="0" fontId="54" fillId="46" borderId="43" applyNumberFormat="0" applyFont="0" applyAlignment="0" applyProtection="0"/>
    <xf numFmtId="0" fontId="101" fillId="43" borderId="97" applyNumberFormat="0" applyAlignment="0" applyProtection="0"/>
    <xf numFmtId="0" fontId="101" fillId="43" borderId="97" applyNumberFormat="0" applyAlignment="0" applyProtection="0"/>
    <xf numFmtId="9" fontId="90"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 fillId="0" borderId="98" applyNumberFormat="0" applyFill="0" applyAlignment="0" applyProtection="0"/>
    <xf numFmtId="0" fontId="5" fillId="0" borderId="98"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8" fillId="0" borderId="0" applyFont="0" applyFill="0" applyBorder="0" applyAlignment="0" applyProtection="0"/>
    <xf numFmtId="0" fontId="13" fillId="46" borderId="43" applyNumberFormat="0" applyFont="0" applyAlignment="0" applyProtection="0"/>
    <xf numFmtId="0" fontId="13" fillId="46" borderId="43" applyNumberFormat="0" applyFont="0" applyAlignment="0" applyProtection="0"/>
    <xf numFmtId="0" fontId="13" fillId="0" borderId="0"/>
    <xf numFmtId="0" fontId="13"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108" fillId="0" borderId="0"/>
    <xf numFmtId="0" fontId="110" fillId="0" borderId="0"/>
    <xf numFmtId="43" fontId="110" fillId="0" borderId="0" applyFont="0" applyFill="0" applyBorder="0" applyAlignment="0" applyProtection="0"/>
    <xf numFmtId="44" fontId="110" fillId="0" borderId="0" applyFont="0" applyFill="0" applyBorder="0" applyAlignment="0" applyProtection="0"/>
    <xf numFmtId="38" fontId="108" fillId="0" borderId="0"/>
    <xf numFmtId="9" fontId="110" fillId="0" borderId="0" applyFont="0" applyFill="0" applyBorder="0" applyAlignment="0" applyProtection="0"/>
    <xf numFmtId="44" fontId="108" fillId="0" borderId="0" applyFont="0" applyFill="0" applyBorder="0" applyAlignment="0" applyProtection="0"/>
    <xf numFmtId="9" fontId="108" fillId="0" borderId="0" applyFont="0" applyFill="0" applyBorder="0" applyAlignment="0" applyProtection="0"/>
    <xf numFmtId="0" fontId="16" fillId="0" borderId="0"/>
    <xf numFmtId="0" fontId="108" fillId="0" borderId="0"/>
    <xf numFmtId="0" fontId="117" fillId="0" borderId="0"/>
    <xf numFmtId="43" fontId="117" fillId="0" borderId="0" applyFont="0" applyFill="0" applyBorder="0" applyAlignment="0" applyProtection="0"/>
    <xf numFmtId="44" fontId="117" fillId="0" borderId="0" applyFont="0" applyFill="0" applyBorder="0" applyAlignment="0" applyProtection="0"/>
    <xf numFmtId="0" fontId="119" fillId="0" borderId="0"/>
    <xf numFmtId="9" fontId="117" fillId="0" borderId="0" applyFont="0" applyFill="0" applyBorder="0" applyAlignment="0" applyProtection="0"/>
    <xf numFmtId="0" fontId="3" fillId="44" borderId="121" applyNumberFormat="0" applyAlignment="0" applyProtection="0"/>
    <xf numFmtId="0" fontId="3" fillId="44" borderId="121" applyNumberFormat="0" applyAlignment="0" applyProtection="0"/>
    <xf numFmtId="0" fontId="3" fillId="44" borderId="122" applyNumberFormat="0" applyAlignment="0" applyProtection="0"/>
    <xf numFmtId="43" fontId="1" fillId="0" borderId="0" applyFont="0" applyFill="0" applyBorder="0" applyAlignment="0" applyProtection="0"/>
    <xf numFmtId="43"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0" fontId="3" fillId="44" borderId="123" applyNumberFormat="0" applyAlignment="0" applyProtection="0"/>
    <xf numFmtId="0" fontId="38" fillId="0" borderId="0"/>
    <xf numFmtId="0" fontId="13" fillId="0" borderId="0"/>
    <xf numFmtId="0" fontId="38" fillId="0" borderId="0"/>
    <xf numFmtId="0" fontId="16" fillId="0" borderId="0"/>
    <xf numFmtId="0" fontId="13" fillId="46" borderId="43" applyNumberFormat="0" applyFont="0" applyAlignment="0" applyProtection="0"/>
    <xf numFmtId="9" fontId="1" fillId="0" borderId="0" applyFont="0" applyFill="0" applyBorder="0" applyAlignment="0" applyProtection="0"/>
    <xf numFmtId="9" fontId="16" fillId="0" borderId="0" applyFont="0" applyFill="0" applyBorder="0" applyAlignment="0" applyProtection="0"/>
    <xf numFmtId="9" fontId="38"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0" fontId="3" fillId="44" borderId="122" applyNumberFormat="0" applyAlignment="0" applyProtection="0"/>
    <xf numFmtId="0" fontId="3" fillId="44" borderId="123" applyNumberFormat="0" applyAlignment="0" applyProtection="0"/>
  </cellStyleXfs>
  <cellXfs count="4812">
    <xf numFmtId="0" fontId="0" fillId="0" borderId="0" xfId="0"/>
    <xf numFmtId="0" fontId="8" fillId="0" borderId="0" xfId="0" applyFont="1"/>
    <xf numFmtId="0" fontId="0" fillId="0" borderId="0" xfId="0" applyAlignment="1">
      <alignment wrapText="1"/>
    </xf>
    <xf numFmtId="164" fontId="0" fillId="0" borderId="0" xfId="0" applyNumberFormat="1" applyAlignment="1">
      <alignment horizontal="center"/>
    </xf>
    <xf numFmtId="0" fontId="9" fillId="0" borderId="0" xfId="0" applyFont="1"/>
    <xf numFmtId="0" fontId="10" fillId="0" borderId="0" xfId="0" applyFont="1" applyAlignment="1">
      <alignment wrapText="1"/>
    </xf>
    <xf numFmtId="0" fontId="10" fillId="0" borderId="0" xfId="0" applyFont="1" applyAlignment="1">
      <alignment horizontal="right"/>
    </xf>
    <xf numFmtId="1" fontId="9" fillId="2" borderId="1" xfId="0" applyNumberFormat="1" applyFont="1" applyFill="1" applyBorder="1" applyAlignment="1">
      <alignment horizontal="center" vertical="center"/>
    </xf>
    <xf numFmtId="0" fontId="11" fillId="0" borderId="0" xfId="0" applyFont="1" applyAlignment="1">
      <alignment wrapText="1"/>
    </xf>
    <xf numFmtId="0" fontId="12" fillId="0" borderId="0" xfId="0" applyFont="1" applyAlignment="1"/>
    <xf numFmtId="0" fontId="14" fillId="0" borderId="0" xfId="2" applyFont="1" applyAlignment="1">
      <alignment horizontal="right" wrapText="1"/>
    </xf>
    <xf numFmtId="0" fontId="13" fillId="0" borderId="0" xfId="2"/>
    <xf numFmtId="0" fontId="13" fillId="0" borderId="0" xfId="2" applyAlignment="1">
      <alignment wrapText="1"/>
    </xf>
    <xf numFmtId="164" fontId="15" fillId="0" borderId="0" xfId="2" applyNumberFormat="1" applyFont="1" applyAlignment="1">
      <alignment horizontal="left"/>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3" fillId="3" borderId="0" xfId="3" applyFont="1" applyFill="1" applyBorder="1" applyAlignment="1">
      <alignment horizontal="center" vertical="center" wrapText="1"/>
    </xf>
    <xf numFmtId="0" fontId="0" fillId="0" borderId="0" xfId="0" applyAlignment="1">
      <alignment horizontal="center"/>
    </xf>
    <xf numFmtId="0" fontId="17" fillId="0" borderId="0" xfId="2" applyFont="1" applyFill="1" applyAlignment="1">
      <alignment horizontal="right" wrapText="1"/>
    </xf>
    <xf numFmtId="0" fontId="1" fillId="0" borderId="0" xfId="2" applyFont="1" applyFill="1"/>
    <xf numFmtId="0" fontId="18" fillId="0" borderId="0" xfId="2" applyFont="1" applyFill="1" applyAlignment="1">
      <alignment horizontal="right"/>
    </xf>
    <xf numFmtId="165" fontId="5" fillId="0" borderId="2" xfId="1" applyNumberFormat="1" applyFont="1" applyFill="1" applyBorder="1" applyAlignment="1">
      <alignment horizontal="center" vertical="center" wrapText="1"/>
    </xf>
    <xf numFmtId="165" fontId="5" fillId="0" borderId="2" xfId="1" applyNumberFormat="1" applyFont="1" applyFill="1" applyBorder="1" applyAlignment="1">
      <alignment vertical="center" wrapText="1"/>
    </xf>
    <xf numFmtId="165" fontId="5" fillId="0" borderId="4" xfId="1" applyNumberFormat="1" applyFont="1" applyFill="1" applyBorder="1" applyAlignment="1">
      <alignment horizontal="center" vertical="center" wrapText="1"/>
    </xf>
    <xf numFmtId="0" fontId="19" fillId="0" borderId="5" xfId="3" applyFont="1" applyFill="1" applyBorder="1"/>
    <xf numFmtId="0" fontId="1" fillId="0" borderId="0" xfId="0" applyFont="1" applyFill="1" applyAlignment="1">
      <alignment horizontal="center"/>
    </xf>
    <xf numFmtId="164" fontId="13" fillId="0" borderId="0" xfId="2" applyNumberFormat="1" applyAlignment="1">
      <alignment horizontal="center"/>
    </xf>
    <xf numFmtId="164" fontId="13" fillId="0" borderId="6" xfId="2" applyNumberFormat="1" applyBorder="1" applyAlignment="1">
      <alignment horizontal="center"/>
    </xf>
    <xf numFmtId="166" fontId="16" fillId="0" borderId="5" xfId="4" applyNumberFormat="1" applyFont="1" applyFill="1" applyBorder="1"/>
    <xf numFmtId="165" fontId="5" fillId="0" borderId="7" xfId="1" applyNumberFormat="1" applyFont="1" applyFill="1" applyBorder="1" applyAlignment="1">
      <alignment horizontal="center" vertical="center" wrapText="1"/>
    </xf>
    <xf numFmtId="165" fontId="5" fillId="0" borderId="7" xfId="1" applyNumberFormat="1" applyFont="1" applyFill="1" applyBorder="1" applyAlignment="1">
      <alignment vertical="center" wrapText="1"/>
    </xf>
    <xf numFmtId="165" fontId="5" fillId="0" borderId="8" xfId="1" applyNumberFormat="1" applyFont="1" applyFill="1" applyBorder="1" applyAlignment="1">
      <alignment horizontal="center" vertical="center" wrapText="1"/>
    </xf>
    <xf numFmtId="0" fontId="1" fillId="0" borderId="0" xfId="0" applyFont="1" applyFill="1"/>
    <xf numFmtId="165" fontId="5" fillId="0" borderId="6" xfId="1" applyNumberFormat="1" applyFont="1" applyFill="1" applyBorder="1" applyAlignment="1">
      <alignment horizontal="center" vertical="center" wrapText="1"/>
    </xf>
    <xf numFmtId="0" fontId="13" fillId="0" borderId="0" xfId="2" applyAlignment="1">
      <alignment horizontal="center"/>
    </xf>
    <xf numFmtId="0" fontId="13" fillId="0" borderId="0" xfId="2" applyFont="1" applyAlignment="1">
      <alignment horizontal="right"/>
    </xf>
    <xf numFmtId="164" fontId="20" fillId="4" borderId="7" xfId="2" applyNumberFormat="1" applyFont="1" applyFill="1" applyBorder="1" applyAlignment="1">
      <alignment horizontal="center"/>
    </xf>
    <xf numFmtId="164" fontId="20" fillId="4" borderId="8" xfId="2" applyNumberFormat="1" applyFont="1" applyFill="1" applyBorder="1" applyAlignment="1">
      <alignment horizontal="center"/>
    </xf>
    <xf numFmtId="164" fontId="20" fillId="4" borderId="9" xfId="2" applyNumberFormat="1" applyFont="1" applyFill="1" applyBorder="1" applyAlignment="1">
      <alignment horizontal="center"/>
    </xf>
    <xf numFmtId="0" fontId="14" fillId="0" borderId="0" xfId="2" applyFont="1" applyFill="1" applyAlignment="1">
      <alignment horizontal="right" wrapText="1"/>
    </xf>
    <xf numFmtId="0" fontId="18" fillId="0" borderId="0" xfId="2" applyFont="1" applyFill="1" applyBorder="1" applyAlignment="1">
      <alignment horizontal="left"/>
    </xf>
    <xf numFmtId="0" fontId="21" fillId="0" borderId="0" xfId="2" applyFont="1" applyFill="1" applyBorder="1" applyAlignment="1">
      <alignment horizontal="center"/>
    </xf>
    <xf numFmtId="0" fontId="13" fillId="0" borderId="0" xfId="2" applyFill="1"/>
    <xf numFmtId="0" fontId="21" fillId="0" borderId="0" xfId="0" applyFont="1" applyAlignment="1">
      <alignment horizontal="center" wrapText="1"/>
    </xf>
    <xf numFmtId="164" fontId="21" fillId="0" borderId="0" xfId="0" applyNumberFormat="1" applyFont="1" applyAlignment="1">
      <alignment horizontal="center"/>
    </xf>
    <xf numFmtId="167" fontId="21" fillId="0" borderId="0" xfId="5" applyNumberFormat="1" applyFont="1" applyAlignment="1">
      <alignment horizontal="center"/>
    </xf>
    <xf numFmtId="0" fontId="14" fillId="0" borderId="0" xfId="2" applyFont="1" applyAlignment="1">
      <alignment horizontal="center" wrapText="1"/>
    </xf>
    <xf numFmtId="164" fontId="22" fillId="0" borderId="0" xfId="0" applyNumberFormat="1" applyFont="1" applyBorder="1" applyAlignment="1">
      <alignment horizontal="center" wrapText="1"/>
    </xf>
    <xf numFmtId="0" fontId="3" fillId="3" borderId="7" xfId="2" applyFont="1" applyFill="1" applyBorder="1" applyAlignment="1">
      <alignment horizontal="center" vertical="center" wrapText="1"/>
    </xf>
    <xf numFmtId="0" fontId="13" fillId="4" borderId="0" xfId="2" applyFill="1" applyAlignment="1">
      <alignment wrapText="1"/>
    </xf>
    <xf numFmtId="164" fontId="13" fillId="5" borderId="11" xfId="2" applyNumberFormat="1" applyFill="1" applyBorder="1" applyAlignment="1">
      <alignment horizontal="center"/>
    </xf>
    <xf numFmtId="0" fontId="13" fillId="4" borderId="7" xfId="2" applyFill="1" applyBorder="1"/>
    <xf numFmtId="164" fontId="0" fillId="6" borderId="12" xfId="0" applyNumberFormat="1" applyFill="1" applyBorder="1" applyAlignment="1">
      <alignment horizontal="center"/>
    </xf>
    <xf numFmtId="0" fontId="0" fillId="0" borderId="0" xfId="0" applyFill="1"/>
    <xf numFmtId="0" fontId="20" fillId="0" borderId="0" xfId="2" applyFont="1" applyAlignment="1">
      <alignment horizontal="center"/>
    </xf>
    <xf numFmtId="0" fontId="20" fillId="0" borderId="0" xfId="2" applyFont="1" applyAlignment="1">
      <alignment horizontal="center" wrapText="1"/>
    </xf>
    <xf numFmtId="0" fontId="2" fillId="0" borderId="0" xfId="2" applyFont="1"/>
    <xf numFmtId="165" fontId="13" fillId="0" borderId="0" xfId="1" applyNumberFormat="1" applyFont="1" applyAlignment="1">
      <alignment horizontal="center"/>
    </xf>
    <xf numFmtId="0" fontId="13" fillId="0" borderId="0" xfId="2" applyFont="1"/>
    <xf numFmtId="164" fontId="2" fillId="0" borderId="0" xfId="2" applyNumberFormat="1" applyFont="1" applyAlignment="1">
      <alignment horizontal="left"/>
    </xf>
    <xf numFmtId="165" fontId="13" fillId="0" borderId="0" xfId="1" applyNumberFormat="1" applyFont="1"/>
    <xf numFmtId="0" fontId="13" fillId="0" borderId="0" xfId="2" applyFont="1" applyAlignment="1">
      <alignment wrapText="1"/>
    </xf>
    <xf numFmtId="164" fontId="13" fillId="5" borderId="12" xfId="2" applyNumberFormat="1" applyFill="1" applyBorder="1" applyAlignment="1">
      <alignment horizontal="center"/>
    </xf>
    <xf numFmtId="0" fontId="3" fillId="4" borderId="7" xfId="2" applyFont="1" applyFill="1" applyBorder="1" applyAlignment="1">
      <alignment horizontal="center" vertical="center" wrapText="1"/>
    </xf>
    <xf numFmtId="0" fontId="13" fillId="0" borderId="0" xfId="2" applyFill="1" applyAlignment="1">
      <alignment horizontal="center" wrapText="1"/>
    </xf>
    <xf numFmtId="44" fontId="13" fillId="0" borderId="0" xfId="1" applyFont="1"/>
    <xf numFmtId="0" fontId="13" fillId="0" borderId="0" xfId="2" applyAlignment="1">
      <alignment horizontal="center" wrapText="1"/>
    </xf>
    <xf numFmtId="0" fontId="13" fillId="0" borderId="0" xfId="2" applyAlignment="1">
      <alignment horizontal="left"/>
    </xf>
    <xf numFmtId="164" fontId="20" fillId="6" borderId="12" xfId="0" applyNumberFormat="1" applyFont="1" applyFill="1" applyBorder="1" applyAlignment="1">
      <alignment horizontal="center"/>
    </xf>
    <xf numFmtId="0" fontId="14" fillId="0" borderId="0" xfId="0" applyFont="1" applyAlignment="1">
      <alignment horizontal="right" wrapText="1"/>
    </xf>
    <xf numFmtId="0" fontId="13" fillId="0" borderId="0" xfId="2" applyFont="1" applyAlignment="1">
      <alignment horizontal="center"/>
    </xf>
    <xf numFmtId="0" fontId="4" fillId="0" borderId="0" xfId="2" applyFont="1"/>
    <xf numFmtId="0" fontId="13" fillId="4" borderId="7" xfId="2" applyFill="1" applyBorder="1" applyAlignment="1">
      <alignment horizontal="center"/>
    </xf>
    <xf numFmtId="0" fontId="0" fillId="6" borderId="12" xfId="0" applyFill="1" applyBorder="1"/>
    <xf numFmtId="0" fontId="3" fillId="0" borderId="0" xfId="2" applyFont="1" applyFill="1" applyBorder="1" applyAlignment="1">
      <alignment horizontal="center" vertical="center" wrapText="1"/>
    </xf>
    <xf numFmtId="165" fontId="13" fillId="0" borderId="0" xfId="1" applyNumberFormat="1" applyFont="1" applyBorder="1"/>
    <xf numFmtId="0" fontId="14" fillId="0" borderId="0" xfId="2" applyFont="1" applyBorder="1" applyAlignment="1">
      <alignment horizontal="right" wrapText="1"/>
    </xf>
    <xf numFmtId="165" fontId="0" fillId="0" borderId="0" xfId="1" applyNumberFormat="1" applyFont="1"/>
    <xf numFmtId="165" fontId="0" fillId="0" borderId="0" xfId="1" applyNumberFormat="1" applyFont="1" applyAlignment="1">
      <alignment wrapText="1"/>
    </xf>
    <xf numFmtId="0" fontId="13" fillId="0" borderId="0" xfId="2" applyFill="1" applyAlignment="1">
      <alignment wrapText="1"/>
    </xf>
    <xf numFmtId="165" fontId="13" fillId="0" borderId="0" xfId="1" applyNumberFormat="1" applyFont="1" applyFill="1" applyBorder="1" applyAlignment="1">
      <alignment horizontal="center" vertical="center" wrapText="1"/>
    </xf>
    <xf numFmtId="0" fontId="13" fillId="0" borderId="0" xfId="2" applyFont="1" applyFill="1" applyAlignment="1">
      <alignment wrapText="1"/>
    </xf>
    <xf numFmtId="164" fontId="0" fillId="6" borderId="13" xfId="0" applyNumberFormat="1" applyFill="1" applyBorder="1" applyAlignment="1">
      <alignment horizontal="center"/>
    </xf>
    <xf numFmtId="0" fontId="0" fillId="0" borderId="0" xfId="0" applyAlignment="1">
      <alignment horizontal="right"/>
    </xf>
    <xf numFmtId="165" fontId="0" fillId="0" borderId="0" xfId="0" applyNumberFormat="1"/>
    <xf numFmtId="165" fontId="0" fillId="0" borderId="0" xfId="0" applyNumberFormat="1" applyAlignment="1">
      <alignment wrapText="1"/>
    </xf>
    <xf numFmtId="0" fontId="13" fillId="0" borderId="0" xfId="0" applyFont="1"/>
    <xf numFmtId="164" fontId="13" fillId="0" borderId="14" xfId="2" applyNumberFormat="1" applyBorder="1" applyAlignment="1">
      <alignment horizontal="center"/>
    </xf>
    <xf numFmtId="0" fontId="13" fillId="0" borderId="0" xfId="2" applyBorder="1"/>
    <xf numFmtId="164" fontId="13" fillId="6" borderId="12" xfId="2" applyNumberFormat="1" applyFill="1" applyBorder="1" applyAlignment="1">
      <alignment horizontal="center"/>
    </xf>
    <xf numFmtId="164" fontId="13" fillId="6" borderId="13" xfId="2" applyNumberFormat="1" applyFill="1" applyBorder="1" applyAlignment="1">
      <alignment horizontal="center"/>
    </xf>
    <xf numFmtId="164" fontId="13" fillId="5" borderId="0" xfId="2" applyNumberFormat="1" applyFill="1" applyBorder="1" applyAlignment="1">
      <alignment horizontal="center"/>
    </xf>
    <xf numFmtId="164" fontId="13" fillId="6" borderId="0" xfId="2" applyNumberFormat="1" applyFill="1" applyBorder="1" applyAlignment="1">
      <alignment horizontal="center"/>
    </xf>
    <xf numFmtId="0" fontId="1" fillId="0" borderId="0" xfId="0" applyFont="1"/>
    <xf numFmtId="0" fontId="16" fillId="0" borderId="5" xfId="4" applyNumberFormat="1" applyFont="1" applyFill="1" applyBorder="1"/>
    <xf numFmtId="0" fontId="13" fillId="0" borderId="0" xfId="2" applyFont="1" applyAlignment="1">
      <alignment horizontal="center" wrapText="1"/>
    </xf>
    <xf numFmtId="0" fontId="13" fillId="0" borderId="0" xfId="2" applyFont="1" applyFill="1" applyBorder="1" applyAlignment="1">
      <alignment horizontal="center" wrapText="1"/>
    </xf>
    <xf numFmtId="0" fontId="13" fillId="0" borderId="0" xfId="2" applyFont="1" applyFill="1" applyAlignment="1">
      <alignment horizontal="center" wrapText="1"/>
    </xf>
    <xf numFmtId="165" fontId="8" fillId="0" borderId="0" xfId="5" applyNumberFormat="1" applyFont="1"/>
    <xf numFmtId="165" fontId="21" fillId="0" borderId="0" xfId="5" applyNumberFormat="1" applyFont="1"/>
    <xf numFmtId="165" fontId="10" fillId="0" borderId="0" xfId="5" applyNumberFormat="1" applyFont="1" applyAlignment="1">
      <alignment wrapText="1"/>
    </xf>
    <xf numFmtId="165" fontId="4" fillId="0" borderId="0" xfId="5" applyNumberFormat="1" applyFont="1" applyAlignment="1">
      <alignment wrapText="1"/>
    </xf>
    <xf numFmtId="1" fontId="9" fillId="7" borderId="1" xfId="0" applyNumberFormat="1" applyFont="1" applyFill="1" applyBorder="1" applyAlignment="1">
      <alignment horizontal="center" vertical="center"/>
    </xf>
    <xf numFmtId="0" fontId="23" fillId="0" borderId="0" xfId="0" applyFont="1" applyAlignment="1"/>
    <xf numFmtId="165" fontId="0" fillId="0" borderId="0" xfId="5" applyNumberFormat="1" applyFont="1"/>
    <xf numFmtId="164" fontId="15" fillId="0" borderId="0" xfId="0" applyNumberFormat="1" applyFont="1" applyAlignment="1">
      <alignment horizontal="left"/>
    </xf>
    <xf numFmtId="0" fontId="3" fillId="3"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0" fontId="3" fillId="3" borderId="2" xfId="0" applyFont="1" applyFill="1" applyBorder="1" applyAlignment="1">
      <alignment vertical="center" wrapText="1"/>
    </xf>
    <xf numFmtId="0" fontId="3" fillId="3" borderId="3" xfId="0" applyFont="1" applyFill="1" applyBorder="1" applyAlignment="1">
      <alignment horizontal="center" vertical="center" wrapText="1"/>
    </xf>
    <xf numFmtId="0" fontId="14" fillId="0" borderId="0" xfId="0" applyFont="1" applyFill="1" applyAlignment="1">
      <alignment horizontal="right" wrapText="1"/>
    </xf>
    <xf numFmtId="165" fontId="0" fillId="0" borderId="0" xfId="5" applyNumberFormat="1" applyFont="1" applyFill="1"/>
    <xf numFmtId="0" fontId="18" fillId="0" borderId="0" xfId="0" applyFont="1" applyFill="1" applyAlignment="1">
      <alignment horizontal="right"/>
    </xf>
    <xf numFmtId="0" fontId="5" fillId="0" borderId="2" xfId="0" applyFont="1" applyFill="1" applyBorder="1" applyAlignment="1">
      <alignment horizontal="center" vertical="center" wrapText="1"/>
    </xf>
    <xf numFmtId="164" fontId="5"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165" fontId="1" fillId="0" borderId="4" xfId="5" applyNumberFormat="1" applyFont="1" applyFill="1" applyBorder="1" applyAlignment="1">
      <alignment horizontal="center" vertical="center" wrapText="1"/>
    </xf>
    <xf numFmtId="164" fontId="1" fillId="0" borderId="0" xfId="2" applyNumberFormat="1" applyFont="1" applyAlignment="1">
      <alignment horizontal="center"/>
    </xf>
    <xf numFmtId="164" fontId="1" fillId="0" borderId="15" xfId="2" applyNumberFormat="1" applyFont="1" applyBorder="1" applyAlignment="1">
      <alignment horizontal="center"/>
    </xf>
    <xf numFmtId="165" fontId="5" fillId="0" borderId="7" xfId="5" applyNumberFormat="1" applyFont="1" applyFill="1" applyBorder="1" applyAlignment="1">
      <alignment horizontal="center" vertical="center" wrapText="1"/>
    </xf>
    <xf numFmtId="165" fontId="5" fillId="0" borderId="7" xfId="5" applyNumberFormat="1" applyFont="1" applyFill="1" applyBorder="1" applyAlignment="1">
      <alignment vertical="center" wrapText="1"/>
    </xf>
    <xf numFmtId="165" fontId="5" fillId="0" borderId="8" xfId="5" applyNumberFormat="1" applyFont="1" applyFill="1" applyBorder="1" applyAlignment="1">
      <alignment horizontal="center" vertical="center" wrapText="1"/>
    </xf>
    <xf numFmtId="165" fontId="5" fillId="0" borderId="6" xfId="5" applyNumberFormat="1" applyFont="1" applyFill="1" applyBorder="1" applyAlignment="1">
      <alignment horizontal="center" vertical="center" wrapText="1"/>
    </xf>
    <xf numFmtId="165" fontId="0" fillId="0" borderId="0" xfId="5" applyNumberFormat="1" applyFont="1" applyAlignment="1">
      <alignment horizontal="center"/>
    </xf>
    <xf numFmtId="0" fontId="13" fillId="0" borderId="0" xfId="0" applyFont="1" applyAlignment="1">
      <alignment horizontal="right"/>
    </xf>
    <xf numFmtId="165" fontId="20" fillId="4" borderId="7" xfId="5" applyNumberFormat="1" applyFont="1" applyFill="1" applyBorder="1" applyAlignment="1">
      <alignment horizontal="center"/>
    </xf>
    <xf numFmtId="165" fontId="20" fillId="4" borderId="8" xfId="5" applyNumberFormat="1" applyFont="1" applyFill="1" applyBorder="1" applyAlignment="1">
      <alignment horizontal="center"/>
    </xf>
    <xf numFmtId="165" fontId="20" fillId="4" borderId="9" xfId="5" applyNumberFormat="1" applyFont="1" applyFill="1" applyBorder="1" applyAlignment="1">
      <alignment horizontal="center"/>
    </xf>
    <xf numFmtId="165" fontId="18" fillId="0" borderId="0" xfId="5" applyNumberFormat="1" applyFont="1" applyFill="1" applyBorder="1" applyAlignment="1">
      <alignment horizontal="left"/>
    </xf>
    <xf numFmtId="165" fontId="21" fillId="0" borderId="0" xfId="5" applyNumberFormat="1" applyFont="1" applyFill="1" applyBorder="1" applyAlignment="1">
      <alignment horizontal="center"/>
    </xf>
    <xf numFmtId="0" fontId="21" fillId="0" borderId="0" xfId="0" applyFont="1" applyFill="1" applyBorder="1" applyAlignment="1">
      <alignment horizontal="center"/>
    </xf>
    <xf numFmtId="0" fontId="14" fillId="0" borderId="0" xfId="0" applyFont="1" applyAlignment="1">
      <alignment horizontal="center" wrapText="1"/>
    </xf>
    <xf numFmtId="164" fontId="22" fillId="0" borderId="0" xfId="0" applyNumberFormat="1" applyFont="1" applyAlignment="1">
      <alignment horizontal="center" wrapText="1"/>
    </xf>
    <xf numFmtId="0" fontId="0" fillId="0" borderId="0" xfId="0" applyFill="1" applyBorder="1"/>
    <xf numFmtId="0" fontId="14" fillId="0" borderId="0" xfId="0" applyFont="1" applyFill="1" applyBorder="1" applyAlignment="1">
      <alignment horizontal="right" wrapText="1"/>
    </xf>
    <xf numFmtId="165" fontId="0" fillId="0" borderId="0" xfId="5" applyNumberFormat="1" applyFont="1" applyFill="1" applyBorder="1"/>
    <xf numFmtId="0" fontId="0" fillId="0" borderId="0" xfId="0" applyFill="1" applyBorder="1" applyAlignment="1">
      <alignment wrapText="1"/>
    </xf>
    <xf numFmtId="164" fontId="0" fillId="6" borderId="11" xfId="0" applyNumberFormat="1" applyFill="1" applyBorder="1" applyAlignment="1">
      <alignment horizontal="center"/>
    </xf>
    <xf numFmtId="165" fontId="3" fillId="3" borderId="7" xfId="5" applyNumberFormat="1" applyFont="1" applyFill="1" applyBorder="1" applyAlignment="1">
      <alignment horizontal="center" vertical="center" wrapText="1"/>
    </xf>
    <xf numFmtId="0" fontId="0" fillId="4" borderId="0" xfId="0" applyFill="1" applyAlignment="1">
      <alignment wrapText="1"/>
    </xf>
    <xf numFmtId="164" fontId="0" fillId="5" borderId="12" xfId="0" applyNumberFormat="1" applyFill="1" applyBorder="1" applyAlignment="1">
      <alignment horizontal="center"/>
    </xf>
    <xf numFmtId="165" fontId="0" fillId="0" borderId="0" xfId="0" applyNumberFormat="1" applyFill="1" applyBorder="1"/>
    <xf numFmtId="165" fontId="13" fillId="4" borderId="7" xfId="5" applyNumberFormat="1" applyFont="1" applyFill="1" applyBorder="1"/>
    <xf numFmtId="165" fontId="20" fillId="0" borderId="0" xfId="5" applyNumberFormat="1" applyFont="1" applyAlignment="1">
      <alignment horizontal="center"/>
    </xf>
    <xf numFmtId="0" fontId="20" fillId="0" borderId="0" xfId="0" applyFont="1" applyAlignment="1">
      <alignment horizontal="center" wrapText="1"/>
    </xf>
    <xf numFmtId="0" fontId="2" fillId="0" borderId="0" xfId="0" applyFont="1"/>
    <xf numFmtId="164" fontId="13" fillId="0" borderId="0" xfId="0" applyNumberFormat="1" applyFont="1" applyAlignment="1">
      <alignment horizontal="center"/>
    </xf>
    <xf numFmtId="164" fontId="2" fillId="0" borderId="0" xfId="0" applyNumberFormat="1" applyFont="1" applyAlignment="1">
      <alignment horizontal="left"/>
    </xf>
    <xf numFmtId="165" fontId="1" fillId="0" borderId="0" xfId="5" applyNumberFormat="1" applyFont="1"/>
    <xf numFmtId="0" fontId="13" fillId="0" borderId="0" xfId="0" applyFont="1" applyAlignment="1">
      <alignment horizontal="center" wrapText="1"/>
    </xf>
    <xf numFmtId="165" fontId="24" fillId="0" borderId="0" xfId="0" applyNumberFormat="1" applyFont="1" applyFill="1" applyBorder="1"/>
    <xf numFmtId="0" fontId="0" fillId="0" borderId="0" xfId="0" applyAlignment="1">
      <alignment horizontal="center" wrapText="1"/>
    </xf>
    <xf numFmtId="165" fontId="3" fillId="4" borderId="7" xfId="5" applyNumberFormat="1" applyFont="1" applyFill="1" applyBorder="1" applyAlignment="1">
      <alignment horizontal="center" vertical="center" wrapText="1"/>
    </xf>
    <xf numFmtId="0" fontId="0" fillId="0" borderId="0" xfId="0" applyFill="1" applyAlignment="1">
      <alignment horizontal="center" wrapText="1"/>
    </xf>
    <xf numFmtId="165" fontId="13" fillId="0" borderId="0" xfId="5" applyNumberFormat="1" applyFont="1"/>
    <xf numFmtId="165" fontId="0" fillId="0" borderId="0" xfId="5" applyNumberFormat="1" applyFont="1" applyAlignment="1">
      <alignment horizontal="left"/>
    </xf>
    <xf numFmtId="0" fontId="13" fillId="0" borderId="0" xfId="6"/>
    <xf numFmtId="164" fontId="6" fillId="5" borderId="12" xfId="0" applyNumberFormat="1" applyFont="1" applyFill="1" applyBorder="1" applyAlignment="1">
      <alignment horizontal="center"/>
    </xf>
    <xf numFmtId="165" fontId="13" fillId="0" borderId="0" xfId="5" applyNumberFormat="1" applyFont="1" applyAlignment="1">
      <alignment horizontal="center"/>
    </xf>
    <xf numFmtId="0" fontId="4" fillId="0" borderId="0" xfId="0" applyFont="1"/>
    <xf numFmtId="165" fontId="13" fillId="4" borderId="7" xfId="5" applyNumberFormat="1" applyFont="1" applyFill="1" applyBorder="1" applyAlignment="1">
      <alignment horizontal="center"/>
    </xf>
    <xf numFmtId="165" fontId="3" fillId="0" borderId="0" xfId="5" applyNumberFormat="1" applyFont="1" applyFill="1" applyBorder="1" applyAlignment="1">
      <alignment horizontal="center" vertical="center" wrapText="1"/>
    </xf>
    <xf numFmtId="0" fontId="13" fillId="0" borderId="0" xfId="0" applyFont="1" applyAlignment="1">
      <alignment wrapText="1"/>
    </xf>
    <xf numFmtId="165" fontId="0" fillId="0" borderId="0" xfId="5" applyNumberFormat="1" applyFont="1" applyBorder="1"/>
    <xf numFmtId="0" fontId="14" fillId="0" borderId="0" xfId="0" applyFont="1" applyBorder="1" applyAlignment="1">
      <alignment horizontal="right" wrapText="1"/>
    </xf>
    <xf numFmtId="0" fontId="0" fillId="0" borderId="0" xfId="0" applyFill="1" applyAlignment="1">
      <alignment wrapText="1"/>
    </xf>
    <xf numFmtId="165" fontId="1" fillId="0" borderId="0" xfId="5" applyNumberFormat="1" applyFont="1" applyFill="1" applyBorder="1" applyAlignment="1">
      <alignment horizontal="center" vertical="center" wrapText="1"/>
    </xf>
    <xf numFmtId="0" fontId="13" fillId="0" borderId="0" xfId="0" applyFont="1" applyFill="1" applyAlignment="1">
      <alignment wrapText="1"/>
    </xf>
    <xf numFmtId="0" fontId="21" fillId="0" borderId="0" xfId="0" applyFont="1"/>
    <xf numFmtId="0" fontId="4" fillId="0" borderId="0" xfId="0" applyFont="1" applyAlignment="1">
      <alignment wrapText="1"/>
    </xf>
    <xf numFmtId="44" fontId="13" fillId="0" borderId="0" xfId="5" applyFont="1" applyAlignment="1">
      <alignment horizontal="center"/>
    </xf>
    <xf numFmtId="0" fontId="18" fillId="0" borderId="0" xfId="0" applyFont="1" applyFill="1" applyBorder="1" applyAlignment="1">
      <alignment horizontal="left"/>
    </xf>
    <xf numFmtId="0" fontId="21" fillId="0" borderId="0" xfId="0" applyFont="1" applyAlignment="1">
      <alignment horizontal="center"/>
    </xf>
    <xf numFmtId="0" fontId="14" fillId="0" borderId="0" xfId="6" applyFont="1" applyAlignment="1">
      <alignment horizontal="center" wrapText="1"/>
    </xf>
    <xf numFmtId="164" fontId="22" fillId="0" borderId="0" xfId="6" applyNumberFormat="1" applyFont="1" applyBorder="1" applyAlignment="1">
      <alignment horizontal="center" wrapText="1"/>
    </xf>
    <xf numFmtId="164" fontId="22" fillId="0" borderId="0" xfId="0" applyNumberFormat="1" applyFont="1" applyAlignment="1">
      <alignment horizontal="center"/>
    </xf>
    <xf numFmtId="0" fontId="3" fillId="3" borderId="7" xfId="0" applyFont="1" applyFill="1" applyBorder="1" applyAlignment="1">
      <alignment horizontal="center" vertical="center" wrapText="1"/>
    </xf>
    <xf numFmtId="0" fontId="0" fillId="4" borderId="7" xfId="0" applyFill="1" applyBorder="1"/>
    <xf numFmtId="0" fontId="20" fillId="0" borderId="0" xfId="0" applyFont="1" applyAlignment="1">
      <alignment horizontal="center"/>
    </xf>
    <xf numFmtId="165" fontId="1" fillId="0" borderId="0" xfId="0" applyNumberFormat="1" applyFont="1" applyAlignment="1">
      <alignment horizontal="right" wrapText="1"/>
    </xf>
    <xf numFmtId="165" fontId="1" fillId="0" borderId="0" xfId="0" applyNumberFormat="1" applyFont="1" applyAlignment="1">
      <alignment horizontal="center"/>
    </xf>
    <xf numFmtId="165" fontId="1" fillId="0" borderId="0" xfId="0" applyNumberFormat="1" applyFont="1"/>
    <xf numFmtId="0" fontId="3" fillId="4" borderId="7" xfId="0" applyFont="1" applyFill="1" applyBorder="1" applyAlignment="1">
      <alignment horizontal="center" vertical="center" wrapText="1"/>
    </xf>
    <xf numFmtId="0" fontId="0" fillId="0" borderId="0" xfId="0" applyAlignment="1">
      <alignment horizontal="left"/>
    </xf>
    <xf numFmtId="0" fontId="13" fillId="0" borderId="0" xfId="0" applyFont="1" applyAlignment="1">
      <alignment horizontal="center"/>
    </xf>
    <xf numFmtId="0" fontId="0" fillId="4" borderId="7" xfId="0" applyFill="1" applyBorder="1" applyAlignment="1">
      <alignment horizontal="center"/>
    </xf>
    <xf numFmtId="0" fontId="3" fillId="0" borderId="0" xfId="0" applyFont="1" applyFill="1" applyBorder="1" applyAlignment="1">
      <alignment horizontal="center" vertical="center" wrapText="1"/>
    </xf>
    <xf numFmtId="165" fontId="0" fillId="0" borderId="0" xfId="0" applyNumberFormat="1" applyBorder="1"/>
    <xf numFmtId="165" fontId="5" fillId="0" borderId="4" xfId="5" applyNumberFormat="1" applyFont="1" applyFill="1" applyBorder="1" applyAlignment="1">
      <alignment horizontal="center" vertical="center" wrapText="1"/>
    </xf>
    <xf numFmtId="0" fontId="14" fillId="0" borderId="0" xfId="6" applyFont="1" applyAlignment="1">
      <alignment horizontal="right" wrapText="1"/>
    </xf>
    <xf numFmtId="0" fontId="0" fillId="0" borderId="0" xfId="0" applyBorder="1"/>
    <xf numFmtId="165" fontId="1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1" fillId="0" borderId="0" xfId="0" applyNumberFormat="1" applyFont="1" applyFill="1" applyBorder="1" applyAlignment="1">
      <alignment horizontal="center" vertical="center" wrapText="1"/>
    </xf>
    <xf numFmtId="165" fontId="0" fillId="0" borderId="0" xfId="0" applyNumberFormat="1" applyFill="1"/>
    <xf numFmtId="1" fontId="9" fillId="0" borderId="0" xfId="0" applyNumberFormat="1" applyFont="1" applyFill="1" applyBorder="1" applyAlignment="1">
      <alignment horizontal="center" vertical="center"/>
    </xf>
    <xf numFmtId="0" fontId="25" fillId="0" borderId="0" xfId="0" applyFont="1"/>
    <xf numFmtId="0" fontId="5" fillId="0" borderId="4" xfId="0" applyFont="1" applyFill="1" applyBorder="1" applyAlignment="1">
      <alignment horizontal="center" vertical="center" wrapText="1"/>
    </xf>
    <xf numFmtId="0" fontId="13" fillId="0" borderId="0" xfId="0" applyFont="1" applyFill="1" applyBorder="1"/>
    <xf numFmtId="165" fontId="0" fillId="0" borderId="0" xfId="0" applyNumberFormat="1" applyAlignment="1">
      <alignment horizontal="center"/>
    </xf>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0" fillId="4" borderId="26" xfId="0" applyNumberFormat="1" applyFill="1" applyBorder="1" applyAlignment="1">
      <alignment horizontal="right"/>
    </xf>
    <xf numFmtId="164" fontId="29" fillId="4" borderId="27" xfId="0" applyNumberFormat="1" applyFont="1" applyFill="1" applyBorder="1" applyAlignment="1">
      <alignment horizontal="right"/>
    </xf>
    <xf numFmtId="168" fontId="29" fillId="4" borderId="27" xfId="0" applyNumberFormat="1" applyFont="1" applyFill="1" applyBorder="1" applyAlignment="1">
      <alignment horizontal="center"/>
    </xf>
    <xf numFmtId="166" fontId="29" fillId="4" borderId="27" xfId="8" applyNumberFormat="1" applyFont="1" applyFill="1" applyBorder="1" applyAlignment="1">
      <alignment horizontal="right"/>
    </xf>
    <xf numFmtId="44" fontId="29" fillId="4" borderId="27" xfId="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168" fontId="29" fillId="0" borderId="29" xfId="0" applyNumberFormat="1" applyFont="1" applyBorder="1"/>
    <xf numFmtId="166" fontId="29" fillId="0" borderId="27" xfId="8" applyNumberFormat="1" applyFont="1" applyFill="1" applyBorder="1" applyAlignment="1">
      <alignment horizontal="right"/>
    </xf>
    <xf numFmtId="44" fontId="29" fillId="0" borderId="27" xfId="1" applyFont="1" applyFill="1" applyBorder="1" applyAlignment="1">
      <alignment horizontal="right"/>
    </xf>
    <xf numFmtId="164" fontId="0" fillId="0" borderId="30" xfId="0" applyNumberFormat="1" applyBorder="1"/>
    <xf numFmtId="164" fontId="0" fillId="0" borderId="11" xfId="0" applyNumberFormat="1" applyBorder="1"/>
    <xf numFmtId="164" fontId="29" fillId="0" borderId="31" xfId="0" applyNumberFormat="1" applyFont="1" applyBorder="1"/>
    <xf numFmtId="168" fontId="29" fillId="0" borderId="31" xfId="0" applyNumberFormat="1" applyFont="1" applyBorder="1"/>
    <xf numFmtId="0" fontId="31" fillId="0" borderId="0" xfId="0" applyFont="1"/>
    <xf numFmtId="0" fontId="27" fillId="0" borderId="0" xfId="0" applyFont="1" applyAlignment="1">
      <alignment horizontal="right"/>
    </xf>
    <xf numFmtId="164" fontId="29" fillId="0" borderId="21" xfId="0" applyNumberFormat="1" applyFont="1" applyBorder="1"/>
    <xf numFmtId="164" fontId="29" fillId="0" borderId="23" xfId="0" applyNumberFormat="1" applyFont="1" applyBorder="1"/>
    <xf numFmtId="168" fontId="29" fillId="0" borderId="23" xfId="0" applyNumberFormat="1" applyFont="1" applyBorder="1"/>
    <xf numFmtId="0" fontId="32" fillId="0" borderId="0" xfId="0" applyFont="1"/>
    <xf numFmtId="0" fontId="27" fillId="4" borderId="1" xfId="0" applyFont="1" applyFill="1" applyBorder="1" applyAlignment="1">
      <alignment horizontal="center"/>
    </xf>
    <xf numFmtId="0" fontId="27" fillId="4" borderId="1" xfId="0" applyFont="1" applyFill="1" applyBorder="1"/>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164" fontId="29" fillId="10" borderId="21" xfId="0" applyNumberFormat="1" applyFont="1" applyFill="1" applyBorder="1"/>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0" fillId="11" borderId="34" xfId="0" applyFill="1" applyBorder="1"/>
    <xf numFmtId="0" fontId="0" fillId="11" borderId="2" xfId="0" applyFill="1" applyBorder="1"/>
    <xf numFmtId="0" fontId="0" fillId="11" borderId="35" xfId="0" applyFill="1" applyBorder="1"/>
    <xf numFmtId="170" fontId="0" fillId="0" borderId="35" xfId="0" applyNumberFormat="1" applyBorder="1"/>
    <xf numFmtId="0" fontId="0" fillId="11" borderId="13" xfId="0" applyFill="1" applyBorder="1"/>
    <xf numFmtId="0" fontId="29" fillId="0" borderId="13" xfId="0" applyFont="1" applyBorder="1"/>
    <xf numFmtId="168" fontId="30" fillId="0" borderId="13" xfId="7" applyNumberFormat="1" applyFont="1" applyBorder="1"/>
    <xf numFmtId="168" fontId="29" fillId="0" borderId="13" xfId="7" applyNumberFormat="1" applyFont="1" applyBorder="1"/>
    <xf numFmtId="168" fontId="0" fillId="10" borderId="13" xfId="0" applyNumberFormat="1" applyFill="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3" fontId="0" fillId="11" borderId="7" xfId="0" applyNumberFormat="1" applyFill="1" applyBorder="1"/>
    <xf numFmtId="168" fontId="0" fillId="0" borderId="7" xfId="0" applyNumberFormat="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164" fontId="0" fillId="10" borderId="13" xfId="0" applyNumberFormat="1" applyFill="1" applyBorder="1" applyAlignment="1">
      <alignment horizontal="left" indent="2"/>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168" fontId="29" fillId="0" borderId="0" xfId="0" applyNumberFormat="1" applyFont="1"/>
    <xf numFmtId="8" fontId="29" fillId="0" borderId="0" xfId="0" applyNumberFormat="1" applyFont="1" applyAlignment="1">
      <alignment horizontal="right"/>
    </xf>
    <xf numFmtId="9" fontId="29" fillId="4" borderId="0" xfId="8" applyFont="1" applyFill="1"/>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0" fontId="0" fillId="10" borderId="13" xfId="0" applyFill="1" applyBorder="1"/>
    <xf numFmtId="169" fontId="0" fillId="10" borderId="13" xfId="0" applyNumberFormat="1" applyFill="1" applyBorder="1"/>
    <xf numFmtId="9" fontId="30" fillId="10" borderId="13" xfId="8" applyFont="1" applyFill="1" applyBorder="1"/>
    <xf numFmtId="2" fontId="34" fillId="0" borderId="13" xfId="0" applyNumberFormat="1" applyFont="1" applyBorder="1" applyAlignment="1">
      <alignment horizontal="center"/>
    </xf>
    <xf numFmtId="171" fontId="0" fillId="0" borderId="13" xfId="0" applyNumberFormat="1" applyBorder="1"/>
    <xf numFmtId="7" fontId="30" fillId="0" borderId="13" xfId="1" applyNumberFormat="1" applyFont="1" applyBorder="1"/>
    <xf numFmtId="10" fontId="30" fillId="0" borderId="0" xfId="8" applyNumberFormat="1" applyFont="1"/>
    <xf numFmtId="0" fontId="0" fillId="10" borderId="7" xfId="0" applyFill="1" applyBorder="1"/>
    <xf numFmtId="0" fontId="0" fillId="0" borderId="7" xfId="0" applyBorder="1"/>
    <xf numFmtId="169" fontId="0" fillId="0" borderId="13" xfId="0" applyNumberFormat="1" applyBorder="1"/>
    <xf numFmtId="9" fontId="30" fillId="0" borderId="13" xfId="8" applyFon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2" fontId="34" fillId="0" borderId="21" xfId="0" applyNumberFormat="1" applyFont="1" applyBorder="1" applyAlignment="1">
      <alignment horizontal="center"/>
    </xf>
    <xf numFmtId="2" fontId="34" fillId="0" borderId="22" xfId="0" applyNumberFormat="1" applyFont="1" applyBorder="1" applyAlignment="1">
      <alignment horizontal="center"/>
    </xf>
    <xf numFmtId="164" fontId="29" fillId="0" borderId="13" xfId="0" applyNumberFormat="1" applyFont="1" applyBorder="1"/>
    <xf numFmtId="171" fontId="29" fillId="0" borderId="23" xfId="0" applyNumberFormat="1" applyFont="1" applyBorder="1"/>
    <xf numFmtId="7" fontId="29" fillId="0" borderId="0" xfId="0" applyNumberFormat="1" applyFont="1"/>
    <xf numFmtId="168" fontId="0" fillId="0" borderId="13" xfId="0" applyNumberFormat="1" applyBorder="1"/>
    <xf numFmtId="0" fontId="29" fillId="0" borderId="0" xfId="0" applyFont="1" applyFill="1" applyBorder="1" applyAlignment="1">
      <alignment horizontal="center"/>
    </xf>
    <xf numFmtId="164" fontId="29" fillId="0" borderId="22" xfId="0" applyNumberFormat="1" applyFont="1" applyBorder="1"/>
    <xf numFmtId="0" fontId="28" fillId="0" borderId="16" xfId="0" applyFont="1" applyBorder="1" applyAlignment="1"/>
    <xf numFmtId="164" fontId="29" fillId="0" borderId="0" xfId="0" applyNumberFormat="1" applyFont="1" applyAlignment="1">
      <alignment horizontal="right"/>
    </xf>
    <xf numFmtId="0" fontId="28" fillId="0" borderId="0" xfId="0" applyFont="1" applyAlignment="1">
      <alignment horizontal="right"/>
    </xf>
    <xf numFmtId="169" fontId="37" fillId="0" borderId="0" xfId="10" applyNumberFormat="1" applyAlignment="1" applyProtection="1">
      <alignment horizontal="right"/>
    </xf>
    <xf numFmtId="166" fontId="30" fillId="0" borderId="0" xfId="8" applyNumberFormat="1" applyFont="1"/>
    <xf numFmtId="169" fontId="27" fillId="0" borderId="0" xfId="0" applyNumberFormat="1" applyFont="1"/>
    <xf numFmtId="169" fontId="29" fillId="0" borderId="0" xfId="0" applyNumberFormat="1" applyFont="1"/>
    <xf numFmtId="169" fontId="29" fillId="12" borderId="0" xfId="0" applyNumberFormat="1" applyFont="1" applyFill="1" applyAlignment="1">
      <alignment horizontal="right"/>
    </xf>
    <xf numFmtId="169" fontId="29" fillId="13" borderId="0" xfId="0" applyNumberFormat="1" applyFont="1" applyFill="1" applyAlignment="1">
      <alignment horizontal="right"/>
    </xf>
    <xf numFmtId="0" fontId="28" fillId="0" borderId="0" xfId="0" applyFont="1" applyAlignment="1">
      <alignment horizontal="right" wrapText="1"/>
    </xf>
    <xf numFmtId="0" fontId="37" fillId="0" borderId="0" xfId="10" applyAlignment="1" applyProtection="1">
      <alignment horizontal="left" wrapText="1"/>
    </xf>
    <xf numFmtId="0" fontId="27" fillId="6" borderId="17" xfId="0" applyFont="1" applyFill="1" applyBorder="1" applyAlignment="1">
      <alignment horizontal="center"/>
    </xf>
    <xf numFmtId="0" fontId="27" fillId="6" borderId="18" xfId="0" applyFont="1" applyFill="1" applyBorder="1" applyAlignment="1">
      <alignment horizontal="center"/>
    </xf>
    <xf numFmtId="0" fontId="27" fillId="6" borderId="19" xfId="0" applyFont="1" applyFill="1" applyBorder="1" applyAlignment="1">
      <alignment horizontal="center"/>
    </xf>
    <xf numFmtId="9" fontId="30" fillId="0" borderId="13" xfId="11" applyFont="1" applyBorder="1"/>
    <xf numFmtId="0" fontId="38" fillId="0" borderId="7" xfId="0" applyFont="1" applyBorder="1"/>
    <xf numFmtId="169" fontId="0" fillId="0" borderId="13" xfId="0" applyNumberFormat="1" applyFill="1" applyBorder="1"/>
    <xf numFmtId="0" fontId="0" fillId="0" borderId="13" xfId="0" applyFill="1" applyBorder="1"/>
    <xf numFmtId="2" fontId="34" fillId="0" borderId="12" xfId="0" applyNumberFormat="1" applyFont="1" applyBorder="1" applyAlignment="1">
      <alignment horizontal="center"/>
    </xf>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168" fontId="0" fillId="10" borderId="7" xfId="0" applyNumberFormat="1" applyFill="1" applyBorder="1"/>
    <xf numFmtId="169" fontId="0" fillId="0" borderId="7" xfId="0" applyNumberFormat="1" applyFill="1" applyBorder="1" applyAlignment="1">
      <alignment horizontal="right"/>
    </xf>
    <xf numFmtId="9" fontId="29" fillId="4" borderId="0" xfId="11" applyFont="1" applyFill="1"/>
    <xf numFmtId="169" fontId="0" fillId="11" borderId="13" xfId="0" applyNumberFormat="1" applyFill="1" applyBorder="1"/>
    <xf numFmtId="10" fontId="30" fillId="0" borderId="13" xfId="11" applyNumberFormat="1" applyFont="1" applyBorder="1"/>
    <xf numFmtId="10" fontId="30" fillId="0" borderId="0" xfId="11" applyNumberFormat="1" applyFont="1"/>
    <xf numFmtId="0" fontId="0" fillId="11" borderId="7" xfId="0" applyFill="1" applyBorder="1"/>
    <xf numFmtId="0" fontId="0" fillId="11" borderId="7" xfId="0" applyFill="1" applyBorder="1" applyAlignment="1">
      <alignment horizontal="right"/>
    </xf>
    <xf numFmtId="0" fontId="0" fillId="11" borderId="13" xfId="0" applyFill="1" applyBorder="1" applyAlignment="1">
      <alignment horizontal="right"/>
    </xf>
    <xf numFmtId="169" fontId="0" fillId="11" borderId="7" xfId="0" applyNumberFormat="1" applyFill="1" applyBorder="1"/>
    <xf numFmtId="171" fontId="0" fillId="0" borderId="13" xfId="0" applyNumberFormat="1" applyBorder="1" applyAlignment="1">
      <alignment horizontal="right"/>
    </xf>
    <xf numFmtId="171" fontId="0" fillId="0" borderId="12" xfId="0" applyNumberFormat="1" applyBorder="1" applyAlignment="1">
      <alignment horizontal="right"/>
    </xf>
    <xf numFmtId="171" fontId="29" fillId="0" borderId="22" xfId="0" applyNumberFormat="1" applyFont="1" applyBorder="1"/>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164" fontId="0" fillId="0" borderId="13" xfId="0" applyNumberFormat="1" applyFill="1" applyBorder="1" applyAlignment="1">
      <alignment horizontal="right"/>
    </xf>
    <xf numFmtId="6" fontId="0" fillId="0" borderId="7" xfId="0" applyNumberFormat="1" applyBorder="1" applyAlignment="1">
      <alignment horizontal="right"/>
    </xf>
    <xf numFmtId="9" fontId="30" fillId="0" borderId="13" xfId="11" applyFont="1" applyFill="1" applyBorder="1"/>
    <xf numFmtId="164" fontId="0" fillId="4" borderId="22" xfId="0" applyNumberFormat="1" applyFill="1" applyBorder="1" applyAlignment="1">
      <alignment horizontal="right"/>
    </xf>
    <xf numFmtId="6" fontId="0" fillId="4" borderId="22" xfId="0" applyNumberFormat="1" applyFill="1" applyBorder="1" applyAlignment="1">
      <alignment horizontal="right"/>
    </xf>
    <xf numFmtId="164" fontId="0" fillId="4" borderId="23" xfId="0" applyNumberFormat="1" applyFill="1" applyBorder="1" applyAlignment="1">
      <alignment horizontal="right"/>
    </xf>
    <xf numFmtId="164" fontId="0" fillId="0" borderId="13" xfId="0" applyNumberFormat="1" applyBorder="1" applyAlignment="1">
      <alignment horizontal="right"/>
    </xf>
    <xf numFmtId="6" fontId="0" fillId="0" borderId="13" xfId="0" applyNumberFormat="1" applyBorder="1" applyAlignment="1">
      <alignment horizontal="right"/>
    </xf>
    <xf numFmtId="6" fontId="0" fillId="0" borderId="13" xfId="0" applyNumberFormat="1" applyFill="1" applyBorder="1" applyAlignment="1">
      <alignment horizontal="right"/>
    </xf>
    <xf numFmtId="164" fontId="0" fillId="0" borderId="11" xfId="0" applyNumberFormat="1" applyBorder="1" applyAlignment="1">
      <alignment horizontal="right"/>
    </xf>
    <xf numFmtId="6" fontId="0" fillId="0" borderId="11" xfId="0" applyNumberFormat="1" applyBorder="1" applyAlignment="1">
      <alignment horizontal="right"/>
    </xf>
    <xf numFmtId="6" fontId="29" fillId="0" borderId="0" xfId="0" applyNumberFormat="1" applyFont="1" applyAlignment="1">
      <alignment horizontal="right"/>
    </xf>
    <xf numFmtId="3" fontId="29" fillId="0" borderId="12" xfId="0" applyNumberFormat="1" applyFont="1" applyFill="1" applyBorder="1"/>
    <xf numFmtId="0" fontId="40" fillId="0" borderId="35" xfId="0" applyFont="1" applyFill="1" applyBorder="1" applyAlignment="1" applyProtection="1">
      <alignment horizontal="center"/>
    </xf>
    <xf numFmtId="0" fontId="41" fillId="0" borderId="7" xfId="0" applyFont="1" applyBorder="1"/>
    <xf numFmtId="10" fontId="41" fillId="0" borderId="0" xfId="11" applyNumberFormat="1" applyFont="1"/>
    <xf numFmtId="0" fontId="41" fillId="0" borderId="0" xfId="0" applyFont="1"/>
    <xf numFmtId="0" fontId="38" fillId="0" borderId="0" xfId="0" applyFont="1"/>
    <xf numFmtId="172" fontId="29" fillId="0" borderId="13" xfId="7" applyNumberFormat="1" applyFont="1" applyBorder="1"/>
    <xf numFmtId="172" fontId="30" fillId="0" borderId="13" xfId="7" applyNumberFormat="1" applyFont="1" applyBorder="1"/>
    <xf numFmtId="0" fontId="30" fillId="0" borderId="0" xfId="0" applyNumberFormat="1" applyFont="1" applyBorder="1"/>
    <xf numFmtId="0" fontId="26" fillId="0" borderId="0" xfId="9" applyAlignment="1" applyProtection="1"/>
    <xf numFmtId="174" fontId="29" fillId="4" borderId="27" xfId="0" applyNumberFormat="1" applyFont="1" applyFill="1" applyBorder="1" applyAlignment="1">
      <alignment horizontal="center"/>
    </xf>
    <xf numFmtId="174" fontId="29" fillId="0" borderId="29" xfId="0" applyNumberFormat="1" applyFont="1" applyBorder="1"/>
    <xf numFmtId="164" fontId="0" fillId="0" borderId="44" xfId="0" applyNumberFormat="1" applyBorder="1"/>
    <xf numFmtId="164" fontId="0" fillId="0" borderId="7" xfId="0" applyNumberFormat="1" applyBorder="1"/>
    <xf numFmtId="0" fontId="29" fillId="0" borderId="0" xfId="0" applyFont="1" applyAlignment="1">
      <alignment horizontal="right"/>
    </xf>
    <xf numFmtId="164" fontId="29" fillId="0" borderId="45" xfId="0" applyNumberFormat="1" applyFont="1" applyBorder="1"/>
    <xf numFmtId="164" fontId="29" fillId="0" borderId="42" xfId="0" applyNumberFormat="1" applyFont="1" applyBorder="1"/>
    <xf numFmtId="174" fontId="29" fillId="0" borderId="42" xfId="0" applyNumberFormat="1" applyFont="1" applyBorder="1"/>
    <xf numFmtId="175" fontId="0" fillId="0" borderId="35" xfId="0" applyNumberFormat="1" applyBorder="1"/>
    <xf numFmtId="174" fontId="30" fillId="0" borderId="13" xfId="7" applyNumberFormat="1" applyFont="1" applyBorder="1"/>
    <xf numFmtId="174" fontId="29" fillId="0" borderId="13" xfId="7" applyNumberFormat="1" applyFont="1" applyBorder="1"/>
    <xf numFmtId="169" fontId="37" fillId="0" borderId="0" xfId="10" applyNumberFormat="1" applyAlignment="1" applyProtection="1">
      <alignment horizontal="left"/>
    </xf>
    <xf numFmtId="166" fontId="30" fillId="0" borderId="0" xfId="11" applyNumberFormat="1" applyFont="1"/>
    <xf numFmtId="174" fontId="29" fillId="0" borderId="0" xfId="0" applyNumberFormat="1" applyFont="1"/>
    <xf numFmtId="172" fontId="30" fillId="0" borderId="7" xfId="7" applyNumberFormat="1" applyFont="1" applyBorder="1"/>
    <xf numFmtId="4" fontId="0" fillId="10" borderId="7" xfId="0" applyNumberFormat="1" applyFill="1" applyBorder="1"/>
    <xf numFmtId="164" fontId="0" fillId="10" borderId="7" xfId="0" applyNumberFormat="1" applyFill="1" applyBorder="1" applyAlignment="1">
      <alignment horizontal="left" indent="2"/>
    </xf>
    <xf numFmtId="10" fontId="30" fillId="0" borderId="13" xfId="11" applyNumberFormat="1" applyFont="1" applyFill="1" applyBorder="1"/>
    <xf numFmtId="0" fontId="42" fillId="0" borderId="46" xfId="0" applyFont="1" applyBorder="1" applyAlignment="1">
      <alignment horizontal="left" indent="2"/>
    </xf>
    <xf numFmtId="0" fontId="43" fillId="0" borderId="0" xfId="0" applyFont="1"/>
    <xf numFmtId="0" fontId="29" fillId="0" borderId="47" xfId="0" applyFont="1" applyFill="1" applyBorder="1" applyAlignment="1">
      <alignment horizontal="center" wrapText="1"/>
    </xf>
    <xf numFmtId="6" fontId="44" fillId="0" borderId="7" xfId="0" applyNumberFormat="1" applyFont="1" applyFill="1" applyBorder="1" applyAlignment="1" applyProtection="1">
      <alignment horizontal="right"/>
    </xf>
    <xf numFmtId="0" fontId="40" fillId="0" borderId="13" xfId="0" applyFont="1" applyFill="1" applyBorder="1" applyAlignment="1" applyProtection="1">
      <alignment horizontal="center"/>
    </xf>
    <xf numFmtId="171" fontId="0" fillId="0" borderId="0" xfId="0" applyNumberFormat="1" applyBorder="1" applyAlignment="1">
      <alignment horizontal="center"/>
    </xf>
    <xf numFmtId="6" fontId="0" fillId="4" borderId="23" xfId="0" applyNumberFormat="1" applyFill="1" applyBorder="1" applyAlignment="1">
      <alignment horizontal="right"/>
    </xf>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165" fontId="46" fillId="0" borderId="0" xfId="15" applyNumberFormat="1" applyFont="1" applyBorder="1"/>
    <xf numFmtId="165" fontId="46" fillId="0" borderId="0" xfId="15" applyNumberFormat="1" applyFont="1"/>
    <xf numFmtId="0" fontId="55" fillId="0" borderId="0" xfId="17" applyNumberFormat="1" applyFont="1" applyAlignment="1" applyProtection="1">
      <alignment horizontal="left"/>
      <protection locked="0"/>
    </xf>
    <xf numFmtId="44" fontId="46" fillId="0" borderId="0" xfId="15" applyFont="1"/>
    <xf numFmtId="0" fontId="46" fillId="0" borderId="0" xfId="18" applyNumberFormat="1" applyFont="1"/>
    <xf numFmtId="0" fontId="21" fillId="0" borderId="0" xfId="17" applyNumberFormat="1" applyFont="1" applyAlignment="1" applyProtection="1">
      <alignment horizontal="left"/>
      <protection locked="0"/>
    </xf>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6" fillId="0" borderId="0" xfId="15" applyNumberFormat="1" applyFont="1" applyFill="1"/>
    <xf numFmtId="9" fontId="40" fillId="0" borderId="0" xfId="18" applyFont="1" applyFill="1" applyBorder="1"/>
    <xf numFmtId="176" fontId="13" fillId="0" borderId="0" xfId="12" applyNumberFormat="1" applyFont="1" applyFill="1" applyAlignment="1">
      <alignment horizontal="left"/>
    </xf>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49" fillId="0" borderId="0" xfId="12" applyFont="1" applyAlignment="1">
      <alignment horizontal="right"/>
    </xf>
    <xf numFmtId="44" fontId="56" fillId="0" borderId="0" xfId="15" applyFont="1" applyBorder="1" applyAlignment="1">
      <alignment horizontal="center"/>
    </xf>
    <xf numFmtId="0" fontId="46" fillId="0" borderId="0" xfId="12" applyAlignment="1">
      <alignment horizontal="right"/>
    </xf>
    <xf numFmtId="44" fontId="61" fillId="0" borderId="0" xfId="15" applyFont="1"/>
    <xf numFmtId="9" fontId="40" fillId="0" borderId="51" xfId="18"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0" fontId="8" fillId="0" borderId="32" xfId="12" applyFon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44" fontId="56" fillId="0" borderId="51" xfId="15" applyFont="1" applyBorder="1" applyAlignment="1">
      <alignment horizontal="center"/>
    </xf>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2" borderId="18" xfId="15" applyNumberFormat="1" applyFont="1" applyFill="1" applyBorder="1"/>
    <xf numFmtId="0" fontId="63" fillId="0" borderId="32" xfId="12" applyFont="1" applyFill="1" applyBorder="1" applyAlignment="1">
      <alignment horizontal="right" wrapText="1"/>
    </xf>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6" fillId="0" borderId="7" xfId="18" applyNumberFormat="1" applyFont="1" applyFill="1" applyBorder="1"/>
    <xf numFmtId="9" fontId="20" fillId="0" borderId="0" xfId="18" applyFont="1" applyFill="1" applyBorder="1"/>
    <xf numFmtId="0" fontId="64" fillId="0" borderId="0" xfId="12" applyNumberFormat="1" applyFont="1" applyFill="1" applyBorder="1" applyAlignment="1">
      <alignment horizontal="left" indent="2"/>
    </xf>
    <xf numFmtId="42" fontId="46" fillId="0" borderId="2" xfId="12" applyNumberFormat="1" applyBorder="1"/>
    <xf numFmtId="0" fontId="19" fillId="0" borderId="7" xfId="12" applyFont="1" applyFill="1" applyBorder="1" applyAlignment="1">
      <alignment horizontal="right"/>
    </xf>
    <xf numFmtId="44" fontId="65" fillId="0" borderId="0" xfId="15" applyFont="1" applyAlignment="1">
      <alignment horizontal="center"/>
    </xf>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20" fillId="0" borderId="0" xfId="12" applyFont="1"/>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13" fillId="0" borderId="0" xfId="12" applyFont="1" applyFill="1" applyBorder="1"/>
    <xf numFmtId="165" fontId="49"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2" fontId="13" fillId="0" borderId="0" xfId="12" applyNumberFormat="1" applyFont="1" applyFill="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166" fontId="49" fillId="0" borderId="0" xfId="12" applyNumberFormat="1" applyFont="1" applyFill="1" applyAlignment="1">
      <alignment horizontal="right"/>
    </xf>
    <xf numFmtId="0" fontId="46" fillId="0" borderId="0" xfId="12" applyAlignment="1">
      <alignment horizontal="right"/>
    </xf>
    <xf numFmtId="44" fontId="61" fillId="0" borderId="0" xfId="15" applyFont="1"/>
    <xf numFmtId="165" fontId="49" fillId="0" borderId="0" xfId="12" applyNumberFormat="1" applyFont="1" applyBorder="1"/>
    <xf numFmtId="9" fontId="40" fillId="0" borderId="51" xfId="18" applyFont="1" applyFill="1" applyBorder="1"/>
    <xf numFmtId="0" fontId="46" fillId="0" borderId="32" xfId="12" applyBorder="1"/>
    <xf numFmtId="165" fontId="20" fillId="0" borderId="51" xfId="15" applyNumberFormat="1" applyFont="1" applyFill="1" applyBorder="1"/>
    <xf numFmtId="176" fontId="20" fillId="0" borderId="51" xfId="12" applyNumberFormat="1" applyFont="1" applyFill="1" applyBorder="1" applyAlignment="1">
      <alignment horizontal="center"/>
    </xf>
    <xf numFmtId="42" fontId="46" fillId="0" borderId="51" xfId="12" applyNumberFormat="1" applyBorder="1"/>
    <xf numFmtId="165" fontId="49" fillId="0" borderId="51" xfId="15" applyNumberFormat="1" applyFont="1" applyFill="1" applyBorder="1"/>
    <xf numFmtId="165" fontId="49" fillId="0" borderId="51" xfId="15" applyNumberFormat="1" applyFont="1"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9" fontId="40" fillId="0" borderId="32" xfId="18" applyFont="1" applyFill="1" applyBorder="1"/>
    <xf numFmtId="165" fontId="46" fillId="0" borderId="51" xfId="15" applyNumberFormat="1" applyFill="1" applyBorder="1"/>
    <xf numFmtId="165" fontId="46" fillId="0" borderId="32" xfId="15" applyNumberFormat="1" applyFill="1" applyBorder="1"/>
    <xf numFmtId="165" fontId="49" fillId="0" borderId="32" xfId="15" applyNumberFormat="1" applyFont="1" applyFill="1" applyBorder="1"/>
    <xf numFmtId="165" fontId="46" fillId="0" borderId="51" xfId="15" applyNumberFormat="1" applyBorder="1"/>
    <xf numFmtId="165" fontId="46" fillId="0" borderId="32" xfId="15" applyNumberForma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165" fontId="46" fillId="2" borderId="22" xfId="15" applyNumberFormat="1" applyFon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13" fillId="6" borderId="5" xfId="2" applyNumberFormat="1" applyFill="1" applyBorder="1"/>
    <xf numFmtId="3" fontId="46" fillId="2" borderId="22" xfId="15" applyNumberFormat="1" applyFont="1" applyFill="1" applyBorder="1"/>
    <xf numFmtId="3" fontId="46" fillId="0" borderId="0" xfId="12" applyNumberFormat="1" applyFill="1"/>
    <xf numFmtId="3" fontId="46" fillId="0" borderId="0" xfId="12" applyNumberFormat="1" applyFill="1" applyAlignment="1">
      <alignment horizontal="center"/>
    </xf>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0" fontId="64" fillId="0" borderId="0" xfId="12" applyNumberFormat="1" applyFont="1" applyFill="1" applyBorder="1" applyAlignment="1">
      <alignment horizontal="left" indent="1"/>
    </xf>
    <xf numFmtId="0" fontId="50" fillId="0" borderId="0" xfId="12" applyFont="1" applyBorder="1" applyAlignment="1">
      <alignment horizontal="center"/>
    </xf>
    <xf numFmtId="0" fontId="64" fillId="0" borderId="0" xfId="12" applyFont="1" applyFill="1" applyBorder="1" applyAlignment="1">
      <alignment horizontal="left"/>
    </xf>
    <xf numFmtId="0" fontId="64" fillId="0" borderId="0" xfId="12" applyNumberFormat="1" applyFont="1" applyBorder="1"/>
    <xf numFmtId="181" fontId="48" fillId="0" borderId="51" xfId="12" applyNumberFormat="1" applyFont="1" applyBorder="1"/>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40" fillId="0" borderId="0" xfId="18" applyFont="1" applyFill="1" applyBorder="1"/>
    <xf numFmtId="176" fontId="13" fillId="0" borderId="0" xfId="12" applyNumberFormat="1" applyFont="1" applyFill="1" applyAlignment="1">
      <alignment horizontal="left"/>
    </xf>
    <xf numFmtId="165" fontId="46"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49" fillId="0" borderId="0" xfId="12"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44" fontId="61" fillId="0" borderId="0" xfId="15" applyFont="1"/>
    <xf numFmtId="165" fontId="52" fillId="0" borderId="0" xfId="15" applyNumberFormat="1" applyFont="1"/>
    <xf numFmtId="9" fontId="40" fillId="0" borderId="51" xfId="18"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9" fontId="40" fillId="0" borderId="32" xfId="18" applyFon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53" xfId="18" applyNumberFormat="1" applyFon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13" fillId="6" borderId="5" xfId="2" applyNumberFormat="1" applyFill="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0" fontId="46" fillId="0" borderId="0" xfId="12"/>
    <xf numFmtId="49" fontId="47" fillId="0" borderId="0" xfId="12" applyNumberFormat="1" applyFont="1" applyFill="1" applyBorder="1" applyAlignment="1">
      <alignment horizontal="left" vertical="center"/>
    </xf>
    <xf numFmtId="0" fontId="49" fillId="0" borderId="0" xfId="12" applyFont="1"/>
    <xf numFmtId="0" fontId="46" fillId="0" borderId="0" xfId="12"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40" fillId="0" borderId="0" xfId="18" applyFont="1" applyFill="1" applyBorder="1"/>
    <xf numFmtId="176" fontId="13" fillId="0" borderId="0" xfId="12" applyNumberFormat="1" applyFont="1" applyFill="1" applyAlignment="1">
      <alignment horizontal="left"/>
    </xf>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166" fontId="49" fillId="0" borderId="0" xfId="12" applyNumberFormat="1" applyFont="1" applyFill="1" applyAlignment="1">
      <alignment horizontal="right"/>
    </xf>
    <xf numFmtId="44" fontId="61" fillId="0" borderId="0" xfId="15" applyFont="1"/>
    <xf numFmtId="42" fontId="46" fillId="0" borderId="8" xfId="12" applyNumberFormat="1" applyBorder="1"/>
    <xf numFmtId="42" fontId="46" fillId="0" borderId="10" xfId="12" applyNumberFormat="1" applyBorder="1"/>
    <xf numFmtId="42" fontId="46" fillId="0" borderId="5" xfId="12" applyNumberFormat="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53" xfId="18" applyNumberFormat="1" applyFon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42" fontId="49" fillId="0" borderId="0" xfId="12" applyNumberFormat="1" applyFont="1"/>
    <xf numFmtId="165" fontId="46" fillId="0" borderId="0" xfId="12" applyNumberFormat="1"/>
    <xf numFmtId="0" fontId="20" fillId="0" borderId="0" xfId="12" applyFont="1"/>
    <xf numFmtId="0" fontId="55"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13" fillId="0" borderId="0" xfId="12" applyFont="1" applyFill="1" applyBorder="1"/>
    <xf numFmtId="165" fontId="49" fillId="0" borderId="0" xfId="15" applyNumberFormat="1" applyFont="1" applyFill="1" applyBorder="1"/>
    <xf numFmtId="3" fontId="49" fillId="0" borderId="0" xfId="15" applyNumberFormat="1" applyFont="1" applyFill="1" applyBorder="1"/>
    <xf numFmtId="42" fontId="46" fillId="0" borderId="0" xfId="12" applyNumberFormat="1" applyFill="1"/>
    <xf numFmtId="165" fontId="46" fillId="0" borderId="0" xfId="12" applyNumberFormat="1" applyFill="1"/>
    <xf numFmtId="0" fontId="49" fillId="0" borderId="0" xfId="12" applyFont="1" applyFill="1"/>
    <xf numFmtId="0" fontId="49" fillId="0" borderId="0" xfId="12" applyFont="1" applyFill="1" applyAlignment="1">
      <alignment horizontal="right"/>
    </xf>
    <xf numFmtId="0" fontId="49" fillId="0" borderId="0" xfId="12" applyFont="1" applyAlignment="1">
      <alignment horizontal="right"/>
    </xf>
    <xf numFmtId="0" fontId="49" fillId="0" borderId="0" xfId="12" quotePrefix="1" applyFont="1"/>
    <xf numFmtId="165" fontId="51" fillId="0" borderId="0" xfId="12" applyNumberFormat="1" applyFont="1"/>
    <xf numFmtId="9" fontId="57" fillId="0" borderId="0" xfId="18" applyFont="1" applyFill="1" applyBorder="1"/>
    <xf numFmtId="2" fontId="13" fillId="0" borderId="0" xfId="12" applyNumberFormat="1" applyFont="1" applyFill="1" applyAlignment="1">
      <alignment horizontal="right"/>
    </xf>
    <xf numFmtId="44" fontId="49" fillId="0" borderId="0" xfId="12" applyNumberFormat="1" applyFont="1" applyAlignment="1">
      <alignment horizontal="right"/>
    </xf>
    <xf numFmtId="44" fontId="56" fillId="0" borderId="0" xfId="15" applyFont="1" applyBorder="1" applyAlignment="1">
      <alignment horizontal="center"/>
    </xf>
    <xf numFmtId="44" fontId="46" fillId="0" borderId="0" xfId="15"/>
    <xf numFmtId="0" fontId="46" fillId="0" borderId="0" xfId="18" applyNumberFormat="1"/>
    <xf numFmtId="165" fontId="46" fillId="0" borderId="0" xfId="15" applyNumberFormat="1" applyFill="1"/>
    <xf numFmtId="165" fontId="46" fillId="0" borderId="0" xfId="15" applyNumberFormat="1"/>
    <xf numFmtId="165" fontId="46" fillId="0" borderId="0" xfId="15" applyNumberFormat="1" applyBorder="1"/>
    <xf numFmtId="165" fontId="46" fillId="0" borderId="0" xfId="15" applyNumberFormat="1" applyFill="1" applyBorder="1"/>
    <xf numFmtId="3" fontId="46" fillId="0" borderId="0" xfId="15" applyNumberFormat="1" applyFill="1" applyBorder="1"/>
    <xf numFmtId="3" fontId="49" fillId="0" borderId="0" xfId="12" applyNumberFormat="1" applyFont="1" applyAlignment="1">
      <alignment horizontal="right"/>
    </xf>
    <xf numFmtId="166" fontId="49" fillId="0" borderId="0" xfId="12" applyNumberFormat="1" applyFont="1" applyFill="1" applyAlignment="1">
      <alignment horizontal="right"/>
    </xf>
    <xf numFmtId="0" fontId="46" fillId="0" borderId="0" xfId="12" applyAlignment="1">
      <alignment horizontal="right"/>
    </xf>
    <xf numFmtId="0" fontId="50" fillId="0" borderId="0" xfId="12" applyFont="1"/>
    <xf numFmtId="44" fontId="61" fillId="0" borderId="0" xfId="15" applyFont="1"/>
    <xf numFmtId="165" fontId="49" fillId="0" borderId="0" xfId="12" applyNumberFormat="1" applyFont="1" applyBorder="1"/>
    <xf numFmtId="9" fontId="40" fillId="0" borderId="51" xfId="18" applyFont="1" applyFill="1" applyBorder="1"/>
    <xf numFmtId="0" fontId="46"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9" fillId="0" borderId="51" xfId="15" applyNumberFormat="1" applyFont="1" applyFill="1" applyBorder="1"/>
    <xf numFmtId="165" fontId="49" fillId="0" borderId="51" xfId="15" applyNumberFormat="1" applyFont="1" applyBorder="1"/>
    <xf numFmtId="0" fontId="46" fillId="0" borderId="53" xfId="12"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165" fontId="46" fillId="0" borderId="51" xfId="15" applyNumberFormat="1" applyFill="1" applyBorder="1"/>
    <xf numFmtId="165" fontId="46" fillId="0" borderId="32" xfId="15" applyNumberFormat="1" applyFill="1" applyBorder="1"/>
    <xf numFmtId="165" fontId="46" fillId="0" borderId="51" xfId="15" applyNumberFormat="1" applyBorder="1"/>
    <xf numFmtId="165" fontId="46" fillId="0" borderId="32" xfId="15" applyNumberFormat="1" applyBorder="1"/>
    <xf numFmtId="165" fontId="49" fillId="2" borderId="18" xfId="15" applyNumberFormat="1" applyFont="1" applyFill="1" applyBorder="1"/>
    <xf numFmtId="165" fontId="49" fillId="2" borderId="19" xfId="15" applyNumberFormat="1" applyFon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1" fontId="57" fillId="0" borderId="50" xfId="18" applyNumberFormat="1" applyFont="1" applyFill="1" applyBorder="1" applyAlignment="1">
      <alignment horizontal="center"/>
    </xf>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0" borderId="0" xfId="12" applyNumberFormat="1" applyFill="1"/>
    <xf numFmtId="3" fontId="46" fillId="0" borderId="0" xfId="12" applyNumberFormat="1" applyFill="1" applyAlignment="1">
      <alignment horizontal="center"/>
    </xf>
    <xf numFmtId="3" fontId="46" fillId="2" borderId="33" xfId="15"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3" fillId="0" borderId="32" xfId="15" applyNumberFormat="1" applyFont="1" applyFill="1" applyBorder="1" applyAlignment="1">
      <alignment horizontal="right" wrapText="1"/>
    </xf>
    <xf numFmtId="0" fontId="19" fillId="0" borderId="7" xfId="12" applyFont="1" applyFill="1" applyBorder="1"/>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181" fontId="48" fillId="0" borderId="51" xfId="12" applyNumberFormat="1" applyFont="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50" fillId="0" borderId="0" xfId="3" applyFont="1"/>
    <xf numFmtId="44" fontId="61" fillId="0" borderId="0" xfId="20" applyFont="1"/>
    <xf numFmtId="0" fontId="16" fillId="0" borderId="0" xfId="3" applyAlignment="1">
      <alignment vertical="top"/>
    </xf>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3" fillId="0" borderId="32" xfId="20" applyNumberFormat="1" applyFont="1" applyFill="1" applyBorder="1" applyAlignment="1">
      <alignment horizontal="right" wrapText="1"/>
    </xf>
    <xf numFmtId="0" fontId="19" fillId="0" borderId="7" xfId="3" applyFont="1" applyFill="1" applyBorder="1"/>
    <xf numFmtId="166" fontId="16" fillId="0" borderId="7" xfId="4" applyNumberFormat="1" applyFont="1" applyFill="1" applyBorder="1"/>
    <xf numFmtId="0" fontId="16" fillId="0" borderId="0" xfId="3" applyNumberFormat="1" applyFont="1" applyAlignment="1">
      <alignment horizontal="left" vertical="top" wrapText="1"/>
    </xf>
    <xf numFmtId="0" fontId="26" fillId="0" borderId="0" xfId="9" applyAlignment="1" applyProtection="1">
      <alignment horizontal="right" wrapText="1"/>
    </xf>
    <xf numFmtId="0" fontId="45" fillId="0" borderId="0" xfId="0" applyFont="1" applyAlignment="1">
      <alignment horizontal="right"/>
    </xf>
    <xf numFmtId="0" fontId="26" fillId="0" borderId="0" xfId="9" applyFill="1" applyBorder="1" applyAlignment="1" applyProtection="1">
      <alignment horizontal="center" wrapText="1"/>
    </xf>
    <xf numFmtId="0" fontId="16" fillId="0" borderId="0" xfId="3"/>
    <xf numFmtId="49" fontId="47" fillId="0" borderId="0" xfId="3" applyNumberFormat="1" applyFont="1" applyFill="1" applyBorder="1" applyAlignment="1">
      <alignment horizontal="left" vertical="center"/>
    </xf>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76" fontId="13" fillId="0" borderId="0" xfId="3" applyNumberFormat="1" applyFont="1" applyFill="1" applyAlignment="1">
      <alignment horizontal="left"/>
    </xf>
    <xf numFmtId="165" fontId="49" fillId="0" borderId="0" xfId="20" applyNumberFormat="1" applyFont="1" applyBorder="1"/>
    <xf numFmtId="165" fontId="16" fillId="0" borderId="0" xfId="20" applyNumberFormat="1" applyFont="1" applyFill="1" applyBorder="1"/>
    <xf numFmtId="165" fontId="13" fillId="0" borderId="0" xfId="20" applyNumberFormat="1" applyFont="1" applyFill="1" applyBorder="1"/>
    <xf numFmtId="0" fontId="20" fillId="0" borderId="0" xfId="3"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0" fontId="13" fillId="0" borderId="0" xfId="3" applyFont="1" applyFill="1" applyBorder="1"/>
    <xf numFmtId="165"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1" fillId="0" borderId="0" xfId="20" applyFont="1"/>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0" applyNumberFormat="1" applyFont="1" applyFill="1" applyBorder="1"/>
    <xf numFmtId="165" fontId="20" fillId="0" borderId="51" xfId="20" applyNumberFormat="1" applyFont="1" applyBorder="1"/>
    <xf numFmtId="176" fontId="20" fillId="0" borderId="51" xfId="3" applyNumberFormat="1" applyFont="1" applyFill="1" applyBorder="1" applyAlignment="1">
      <alignment horizontal="center"/>
    </xf>
    <xf numFmtId="165" fontId="49" fillId="0" borderId="51" xfId="20" applyNumberFormat="1" applyFont="1" applyFill="1" applyBorder="1"/>
    <xf numFmtId="165" fontId="49" fillId="0" borderId="51" xfId="20" applyNumberFormat="1" applyFont="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51" xfId="20" applyNumberFormat="1" applyFill="1" applyBorder="1"/>
    <xf numFmtId="165" fontId="16" fillId="0" borderId="32" xfId="20" applyNumberFormat="1" applyFill="1" applyBorder="1"/>
    <xf numFmtId="165" fontId="16" fillId="0" borderId="51" xfId="20" applyNumberFormat="1" applyBorder="1"/>
    <xf numFmtId="165" fontId="16" fillId="0" borderId="32" xfId="20" applyNumberFormat="1" applyBorder="1"/>
    <xf numFmtId="3" fontId="49" fillId="0" borderId="8" xfId="20" applyNumberFormat="1" applyFont="1" applyFill="1" applyBorder="1"/>
    <xf numFmtId="3" fontId="49" fillId="0" borderId="10" xfId="20" applyNumberFormat="1" applyFont="1" applyFill="1" applyBorder="1"/>
    <xf numFmtId="3" fontId="49" fillId="0" borderId="5" xfId="20" applyNumberFormat="1" applyFon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165" fontId="16" fillId="0" borderId="32" xfId="3" applyNumberForma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0" fontId="50" fillId="0" borderId="0" xfId="3" applyFont="1" applyAlignment="1">
      <alignment horizontal="center"/>
    </xf>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0" fontId="63"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42" fontId="49" fillId="0" borderId="0" xfId="3" applyNumberFormat="1" applyFont="1"/>
    <xf numFmtId="165" fontId="16" fillId="0" borderId="0" xfId="3" applyNumberFormat="1"/>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49" fillId="0" borderId="0" xfId="20" applyNumberFormat="1" applyFont="1" applyFill="1" applyBorder="1"/>
    <xf numFmtId="3" fontId="49" fillId="0" borderId="0" xfId="20" applyNumberFormat="1" applyFont="1" applyFill="1" applyBorder="1"/>
    <xf numFmtId="42" fontId="16" fillId="0" borderId="0" xfId="3" applyNumberFormat="1" applyFill="1"/>
    <xf numFmtId="165" fontId="16" fillId="0" borderId="0" xfId="3" applyNumberFormat="1" applyFill="1"/>
    <xf numFmtId="0" fontId="49" fillId="0" borderId="0" xfId="3" applyFont="1" applyFill="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165" fontId="13" fillId="6" borderId="0" xfId="2" applyNumberFormat="1" applyFill="1"/>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2" borderId="22" xfId="20" applyNumberFormat="1" applyFont="1" applyFill="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0" fontId="63"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3" fontId="5" fillId="6" borderId="35" xfId="3" applyNumberFormat="1"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9" fillId="0" borderId="0" xfId="3" applyNumberFormat="1" applyFont="1" applyFill="1" applyAlignment="1">
      <alignment horizontal="right"/>
    </xf>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0" borderId="53" xfId="3" applyNumberFormat="1" applyBorder="1"/>
    <xf numFmtId="181" fontId="16" fillId="0" borderId="50" xfId="3" applyNumberFormat="1" applyBorder="1"/>
    <xf numFmtId="165" fontId="13" fillId="6" borderId="0" xfId="2" applyNumberFormat="1" applyFill="1"/>
    <xf numFmtId="0" fontId="49"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3" fillId="0" borderId="32" xfId="20" applyNumberFormat="1" applyFont="1" applyFill="1" applyBorder="1" applyAlignment="1">
      <alignment horizontal="right" wrapText="1"/>
    </xf>
    <xf numFmtId="166" fontId="16" fillId="0" borderId="7" xfId="4" applyNumberFormat="1" applyFont="1" applyFill="1" applyBorder="1"/>
    <xf numFmtId="9" fontId="20" fillId="0" borderId="0" xfId="4" applyFont="1" applyFill="1" applyBorder="1"/>
    <xf numFmtId="0" fontId="19" fillId="0" borderId="7" xfId="3" applyFont="1" applyFill="1" applyBorder="1" applyAlignment="1">
      <alignment horizontal="center"/>
    </xf>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1" fillId="0" borderId="0" xfId="20" applyFont="1"/>
    <xf numFmtId="172" fontId="49" fillId="0" borderId="0" xfId="3" applyNumberFormat="1" applyFont="1" applyFill="1" applyBorder="1"/>
    <xf numFmtId="0" fontId="49"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9"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9" fillId="0" borderId="0" xfId="3" applyNumberFormat="1" applyFont="1" applyFill="1" applyBorder="1"/>
    <xf numFmtId="0" fontId="8" fillId="0" borderId="0" xfId="3" applyFont="1" applyFill="1" applyBorder="1" applyAlignment="1">
      <alignment horizontal="center" vertical="center"/>
    </xf>
    <xf numFmtId="169" fontId="58"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165" fontId="52" fillId="0" borderId="0" xfId="20" applyNumberFormat="1"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2" borderId="22" xfId="20" applyNumberFormat="1" applyFont="1" applyFill="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9" fillId="0" borderId="0" xfId="3" applyFont="1" applyFill="1" applyAlignment="1">
      <alignment horizontal="right"/>
    </xf>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9" fillId="0" borderId="0" xfId="3" applyNumberFormat="1" applyFont="1" applyFill="1" applyAlignment="1">
      <alignment horizontal="right"/>
    </xf>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1" fillId="0" borderId="0" xfId="20" applyFont="1"/>
    <xf numFmtId="172" fontId="49" fillId="0" borderId="0" xfId="3" applyNumberFormat="1" applyFont="1" applyFill="1" applyBorder="1"/>
    <xf numFmtId="0" fontId="49"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9"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9" fillId="0" borderId="0" xfId="3" applyNumberFormat="1" applyFont="1" applyFill="1" applyBorder="1"/>
    <xf numFmtId="0" fontId="8" fillId="0" borderId="0" xfId="3" applyFont="1" applyFill="1" applyBorder="1" applyAlignment="1">
      <alignment horizontal="center" vertical="center"/>
    </xf>
    <xf numFmtId="169" fontId="58"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0" fontId="55" fillId="0" borderId="0" xfId="23" applyNumberFormat="1" applyFont="1" applyFill="1" applyBorder="1" applyAlignment="1" applyProtection="1">
      <alignment horizontal="left"/>
      <protection locked="0"/>
    </xf>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0" borderId="53" xfId="3" applyNumberFormat="1" applyBorder="1"/>
    <xf numFmtId="181" fontId="16" fillId="0" borderId="50" xfId="3" applyNumberFormat="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0" fontId="16" fillId="0" borderId="0" xfId="3"/>
    <xf numFmtId="49" fontId="47" fillId="0" borderId="0" xfId="3" applyNumberFormat="1" applyFont="1" applyFill="1" applyBorder="1" applyAlignment="1">
      <alignment horizontal="left" vertical="center"/>
    </xf>
    <xf numFmtId="0" fontId="49" fillId="0" borderId="0" xfId="3" applyFont="1"/>
    <xf numFmtId="0" fontId="16" fillId="0" borderId="0" xfId="3" applyFill="1" applyBorder="1"/>
    <xf numFmtId="0" fontId="3" fillId="3" borderId="0" xfId="3" applyFont="1" applyFill="1" applyBorder="1" applyAlignment="1">
      <alignment horizontal="center" vertical="center" wrapText="1"/>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165"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1"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181" fontId="16" fillId="0" borderId="53" xfId="3" applyNumberForma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0" fontId="13" fillId="6" borderId="8" xfId="2"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6" fillId="0" borderId="0" xfId="3"/>
    <xf numFmtId="49" fontId="47" fillId="0" borderId="0" xfId="3" applyNumberFormat="1" applyFont="1" applyFill="1" applyBorder="1" applyAlignment="1">
      <alignment horizontal="left" vertical="center"/>
    </xf>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Border="1" applyAlignment="1">
      <alignment horizont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Border="1" applyAlignment="1">
      <alignment horizontal="center"/>
    </xf>
    <xf numFmtId="0" fontId="55"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40"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165" fontId="49" fillId="0" borderId="0" xfId="20" applyNumberFormat="1" applyFont="1" applyFill="1" applyBorder="1"/>
    <xf numFmtId="3" fontId="49" fillId="0" borderId="0" xfId="20" applyNumberFormat="1" applyFont="1" applyFill="1" applyBorder="1"/>
    <xf numFmtId="0" fontId="49" fillId="0" borderId="0" xfId="3" applyFont="1" applyFill="1"/>
    <xf numFmtId="0" fontId="49" fillId="0" borderId="0" xfId="3" applyFont="1" applyAlignment="1">
      <alignment horizontal="right"/>
    </xf>
    <xf numFmtId="0" fontId="49" fillId="0" borderId="0" xfId="3" quotePrefix="1" applyFont="1"/>
    <xf numFmtId="44" fontId="56"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0" fontId="16" fillId="0" borderId="0" xfId="3" applyAlignment="1">
      <alignment horizontal="right"/>
    </xf>
    <xf numFmtId="0" fontId="59" fillId="0" borderId="0" xfId="3" applyFont="1"/>
    <xf numFmtId="44" fontId="61" fillId="0" borderId="0" xfId="20" applyFont="1"/>
    <xf numFmtId="172" fontId="16" fillId="0" borderId="0" xfId="21" applyNumberFormat="1" applyBorder="1"/>
    <xf numFmtId="165" fontId="16" fillId="0" borderId="0" xfId="20" applyNumberFormat="1" applyBorder="1" applyAlignment="1">
      <alignment horizontal="center"/>
    </xf>
    <xf numFmtId="165" fontId="49" fillId="2" borderId="17" xfId="20" applyNumberFormat="1" applyFont="1" applyFill="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32" xfId="20" applyNumberForma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 fontId="57" fillId="0" borderId="50" xfId="4" applyNumberFormat="1" applyFont="1" applyFill="1" applyBorder="1" applyAlignment="1">
      <alignment horizontal="center"/>
    </xf>
    <xf numFmtId="165" fontId="16" fillId="0" borderId="53" xfId="4" applyNumberFormat="1" applyFont="1" applyBorder="1"/>
    <xf numFmtId="0" fontId="49" fillId="0" borderId="32" xfId="3" applyFont="1" applyBorder="1"/>
    <xf numFmtId="165" fontId="16" fillId="2" borderId="17" xfId="20" applyNumberFormat="1" applyFont="1" applyFill="1" applyBorder="1"/>
    <xf numFmtId="165" fontId="16" fillId="2" borderId="18" xfId="20" applyNumberFormat="1" applyFont="1" applyFill="1" applyBorder="1"/>
    <xf numFmtId="165" fontId="16" fillId="0" borderId="53" xfId="3" applyNumberFormat="1" applyBorder="1"/>
    <xf numFmtId="181" fontId="16" fillId="0" borderId="50" xfId="3" applyNumberFormat="1" applyBorder="1"/>
    <xf numFmtId="165" fontId="16" fillId="2" borderId="33" xfId="20" applyNumberFormat="1" applyFont="1" applyFill="1" applyBorder="1"/>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9" fillId="0" borderId="32" xfId="3" applyFont="1" applyFill="1" applyBorder="1" applyAlignment="1">
      <alignment horizontal="right" wrapText="1"/>
    </xf>
    <xf numFmtId="0" fontId="49"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6" fillId="2" borderId="33" xfId="20" applyNumberFormat="1" applyFont="1" applyFill="1" applyBorder="1"/>
    <xf numFmtId="3" fontId="13" fillId="6" borderId="7"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3" fillId="0" borderId="0" xfId="2" applyFont="1" applyAlignment="1">
      <alignment horizontal="righ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165" fontId="20" fillId="4" borderId="8" xfId="16" applyNumberFormat="1" applyFont="1" applyFill="1" applyBorder="1" applyAlignment="1">
      <alignment horizontal="center"/>
    </xf>
    <xf numFmtId="0" fontId="19" fillId="0" borderId="5" xfId="3" applyFont="1" applyFill="1" applyBorder="1"/>
    <xf numFmtId="166" fontId="16" fillId="0" borderId="5" xfId="4" applyNumberFormat="1" applyFont="1" applyFill="1" applyBorder="1"/>
    <xf numFmtId="165" fontId="1" fillId="0" borderId="4" xfId="16" applyNumberFormat="1" applyFont="1" applyFill="1" applyBorder="1" applyAlignment="1">
      <alignment horizontal="center" vertical="center" wrapText="1"/>
    </xf>
    <xf numFmtId="165" fontId="5" fillId="0" borderId="6" xfId="16" applyNumberFormat="1" applyFont="1" applyFill="1" applyBorder="1" applyAlignment="1">
      <alignment horizontal="center" vertical="center" wrapText="1"/>
    </xf>
    <xf numFmtId="165" fontId="20" fillId="4" borderId="9" xfId="16" applyNumberFormat="1" applyFont="1" applyFill="1" applyBorder="1" applyAlignment="1">
      <alignment horizontal="center"/>
    </xf>
    <xf numFmtId="164" fontId="13" fillId="0" borderId="14" xfId="2" applyNumberFormat="1" applyBorder="1" applyAlignment="1">
      <alignment horizontal="center"/>
    </xf>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3" fillId="0" borderId="0" xfId="2" applyFont="1" applyAlignment="1">
      <alignment horizontal="righ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164" fontId="15" fillId="0" borderId="0" xfId="2" applyNumberFormat="1" applyFont="1" applyAlignment="1">
      <alignment horizontal="left"/>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165" fontId="20" fillId="4" borderId="8" xfId="16" applyNumberFormat="1" applyFont="1" applyFill="1" applyBorder="1" applyAlignment="1">
      <alignment horizontal="center"/>
    </xf>
    <xf numFmtId="0" fontId="19" fillId="0" borderId="5" xfId="3" applyFont="1" applyFill="1" applyBorder="1"/>
    <xf numFmtId="166" fontId="16" fillId="0" borderId="5" xfId="4" applyNumberFormat="1" applyFont="1" applyFill="1" applyBorder="1"/>
    <xf numFmtId="165" fontId="5" fillId="0" borderId="6" xfId="16" applyNumberFormat="1" applyFont="1" applyFill="1" applyBorder="1" applyAlignment="1">
      <alignment horizontal="center" vertical="center" wrapText="1"/>
    </xf>
    <xf numFmtId="165" fontId="20" fillId="4" borderId="9" xfId="16" applyNumberFormat="1" applyFont="1" applyFill="1" applyBorder="1" applyAlignment="1">
      <alignment horizontal="center"/>
    </xf>
    <xf numFmtId="165" fontId="5" fillId="0" borderId="4" xfId="16" applyNumberFormat="1" applyFont="1" applyFill="1" applyBorder="1" applyAlignment="1">
      <alignment horizontal="center" vertical="center" wrapText="1"/>
    </xf>
    <xf numFmtId="165" fontId="13" fillId="0" borderId="14" xfId="16" applyNumberFormat="1" applyFont="1" applyBorder="1" applyAlignment="1">
      <alignment horizontal="center"/>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7" fillId="0" borderId="13" xfId="28" applyNumberFormat="1" applyBorder="1"/>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39"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64" fontId="29" fillId="0" borderId="42" xfId="28" applyNumberFormat="1" applyFont="1" applyBorder="1"/>
    <xf numFmtId="175" fontId="67" fillId="0" borderId="35" xfId="28" applyNumberFormat="1" applyBorder="1"/>
    <xf numFmtId="174" fontId="30" fillId="0" borderId="13" xfId="29" applyNumberFormat="1" applyFont="1" applyBorder="1"/>
    <xf numFmtId="174" fontId="29" fillId="0" borderId="13" xfId="29"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39" applyFont="1" applyFill="1" applyBorder="1" applyAlignment="1">
      <alignment horizontal="right"/>
    </xf>
    <xf numFmtId="44" fontId="29" fillId="0" borderId="27" xfId="39" applyFont="1" applyFill="1" applyBorder="1" applyAlignment="1">
      <alignment horizontal="right"/>
    </xf>
    <xf numFmtId="165" fontId="0" fillId="0" borderId="0" xfId="1" applyNumberFormat="1" applyFont="1" applyFill="1"/>
    <xf numFmtId="0" fontId="72" fillId="0" borderId="0" xfId="0" applyFont="1"/>
    <xf numFmtId="0" fontId="71" fillId="0" borderId="0" xfId="0" applyFont="1"/>
    <xf numFmtId="0" fontId="26" fillId="14" borderId="43" xfId="9" applyFill="1" applyBorder="1" applyAlignment="1" applyProtection="1">
      <alignment horizontal="center" wrapText="1"/>
    </xf>
    <xf numFmtId="0" fontId="0" fillId="14" borderId="0" xfId="0" applyFill="1"/>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23"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31" xfId="28" applyNumberFormat="1" applyFont="1" applyBorder="1"/>
    <xf numFmtId="164" fontId="29" fillId="0" borderId="21"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0" fontId="67" fillId="0" borderId="13" xfId="28" applyFill="1" applyBorder="1" applyAlignment="1">
      <alignment horizontal="left" indent="2"/>
    </xf>
    <xf numFmtId="0" fontId="67" fillId="0" borderId="7" xfId="28" applyFill="1" applyBorder="1" applyAlignment="1">
      <alignment horizontal="left" indent="2"/>
    </xf>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0" fontId="67" fillId="0" borderId="13" xfId="28" applyFill="1" applyBorder="1" applyAlignment="1">
      <alignment horizontal="left" indent="2"/>
    </xf>
    <xf numFmtId="0" fontId="67" fillId="0" borderId="7" xfId="28" applyFill="1" applyBorder="1" applyAlignment="1">
      <alignment horizontal="left" indent="2"/>
    </xf>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67" fillId="0" borderId="39" xfId="28" applyBorder="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169" fontId="67" fillId="0" borderId="13" xfId="28" applyNumberFormat="1" applyFill="1" applyBorder="1" applyAlignment="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7"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67" fillId="0" borderId="13" xfId="28" applyNumberFormat="1" applyBorder="1" applyAlignment="1">
      <alignment horizontal="right"/>
    </xf>
    <xf numFmtId="171" fontId="67"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67" fillId="0" borderId="30" xfId="28" applyNumberFormat="1" applyBorder="1"/>
    <xf numFmtId="164" fontId="67" fillId="0" borderId="11" xfId="28" applyNumberFormat="1" applyBorder="1"/>
    <xf numFmtId="164" fontId="29" fillId="0" borderId="21" xfId="28" applyNumberFormat="1" applyFont="1" applyBorder="1"/>
    <xf numFmtId="164" fontId="29" fillId="0" borderId="23"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31" xfId="28" applyNumberFormat="1" applyFont="1" applyBorder="1"/>
    <xf numFmtId="168" fontId="29" fillId="0" borderId="23" xfId="28" applyNumberFormat="1" applyFont="1" applyBorder="1"/>
    <xf numFmtId="168" fontId="67" fillId="0" borderId="13" xfId="28" applyNumberFormat="1" applyBorder="1"/>
    <xf numFmtId="168" fontId="67" fillId="0" borderId="7" xfId="28" applyNumberFormat="1" applyBorder="1"/>
    <xf numFmtId="0" fontId="31" fillId="0" borderId="0" xfId="28" applyFont="1"/>
    <xf numFmtId="169" fontId="67"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8" fillId="0" borderId="0" xfId="28" applyFont="1" applyFill="1" applyBorder="1" applyAlignment="1">
      <alignment wrapText="1"/>
    </xf>
    <xf numFmtId="0" fontId="67"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7" fillId="0" borderId="7" xfId="28" applyBorder="1"/>
    <xf numFmtId="0" fontId="67" fillId="0" borderId="0" xfId="28" applyFill="1"/>
    <xf numFmtId="0" fontId="67" fillId="0" borderId="7" xfId="28" applyBorder="1" applyAlignment="1">
      <alignment horizontal="left" indent="2"/>
    </xf>
    <xf numFmtId="0" fontId="67"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7" fillId="0" borderId="13" xfId="28" applyBorder="1" applyAlignment="1">
      <alignment horizontal="left" indent="2"/>
    </xf>
    <xf numFmtId="169" fontId="67" fillId="0" borderId="13" xfId="28" applyNumberForma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7" fillId="0" borderId="0" xfId="28" applyFill="1" applyBorder="1"/>
    <xf numFmtId="0" fontId="29" fillId="0" borderId="13" xfId="28" applyFont="1" applyBorder="1"/>
    <xf numFmtId="9" fontId="30" fillId="0" borderId="13" xfId="11" applyFont="1" applyBorder="1"/>
    <xf numFmtId="169" fontId="67"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7"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7" fillId="6" borderId="37" xfId="28" applyFill="1" applyBorder="1"/>
    <xf numFmtId="0" fontId="67" fillId="11" borderId="8" xfId="28" applyFill="1" applyBorder="1"/>
    <xf numFmtId="0" fontId="67" fillId="11" borderId="10" xfId="28" applyFill="1" applyBorder="1"/>
    <xf numFmtId="0" fontId="67" fillId="11" borderId="5" xfId="28" applyFill="1" applyBorder="1"/>
    <xf numFmtId="0" fontId="67" fillId="11" borderId="2" xfId="28" applyFill="1" applyBorder="1"/>
    <xf numFmtId="0" fontId="67"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7"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xf numFmtId="0" fontId="27" fillId="4" borderId="1" xfId="28" applyFont="1" applyFill="1" applyBorder="1" applyAlignment="1">
      <alignment horizontal="center"/>
    </xf>
    <xf numFmtId="164" fontId="67" fillId="4" borderId="25" xfId="28" applyNumberFormat="1" applyFont="1" applyFill="1" applyBorder="1" applyAlignment="1">
      <alignment horizontal="right"/>
    </xf>
    <xf numFmtId="164" fontId="67" fillId="4" borderId="26" xfId="28" applyNumberFormat="1" applyFont="1" applyFill="1" applyBorder="1" applyAlignment="1">
      <alignment horizontal="right"/>
    </xf>
    <xf numFmtId="164" fontId="67" fillId="0" borderId="28" xfId="28" applyNumberFormat="1" applyBorder="1"/>
    <xf numFmtId="164" fontId="67"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67" fillId="0" borderId="44" xfId="28" applyNumberFormat="1" applyBorder="1"/>
    <xf numFmtId="164" fontId="67" fillId="0" borderId="7" xfId="28" applyNumberFormat="1" applyBorder="1"/>
    <xf numFmtId="0" fontId="29" fillId="0" borderId="0" xfId="28" applyFont="1" applyAlignment="1">
      <alignment horizontal="right"/>
    </xf>
    <xf numFmtId="164" fontId="29" fillId="0" borderId="45" xfId="28" applyNumberFormat="1" applyFont="1" applyBorder="1"/>
    <xf numFmtId="175" fontId="67"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7" fillId="0" borderId="13" xfId="28" applyNumberFormat="1" applyBorder="1" applyAlignment="1">
      <alignment horizontal="center"/>
    </xf>
    <xf numFmtId="171" fontId="67" fillId="0" borderId="12" xfId="28" applyNumberFormat="1" applyBorder="1" applyAlignment="1">
      <alignment horizontal="center"/>
    </xf>
    <xf numFmtId="0" fontId="31" fillId="0" borderId="0" xfId="28" applyFont="1"/>
    <xf numFmtId="9" fontId="30" fillId="0" borderId="13" xfId="11" applyFont="1" applyFill="1" applyBorder="1"/>
    <xf numFmtId="169" fontId="67" fillId="0" borderId="13" xfId="28" applyNumberFormat="1" applyFill="1" applyBorder="1" applyAlignment="1">
      <alignment horizontal="right"/>
    </xf>
    <xf numFmtId="6" fontId="44"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26" fillId="0" borderId="43" xfId="9" applyFill="1" applyBorder="1" applyAlignment="1" applyProtection="1">
      <alignment horizontal="center" wrapText="1"/>
    </xf>
    <xf numFmtId="0" fontId="67" fillId="0" borderId="32" xfId="28" applyFill="1" applyBorder="1" applyAlignment="1">
      <alignment horizontal="left" indent="2"/>
    </xf>
    <xf numFmtId="165" fontId="29" fillId="0" borderId="21" xfId="1" applyNumberFormat="1" applyFont="1" applyBorder="1" applyAlignment="1">
      <alignment horizontal="center"/>
    </xf>
    <xf numFmtId="165" fontId="29" fillId="0" borderId="22" xfId="1" applyNumberFormat="1" applyFont="1" applyBorder="1" applyAlignment="1">
      <alignment horizontal="center"/>
    </xf>
    <xf numFmtId="165" fontId="29" fillId="0" borderId="23" xfId="1" applyNumberFormat="1" applyFont="1" applyBorder="1" applyAlignment="1">
      <alignment horizontal="center"/>
    </xf>
    <xf numFmtId="172" fontId="0" fillId="0" borderId="0" xfId="7" applyNumberFormat="1" applyFont="1"/>
    <xf numFmtId="172" fontId="29" fillId="0" borderId="23" xfId="7" applyNumberFormat="1" applyFont="1" applyBorder="1" applyAlignment="1">
      <alignment horizontal="center" wrapText="1"/>
    </xf>
    <xf numFmtId="0" fontId="45" fillId="0" borderId="0" xfId="0" applyFont="1" applyAlignment="1">
      <alignment horizontal="center"/>
    </xf>
    <xf numFmtId="0" fontId="45" fillId="0" borderId="0" xfId="0" applyFont="1"/>
    <xf numFmtId="0" fontId="74" fillId="0" borderId="0" xfId="9" applyFont="1" applyFill="1" applyBorder="1" applyAlignment="1" applyProtection="1">
      <alignment horizontal="center" wrapText="1"/>
    </xf>
    <xf numFmtId="165" fontId="45" fillId="0" borderId="0" xfId="1" applyNumberFormat="1" applyFont="1"/>
    <xf numFmtId="172" fontId="45" fillId="0" borderId="0" xfId="7" applyNumberFormat="1" applyFont="1"/>
    <xf numFmtId="0" fontId="74" fillId="0" borderId="43" xfId="9" applyFont="1" applyFill="1" applyBorder="1" applyAlignment="1" applyProtection="1">
      <alignment horizontal="center" wrapText="1"/>
    </xf>
    <xf numFmtId="182" fontId="0" fillId="0" borderId="0" xfId="7" applyNumberFormat="1" applyFont="1"/>
    <xf numFmtId="165" fontId="29" fillId="0" borderId="0" xfId="1" applyNumberFormat="1" applyFont="1" applyFill="1" applyBorder="1" applyAlignment="1">
      <alignment horizontal="center"/>
    </xf>
    <xf numFmtId="0" fontId="0" fillId="0" borderId="0" xfId="0"/>
    <xf numFmtId="0" fontId="21" fillId="0" borderId="0" xfId="0" applyFont="1"/>
    <xf numFmtId="0" fontId="21" fillId="0" borderId="0" xfId="0" applyFont="1" applyBorder="1"/>
    <xf numFmtId="0" fontId="4" fillId="0" borderId="51" xfId="0" applyFont="1" applyFill="1" applyBorder="1" applyAlignment="1">
      <alignment horizontal="right"/>
    </xf>
    <xf numFmtId="0" fontId="21" fillId="0" borderId="18" xfId="0" applyFont="1" applyBorder="1" applyAlignment="1">
      <alignment vertical="center"/>
    </xf>
    <xf numFmtId="0" fontId="21" fillId="0" borderId="18" xfId="0" applyFont="1" applyBorder="1" applyAlignment="1">
      <alignment vertical="center" wrapText="1"/>
    </xf>
    <xf numFmtId="0" fontId="0" fillId="0" borderId="54" xfId="0" applyBorder="1"/>
    <xf numFmtId="0" fontId="0" fillId="0" borderId="55" xfId="0" applyBorder="1"/>
    <xf numFmtId="0" fontId="0" fillId="0" borderId="56" xfId="0" applyBorder="1"/>
    <xf numFmtId="0" fontId="0" fillId="0" borderId="47" xfId="0" applyBorder="1"/>
    <xf numFmtId="0" fontId="0" fillId="0" borderId="59" xfId="0" applyBorder="1"/>
    <xf numFmtId="0" fontId="0" fillId="0" borderId="60" xfId="0" applyBorder="1"/>
    <xf numFmtId="0" fontId="0" fillId="0" borderId="64" xfId="0" applyBorder="1"/>
    <xf numFmtId="0" fontId="0" fillId="0" borderId="10" xfId="0" applyBorder="1"/>
    <xf numFmtId="0" fontId="20" fillId="0" borderId="10" xfId="0" applyFont="1" applyBorder="1"/>
    <xf numFmtId="0" fontId="0" fillId="0" borderId="0" xfId="0" applyBorder="1"/>
    <xf numFmtId="0" fontId="15" fillId="0" borderId="0" xfId="0" applyFont="1"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57" xfId="0" applyBorder="1"/>
    <xf numFmtId="42" fontId="77" fillId="0" borderId="57" xfId="0" applyNumberFormat="1" applyFont="1" applyBorder="1"/>
    <xf numFmtId="0" fontId="0" fillId="0" borderId="69" xfId="0" applyBorder="1"/>
    <xf numFmtId="0" fontId="0" fillId="0" borderId="62" xfId="0" applyBorder="1"/>
    <xf numFmtId="0" fontId="0" fillId="0" borderId="44" xfId="0" applyBorder="1"/>
    <xf numFmtId="0" fontId="0" fillId="0" borderId="5" xfId="0" applyBorder="1"/>
    <xf numFmtId="0" fontId="0" fillId="0" borderId="7" xfId="0" applyBorder="1"/>
    <xf numFmtId="0" fontId="0" fillId="0" borderId="70" xfId="0" applyBorder="1"/>
    <xf numFmtId="0" fontId="0" fillId="0" borderId="2" xfId="0" applyBorder="1"/>
    <xf numFmtId="3" fontId="75" fillId="0" borderId="68" xfId="0" applyNumberFormat="1" applyFont="1" applyFill="1" applyBorder="1"/>
    <xf numFmtId="3" fontId="75" fillId="0" borderId="57" xfId="0" applyNumberFormat="1" applyFont="1" applyFill="1" applyBorder="1"/>
    <xf numFmtId="0" fontId="13" fillId="0" borderId="57" xfId="0" applyFont="1" applyBorder="1"/>
    <xf numFmtId="0" fontId="0" fillId="0" borderId="57" xfId="0" applyFill="1" applyBorder="1"/>
    <xf numFmtId="0" fontId="4" fillId="0" borderId="69" xfId="0" applyFont="1" applyBorder="1"/>
    <xf numFmtId="0" fontId="4" fillId="0" borderId="72" xfId="0" applyFont="1" applyBorder="1"/>
    <xf numFmtId="0" fontId="13" fillId="0" borderId="72" xfId="0" applyFont="1" applyBorder="1"/>
    <xf numFmtId="0" fontId="13" fillId="0" borderId="0" xfId="0" applyFont="1" applyBorder="1"/>
    <xf numFmtId="0" fontId="21" fillId="15" borderId="64" xfId="0" applyFont="1" applyFill="1" applyBorder="1"/>
    <xf numFmtId="0" fontId="21" fillId="15" borderId="10" xfId="0" applyFont="1" applyFill="1" applyBorder="1"/>
    <xf numFmtId="0" fontId="75" fillId="15" borderId="10" xfId="0" applyFont="1" applyFill="1" applyBorder="1"/>
    <xf numFmtId="0" fontId="0" fillId="0" borderId="73" xfId="0" applyBorder="1"/>
    <xf numFmtId="0" fontId="0" fillId="0" borderId="74" xfId="0" applyBorder="1"/>
    <xf numFmtId="0" fontId="0" fillId="0" borderId="75" xfId="0" applyBorder="1"/>
    <xf numFmtId="0" fontId="0" fillId="0" borderId="58" xfId="0" applyBorder="1"/>
    <xf numFmtId="0" fontId="0" fillId="0" borderId="58" xfId="0" applyFill="1" applyBorder="1"/>
    <xf numFmtId="0" fontId="0" fillId="0" borderId="76" xfId="0" applyBorder="1"/>
    <xf numFmtId="0" fontId="0" fillId="0" borderId="77" xfId="0" applyBorder="1"/>
    <xf numFmtId="0" fontId="0" fillId="0" borderId="78" xfId="0" applyBorder="1"/>
    <xf numFmtId="0" fontId="79" fillId="4" borderId="70" xfId="0" applyFont="1" applyFill="1" applyBorder="1" applyAlignment="1">
      <alignment horizontal="left"/>
    </xf>
    <xf numFmtId="0" fontId="79" fillId="4" borderId="2" xfId="0" applyFont="1" applyFill="1" applyBorder="1" applyAlignment="1">
      <alignment horizontal="left"/>
    </xf>
    <xf numFmtId="0" fontId="79" fillId="4" borderId="2" xfId="0" applyFont="1" applyFill="1" applyBorder="1" applyAlignment="1">
      <alignment horizontal="right"/>
    </xf>
    <xf numFmtId="0" fontId="0" fillId="0" borderId="79" xfId="0" applyBorder="1"/>
    <xf numFmtId="0" fontId="0" fillId="0" borderId="80" xfId="0" applyBorder="1"/>
    <xf numFmtId="0" fontId="0" fillId="0" borderId="81" xfId="0" applyBorder="1"/>
    <xf numFmtId="0" fontId="0" fillId="0" borderId="63" xfId="0" applyBorder="1"/>
    <xf numFmtId="0" fontId="20" fillId="0" borderId="5" xfId="0" applyFont="1" applyBorder="1"/>
    <xf numFmtId="0" fontId="20" fillId="0" borderId="7" xfId="0" applyFont="1" applyBorder="1"/>
    <xf numFmtId="0" fontId="20" fillId="0" borderId="8" xfId="0" applyFont="1" applyBorder="1"/>
    <xf numFmtId="0" fontId="0" fillId="0" borderId="38" xfId="0" applyBorder="1"/>
    <xf numFmtId="0" fontId="0" fillId="0" borderId="82" xfId="0" applyBorder="1"/>
    <xf numFmtId="0" fontId="20" fillId="0" borderId="16" xfId="0" applyFont="1" applyBorder="1"/>
    <xf numFmtId="0" fontId="0" fillId="0" borderId="0" xfId="0" applyBorder="1" applyAlignment="1">
      <alignment vertical="center"/>
    </xf>
    <xf numFmtId="0" fontId="0" fillId="0" borderId="0" xfId="0" applyFill="1" applyBorder="1" applyAlignment="1">
      <alignment vertical="center"/>
    </xf>
    <xf numFmtId="0" fontId="79" fillId="0" borderId="0" xfId="0" applyFont="1" applyFill="1" applyBorder="1" applyAlignment="1">
      <alignment vertical="center"/>
    </xf>
    <xf numFmtId="0" fontId="45" fillId="0" borderId="0" xfId="0" applyFont="1" applyAlignment="1">
      <alignment horizontal="left"/>
    </xf>
    <xf numFmtId="0" fontId="21" fillId="0" borderId="0" xfId="0" applyFont="1" applyBorder="1" applyAlignment="1"/>
    <xf numFmtId="42" fontId="0" fillId="0" borderId="0" xfId="0" applyNumberFormat="1" applyBorder="1"/>
    <xf numFmtId="3" fontId="21" fillId="16" borderId="36" xfId="0" applyNumberFormat="1" applyFont="1" applyFill="1" applyBorder="1"/>
    <xf numFmtId="3" fontId="21" fillId="16" borderId="48" xfId="0" applyNumberFormat="1" applyFont="1" applyFill="1" applyBorder="1"/>
    <xf numFmtId="0" fontId="75" fillId="16" borderId="48" xfId="0" applyFont="1" applyFill="1" applyBorder="1"/>
    <xf numFmtId="42" fontId="21" fillId="16" borderId="48" xfId="0" applyNumberFormat="1" applyFont="1" applyFill="1" applyBorder="1"/>
    <xf numFmtId="0" fontId="21" fillId="17" borderId="64" xfId="0" applyFont="1" applyFill="1" applyBorder="1"/>
    <xf numFmtId="0" fontId="21" fillId="17" borderId="10" xfId="0" applyFont="1" applyFill="1" applyBorder="1"/>
    <xf numFmtId="0" fontId="75" fillId="17" borderId="10" xfId="0" applyFont="1" applyFill="1" applyBorder="1"/>
    <xf numFmtId="0" fontId="21" fillId="18" borderId="64" xfId="0" applyFont="1" applyFill="1" applyBorder="1"/>
    <xf numFmtId="0" fontId="21" fillId="18" borderId="10" xfId="0" applyFont="1" applyFill="1" applyBorder="1"/>
    <xf numFmtId="3" fontId="75" fillId="19" borderId="71" xfId="0" applyNumberFormat="1" applyFont="1" applyFill="1" applyBorder="1"/>
    <xf numFmtId="3" fontId="75" fillId="19" borderId="53" xfId="0" applyNumberFormat="1" applyFont="1" applyFill="1" applyBorder="1"/>
    <xf numFmtId="0" fontId="75" fillId="19" borderId="53" xfId="0" applyFont="1" applyFill="1" applyBorder="1"/>
    <xf numFmtId="3" fontId="21" fillId="20" borderId="64" xfId="0" applyNumberFormat="1" applyFont="1" applyFill="1" applyBorder="1"/>
    <xf numFmtId="3" fontId="21" fillId="20" borderId="10" xfId="0" applyNumberFormat="1" applyFont="1" applyFill="1" applyBorder="1"/>
    <xf numFmtId="0" fontId="21" fillId="20" borderId="10" xfId="0" applyFont="1" applyFill="1" applyBorder="1"/>
    <xf numFmtId="0" fontId="0" fillId="0" borderId="32" xfId="0" applyBorder="1" applyAlignment="1">
      <alignment vertical="center"/>
    </xf>
    <xf numFmtId="0" fontId="0" fillId="0" borderId="55" xfId="0" applyFill="1" applyBorder="1"/>
    <xf numFmtId="0" fontId="0" fillId="0" borderId="56" xfId="0" applyFill="1" applyBorder="1"/>
    <xf numFmtId="0" fontId="83" fillId="0" borderId="57" xfId="0" applyFont="1" applyFill="1" applyBorder="1"/>
    <xf numFmtId="0" fontId="83" fillId="0" borderId="56" xfId="0" applyFont="1" applyFill="1" applyBorder="1"/>
    <xf numFmtId="0" fontId="83" fillId="21" borderId="57" xfId="0" applyFont="1" applyFill="1" applyBorder="1" applyAlignment="1">
      <alignment horizontal="left"/>
    </xf>
    <xf numFmtId="0" fontId="84" fillId="21" borderId="57" xfId="0" applyFont="1" applyFill="1" applyBorder="1"/>
    <xf numFmtId="0" fontId="85" fillId="21" borderId="57" xfId="0" applyFont="1" applyFill="1" applyBorder="1"/>
    <xf numFmtId="0" fontId="83" fillId="21" borderId="57" xfId="0" applyFont="1" applyFill="1" applyBorder="1"/>
    <xf numFmtId="0" fontId="83" fillId="21" borderId="56" xfId="0" applyFont="1" applyFill="1" applyBorder="1"/>
    <xf numFmtId="0" fontId="83" fillId="21" borderId="58" xfId="0" applyFont="1" applyFill="1" applyBorder="1"/>
    <xf numFmtId="0" fontId="83" fillId="21" borderId="72" xfId="0" applyFont="1" applyFill="1" applyBorder="1"/>
    <xf numFmtId="0" fontId="45" fillId="0" borderId="0" xfId="0" applyFont="1"/>
    <xf numFmtId="3" fontId="45" fillId="0" borderId="0" xfId="0" applyNumberFormat="1" applyFont="1" applyBorder="1"/>
    <xf numFmtId="0" fontId="86" fillId="0" borderId="0" xfId="0" applyFont="1"/>
    <xf numFmtId="0" fontId="79" fillId="4" borderId="39" xfId="0" applyFont="1" applyFill="1" applyBorder="1" applyAlignment="1">
      <alignment vertical="center"/>
    </xf>
    <xf numFmtId="6" fontId="45" fillId="0" borderId="8" xfId="0" applyNumberFormat="1" applyFont="1" applyBorder="1"/>
    <xf numFmtId="0" fontId="0" fillId="16" borderId="8" xfId="0" applyFill="1" applyBorder="1"/>
    <xf numFmtId="0" fontId="0" fillId="23" borderId="8" xfId="0" applyFill="1" applyBorder="1"/>
    <xf numFmtId="0" fontId="0" fillId="21" borderId="55" xfId="0" applyFont="1" applyFill="1" applyBorder="1"/>
    <xf numFmtId="0" fontId="0" fillId="21" borderId="58" xfId="0" applyFont="1" applyFill="1" applyBorder="1"/>
    <xf numFmtId="0" fontId="0" fillId="21" borderId="56" xfId="0" applyFill="1" applyBorder="1"/>
    <xf numFmtId="0" fontId="20" fillId="0" borderId="16" xfId="0" applyFont="1" applyFill="1" applyBorder="1"/>
    <xf numFmtId="184" fontId="4" fillId="0" borderId="16" xfId="0" applyNumberFormat="1" applyFont="1" applyBorder="1" applyAlignment="1">
      <alignment horizontal="left"/>
    </xf>
    <xf numFmtId="42" fontId="0" fillId="0" borderId="16" xfId="0" applyNumberFormat="1" applyBorder="1"/>
    <xf numFmtId="3" fontId="20" fillId="0" borderId="16" xfId="0" applyNumberFormat="1" applyFont="1" applyBorder="1"/>
    <xf numFmtId="3" fontId="0" fillId="0" borderId="0" xfId="0" applyNumberFormat="1" applyBorder="1"/>
    <xf numFmtId="0" fontId="87" fillId="0" borderId="68" xfId="0" applyFont="1" applyBorder="1"/>
    <xf numFmtId="0" fontId="87" fillId="0" borderId="55" xfId="0" applyFont="1" applyFill="1" applyBorder="1"/>
    <xf numFmtId="0" fontId="87" fillId="0" borderId="58" xfId="0" applyFont="1" applyFill="1" applyBorder="1"/>
    <xf numFmtId="164" fontId="0" fillId="6" borderId="32" xfId="0" applyNumberFormat="1" applyFill="1" applyBorder="1" applyAlignment="1">
      <alignment horizontal="center"/>
    </xf>
    <xf numFmtId="0" fontId="13" fillId="0" borderId="87" xfId="0" applyFont="1" applyBorder="1" applyAlignment="1">
      <alignment wrapText="1"/>
    </xf>
    <xf numFmtId="0" fontId="0" fillId="0" borderId="0" xfId="0"/>
    <xf numFmtId="0" fontId="0" fillId="0" borderId="0" xfId="0" applyAlignment="1">
      <alignment wrapText="1"/>
    </xf>
    <xf numFmtId="0" fontId="0" fillId="0" borderId="57" xfId="0" applyBorder="1"/>
    <xf numFmtId="0" fontId="0" fillId="0" borderId="69" xfId="0" applyBorder="1"/>
    <xf numFmtId="0" fontId="0" fillId="0" borderId="56" xfId="0" applyFill="1" applyBorder="1"/>
    <xf numFmtId="0" fontId="83" fillId="21" borderId="72" xfId="0" applyFont="1" applyFill="1" applyBorder="1"/>
    <xf numFmtId="0" fontId="45" fillId="0" borderId="0" xfId="0" applyFont="1"/>
    <xf numFmtId="0" fontId="88" fillId="0" borderId="58" xfId="0" applyFont="1" applyFill="1" applyBorder="1"/>
    <xf numFmtId="165" fontId="0" fillId="0" borderId="0" xfId="1" applyNumberFormat="1" applyFont="1"/>
    <xf numFmtId="0" fontId="13" fillId="0" borderId="88" xfId="0" applyFont="1" applyBorder="1" applyAlignment="1">
      <alignment wrapText="1"/>
    </xf>
    <xf numFmtId="0" fontId="0" fillId="0" borderId="72" xfId="0" applyBorder="1"/>
    <xf numFmtId="0" fontId="89" fillId="24" borderId="89" xfId="28" applyFont="1" applyFill="1" applyBorder="1"/>
    <xf numFmtId="0" fontId="89" fillId="24" borderId="90" xfId="28" applyFont="1" applyFill="1" applyBorder="1"/>
    <xf numFmtId="164" fontId="29" fillId="0" borderId="0" xfId="28" applyNumberFormat="1" applyFont="1" applyBorder="1"/>
    <xf numFmtId="174" fontId="29" fillId="0" borderId="0" xfId="28" applyNumberFormat="1" applyFont="1" applyBorder="1"/>
    <xf numFmtId="166" fontId="29" fillId="0" borderId="0" xfId="11" applyNumberFormat="1" applyFont="1" applyFill="1" applyBorder="1" applyAlignment="1">
      <alignment horizontal="right"/>
    </xf>
    <xf numFmtId="44" fontId="29" fillId="0" borderId="0" xfId="39" applyFont="1" applyFill="1" applyBorder="1" applyAlignment="1">
      <alignment horizontal="right"/>
    </xf>
    <xf numFmtId="164" fontId="29" fillId="0" borderId="0" xfId="28" applyNumberFormat="1" applyFont="1" applyBorder="1" applyAlignment="1">
      <alignment horizontal="right"/>
    </xf>
    <xf numFmtId="0" fontId="3" fillId="3" borderId="0" xfId="3" applyFont="1" applyFill="1" applyBorder="1" applyAlignment="1">
      <alignment horizontal="center" vertical="center" wrapText="1"/>
    </xf>
    <xf numFmtId="3" fontId="0" fillId="0" borderId="55" xfId="0" applyNumberFormat="1" applyFill="1" applyBorder="1" applyProtection="1"/>
    <xf numFmtId="42" fontId="0" fillId="0" borderId="55" xfId="0" applyNumberFormat="1" applyFill="1" applyBorder="1" applyProtection="1"/>
    <xf numFmtId="37" fontId="0" fillId="0" borderId="55" xfId="0" applyNumberFormat="1" applyFill="1" applyBorder="1" applyProtection="1"/>
    <xf numFmtId="37" fontId="0" fillId="21" borderId="56" xfId="0" applyNumberFormat="1" applyFont="1" applyFill="1" applyBorder="1" applyProtection="1"/>
    <xf numFmtId="165" fontId="0" fillId="21" borderId="55" xfId="1" applyNumberFormat="1" applyFont="1" applyFill="1" applyBorder="1" applyProtection="1"/>
    <xf numFmtId="37" fontId="0" fillId="21" borderId="55" xfId="0" applyNumberFormat="1" applyFont="1" applyFill="1" applyBorder="1" applyProtection="1"/>
    <xf numFmtId="42" fontId="0" fillId="0" borderId="55" xfId="0" applyNumberFormat="1" applyFont="1" applyFill="1" applyBorder="1" applyProtection="1"/>
    <xf numFmtId="42" fontId="0" fillId="22" borderId="55" xfId="0" applyNumberFormat="1" applyFill="1" applyBorder="1" applyProtection="1"/>
    <xf numFmtId="37" fontId="5" fillId="0" borderId="10" xfId="0" applyNumberFormat="1" applyFont="1" applyFill="1" applyBorder="1" applyProtection="1"/>
    <xf numFmtId="37" fontId="5" fillId="23" borderId="10" xfId="0" applyNumberFormat="1" applyFont="1" applyFill="1" applyBorder="1" applyProtection="1"/>
    <xf numFmtId="186" fontId="5" fillId="0" borderId="0" xfId="1" applyNumberFormat="1" applyFont="1" applyFill="1" applyBorder="1" applyProtection="1"/>
    <xf numFmtId="42" fontId="15" fillId="0" borderId="0" xfId="0" applyNumberFormat="1" applyFont="1" applyBorder="1" applyProtection="1"/>
    <xf numFmtId="3" fontId="15" fillId="0" borderId="0" xfId="0" applyNumberFormat="1" applyFont="1" applyBorder="1" applyProtection="1"/>
    <xf numFmtId="3" fontId="25" fillId="17" borderId="10" xfId="0" applyNumberFormat="1" applyFont="1" applyFill="1" applyBorder="1" applyProtection="1"/>
    <xf numFmtId="37" fontId="1" fillId="0" borderId="67" xfId="0" applyNumberFormat="1" applyFont="1" applyFill="1" applyBorder="1" applyProtection="1"/>
    <xf numFmtId="42" fontId="0" fillId="0" borderId="85" xfId="0" applyNumberFormat="1" applyFill="1" applyBorder="1" applyProtection="1"/>
    <xf numFmtId="37" fontId="1" fillId="0" borderId="55" xfId="0" applyNumberFormat="1" applyFont="1" applyFill="1" applyBorder="1" applyProtection="1"/>
    <xf numFmtId="42" fontId="1" fillId="0" borderId="55" xfId="0" applyNumberFormat="1" applyFont="1" applyFill="1" applyBorder="1" applyProtection="1"/>
    <xf numFmtId="3" fontId="1" fillId="0" borderId="55" xfId="0" applyNumberFormat="1" applyFont="1" applyFill="1" applyBorder="1" applyProtection="1"/>
    <xf numFmtId="3" fontId="1" fillId="0" borderId="55" xfId="0" applyNumberFormat="1" applyFont="1" applyBorder="1" applyProtection="1"/>
    <xf numFmtId="3" fontId="77" fillId="0" borderId="55" xfId="0" applyNumberFormat="1" applyFont="1" applyBorder="1" applyProtection="1"/>
    <xf numFmtId="37" fontId="1" fillId="0" borderId="84" xfId="0" applyNumberFormat="1" applyFont="1" applyFill="1" applyBorder="1" applyProtection="1"/>
    <xf numFmtId="42" fontId="1" fillId="0" borderId="84" xfId="0" applyNumberFormat="1" applyFont="1" applyFill="1" applyBorder="1" applyProtection="1"/>
    <xf numFmtId="3" fontId="1" fillId="0" borderId="84" xfId="0" applyNumberFormat="1" applyFont="1" applyFill="1" applyBorder="1" applyProtection="1"/>
    <xf numFmtId="42" fontId="0" fillId="0" borderId="84" xfId="0" applyNumberFormat="1" applyFill="1" applyBorder="1" applyProtection="1"/>
    <xf numFmtId="37" fontId="5" fillId="0" borderId="10" xfId="0" applyNumberFormat="1" applyFont="1" applyBorder="1" applyProtection="1"/>
    <xf numFmtId="42" fontId="5" fillId="23" borderId="10" xfId="0" applyNumberFormat="1" applyFont="1" applyFill="1" applyBorder="1" applyProtection="1"/>
    <xf numFmtId="3" fontId="5" fillId="0" borderId="10" xfId="0" applyNumberFormat="1" applyFont="1" applyBorder="1" applyProtection="1"/>
    <xf numFmtId="3" fontId="25" fillId="18" borderId="10" xfId="0" applyNumberFormat="1" applyFont="1" applyFill="1" applyBorder="1" applyProtection="1"/>
    <xf numFmtId="3" fontId="1" fillId="0" borderId="8" xfId="0" applyNumberFormat="1" applyFont="1" applyBorder="1" applyProtection="1"/>
    <xf numFmtId="3" fontId="1" fillId="0" borderId="10" xfId="0" applyNumberFormat="1" applyFont="1" applyBorder="1" applyProtection="1"/>
    <xf numFmtId="42" fontId="78" fillId="0" borderId="10" xfId="0" applyNumberFormat="1" applyFont="1" applyBorder="1" applyProtection="1"/>
    <xf numFmtId="3" fontId="78" fillId="0" borderId="10" xfId="0" applyNumberFormat="1" applyFont="1" applyBorder="1" applyProtection="1"/>
    <xf numFmtId="42" fontId="5" fillId="0" borderId="10" xfId="0" applyNumberFormat="1" applyFont="1" applyFill="1" applyBorder="1" applyProtection="1"/>
    <xf numFmtId="3" fontId="5" fillId="0" borderId="10" xfId="0" applyNumberFormat="1" applyFont="1" applyFill="1" applyBorder="1" applyProtection="1"/>
    <xf numFmtId="42" fontId="1" fillId="0" borderId="0" xfId="0" applyNumberFormat="1" applyFont="1" applyBorder="1" applyProtection="1"/>
    <xf numFmtId="3" fontId="1" fillId="0" borderId="0" xfId="0" applyNumberFormat="1" applyFont="1" applyBorder="1" applyProtection="1"/>
    <xf numFmtId="3" fontId="1" fillId="0" borderId="2" xfId="0" applyNumberFormat="1" applyFont="1" applyBorder="1" applyProtection="1"/>
    <xf numFmtId="42" fontId="1" fillId="0" borderId="2" xfId="0" applyNumberFormat="1" applyFont="1" applyBorder="1" applyProtection="1"/>
    <xf numFmtId="3" fontId="75" fillId="19" borderId="53" xfId="0" applyNumberFormat="1" applyFont="1" applyFill="1" applyBorder="1" applyProtection="1"/>
    <xf numFmtId="3" fontId="85" fillId="21" borderId="56" xfId="0" applyNumberFormat="1" applyFont="1" applyFill="1" applyBorder="1" applyProtection="1"/>
    <xf numFmtId="42" fontId="83" fillId="21" borderId="55" xfId="0" applyNumberFormat="1" applyFont="1" applyFill="1" applyBorder="1" applyProtection="1"/>
    <xf numFmtId="3" fontId="83" fillId="21" borderId="55" xfId="0" applyNumberFormat="1" applyFont="1" applyFill="1" applyBorder="1" applyProtection="1"/>
    <xf numFmtId="3" fontId="0" fillId="0" borderId="55" xfId="0" applyNumberFormat="1" applyFont="1" applyFill="1" applyBorder="1" applyProtection="1"/>
    <xf numFmtId="37" fontId="0" fillId="0" borderId="56" xfId="0" applyNumberFormat="1" applyFill="1" applyBorder="1" applyProtection="1"/>
    <xf numFmtId="42" fontId="87" fillId="0" borderId="55" xfId="0" applyNumberFormat="1" applyFont="1" applyFill="1" applyBorder="1" applyProtection="1"/>
    <xf numFmtId="3" fontId="0" fillId="0" borderId="0" xfId="0" applyNumberFormat="1" applyFill="1" applyProtection="1"/>
    <xf numFmtId="3" fontId="83" fillId="21" borderId="56" xfId="0" applyNumberFormat="1" applyFont="1" applyFill="1" applyBorder="1" applyProtection="1"/>
    <xf numFmtId="42" fontId="83" fillId="21" borderId="0" xfId="0" applyNumberFormat="1" applyFont="1" applyFill="1" applyBorder="1" applyProtection="1"/>
    <xf numFmtId="3" fontId="1" fillId="0" borderId="56" xfId="0" applyNumberFormat="1" applyFont="1" applyBorder="1" applyProtection="1"/>
    <xf numFmtId="3" fontId="0" fillId="0" borderId="55" xfId="0" applyNumberFormat="1" applyFont="1" applyBorder="1" applyProtection="1"/>
    <xf numFmtId="42" fontId="0" fillId="0" borderId="55" xfId="0" applyNumberFormat="1" applyFont="1" applyBorder="1" applyProtection="1"/>
    <xf numFmtId="3" fontId="1" fillId="0" borderId="56" xfId="0" applyNumberFormat="1" applyFont="1" applyFill="1" applyBorder="1" applyProtection="1"/>
    <xf numFmtId="3" fontId="83" fillId="21" borderId="78" xfId="0" applyNumberFormat="1" applyFont="1" applyFill="1" applyBorder="1" applyProtection="1"/>
    <xf numFmtId="42" fontId="83" fillId="21" borderId="60" xfId="0" applyNumberFormat="1" applyFont="1" applyFill="1" applyBorder="1" applyProtection="1"/>
    <xf numFmtId="3" fontId="83" fillId="21" borderId="60" xfId="0" applyNumberFormat="1" applyFont="1" applyFill="1" applyBorder="1" applyProtection="1"/>
    <xf numFmtId="42" fontId="5" fillId="22" borderId="10" xfId="0" applyNumberFormat="1" applyFont="1" applyFill="1" applyBorder="1" applyProtection="1"/>
    <xf numFmtId="3" fontId="25" fillId="15" borderId="10" xfId="0" applyNumberFormat="1" applyFont="1" applyFill="1" applyBorder="1" applyProtection="1"/>
    <xf numFmtId="3" fontId="1" fillId="0" borderId="83" xfId="0" applyNumberFormat="1" applyFont="1" applyBorder="1" applyProtection="1"/>
    <xf numFmtId="42" fontId="0" fillId="0" borderId="67" xfId="0" applyNumberFormat="1" applyFont="1" applyBorder="1" applyProtection="1"/>
    <xf numFmtId="3" fontId="0" fillId="0" borderId="67" xfId="0" applyNumberFormat="1" applyFont="1" applyBorder="1" applyProtection="1"/>
    <xf numFmtId="3" fontId="78" fillId="0" borderId="56" xfId="0" applyNumberFormat="1" applyFont="1" applyBorder="1" applyProtection="1"/>
    <xf numFmtId="42" fontId="0" fillId="23" borderId="55" xfId="0" applyNumberFormat="1" applyFont="1" applyFill="1" applyBorder="1" applyProtection="1"/>
    <xf numFmtId="42" fontId="0" fillId="23" borderId="67" xfId="0" applyNumberFormat="1" applyFont="1" applyFill="1" applyBorder="1" applyProtection="1"/>
    <xf numFmtId="3" fontId="1" fillId="0" borderId="78" xfId="0" applyNumberFormat="1" applyFont="1" applyBorder="1" applyProtection="1"/>
    <xf numFmtId="42" fontId="0" fillId="0" borderId="60" xfId="0" applyNumberFormat="1" applyFont="1" applyBorder="1" applyProtection="1"/>
    <xf numFmtId="3" fontId="0" fillId="0" borderId="60" xfId="0" applyNumberFormat="1" applyFont="1" applyBorder="1" applyProtection="1"/>
    <xf numFmtId="3" fontId="5" fillId="4" borderId="2" xfId="0" applyNumberFormat="1" applyFont="1" applyFill="1" applyBorder="1" applyProtection="1"/>
    <xf numFmtId="42" fontId="5" fillId="22" borderId="2" xfId="0" applyNumberFormat="1" applyFont="1" applyFill="1" applyBorder="1" applyProtection="1"/>
    <xf numFmtId="186" fontId="5" fillId="0" borderId="2" xfId="0" applyNumberFormat="1" applyFont="1" applyBorder="1" applyProtection="1"/>
    <xf numFmtId="3" fontId="25" fillId="20" borderId="10" xfId="0" applyNumberFormat="1" applyFont="1" applyFill="1" applyBorder="1" applyProtection="1"/>
    <xf numFmtId="3" fontId="1" fillId="0" borderId="81" xfId="0" applyNumberFormat="1" applyFont="1" applyBorder="1" applyProtection="1"/>
    <xf numFmtId="42" fontId="1" fillId="0" borderId="85" xfId="0" applyNumberFormat="1" applyFont="1" applyBorder="1" applyProtection="1"/>
    <xf numFmtId="3" fontId="1" fillId="0" borderId="85" xfId="0" applyNumberFormat="1" applyFont="1" applyBorder="1" applyProtection="1"/>
    <xf numFmtId="42" fontId="1" fillId="0" borderId="55" xfId="0" applyNumberFormat="1" applyFont="1" applyBorder="1" applyProtection="1"/>
    <xf numFmtId="3" fontId="1" fillId="0" borderId="61" xfId="0" applyNumberFormat="1" applyFont="1" applyBorder="1" applyProtection="1"/>
    <xf numFmtId="42" fontId="1" fillId="0" borderId="84" xfId="0" applyNumberFormat="1" applyFont="1" applyBorder="1" applyProtection="1"/>
    <xf numFmtId="3" fontId="1" fillId="0" borderId="84" xfId="0" applyNumberFormat="1" applyFont="1" applyBorder="1" applyProtection="1"/>
    <xf numFmtId="3" fontId="5" fillId="0" borderId="16" xfId="0" applyNumberFormat="1" applyFont="1" applyFill="1" applyBorder="1" applyProtection="1"/>
    <xf numFmtId="42" fontId="5" fillId="0" borderId="16" xfId="0" applyNumberFormat="1" applyFont="1" applyFill="1" applyBorder="1" applyProtection="1"/>
    <xf numFmtId="186" fontId="5" fillId="0" borderId="0" xfId="0" applyNumberFormat="1" applyFont="1" applyBorder="1" applyProtection="1"/>
    <xf numFmtId="186" fontId="5" fillId="4" borderId="86" xfId="0" applyNumberFormat="1" applyFont="1" applyFill="1" applyBorder="1" applyAlignment="1" applyProtection="1">
      <alignment vertical="center"/>
    </xf>
    <xf numFmtId="42" fontId="5" fillId="4" borderId="16" xfId="0" applyNumberFormat="1" applyFont="1" applyFill="1" applyBorder="1" applyAlignment="1" applyProtection="1">
      <alignment vertical="center"/>
    </xf>
    <xf numFmtId="3" fontId="5" fillId="4" borderId="16" xfId="0" applyNumberFormat="1" applyFont="1" applyFill="1" applyBorder="1" applyAlignment="1" applyProtection="1">
      <alignment vertical="center"/>
    </xf>
    <xf numFmtId="186" fontId="20" fillId="0" borderId="0" xfId="0" applyNumberFormat="1" applyFont="1" applyFill="1" applyBorder="1" applyAlignment="1" applyProtection="1">
      <alignment vertical="center"/>
    </xf>
    <xf numFmtId="42" fontId="20" fillId="0" borderId="0" xfId="0" applyNumberFormat="1" applyFont="1" applyFill="1" applyBorder="1" applyAlignment="1" applyProtection="1">
      <alignment vertical="center"/>
    </xf>
    <xf numFmtId="3" fontId="20" fillId="0" borderId="0" xfId="0" applyNumberFormat="1" applyFont="1" applyFill="1" applyBorder="1" applyAlignment="1" applyProtection="1">
      <alignment vertical="center"/>
    </xf>
    <xf numFmtId="185" fontId="76" fillId="0" borderId="0" xfId="0" applyNumberFormat="1" applyFont="1" applyFill="1" applyBorder="1" applyAlignment="1" applyProtection="1">
      <alignment vertical="center"/>
    </xf>
    <xf numFmtId="0" fontId="21" fillId="0" borderId="0" xfId="0" applyFont="1" applyBorder="1" applyAlignment="1" applyProtection="1"/>
    <xf numFmtId="42" fontId="20" fillId="0" borderId="0" xfId="0" applyNumberFormat="1" applyFont="1" applyBorder="1" applyProtection="1"/>
    <xf numFmtId="3" fontId="20" fillId="0" borderId="0" xfId="0" applyNumberFormat="1" applyFont="1" applyBorder="1" applyProtection="1"/>
    <xf numFmtId="42" fontId="81" fillId="0" borderId="0" xfId="0" applyNumberFormat="1" applyFont="1" applyBorder="1" applyProtection="1"/>
    <xf numFmtId="42" fontId="0" fillId="0" borderId="0" xfId="0" applyNumberFormat="1" applyBorder="1" applyProtection="1"/>
    <xf numFmtId="3" fontId="45" fillId="0" borderId="10" xfId="0" applyNumberFormat="1" applyFont="1" applyBorder="1" applyProtection="1"/>
    <xf numFmtId="42" fontId="20" fillId="0" borderId="10" xfId="0" applyNumberFormat="1" applyFont="1" applyBorder="1" applyProtection="1"/>
    <xf numFmtId="3" fontId="20" fillId="0" borderId="10" xfId="0" applyNumberFormat="1" applyFont="1" applyBorder="1" applyProtection="1"/>
    <xf numFmtId="6" fontId="45" fillId="0" borderId="5" xfId="0" applyNumberFormat="1" applyFont="1" applyBorder="1" applyProtection="1"/>
    <xf numFmtId="0" fontId="0" fillId="0" borderId="0" xfId="0" applyProtection="1"/>
    <xf numFmtId="6" fontId="0" fillId="0" borderId="0" xfId="0" applyNumberFormat="1" applyProtection="1"/>
    <xf numFmtId="10" fontId="6" fillId="0" borderId="0" xfId="8" applyNumberFormat="1" applyFont="1" applyProtection="1"/>
    <xf numFmtId="3" fontId="6" fillId="0" borderId="0" xfId="8" applyNumberFormat="1" applyFont="1" applyProtection="1"/>
    <xf numFmtId="0" fontId="0" fillId="0" borderId="0" xfId="0" applyFill="1" applyBorder="1" applyProtection="1"/>
    <xf numFmtId="3" fontId="0" fillId="0" borderId="10" xfId="0" applyNumberFormat="1" applyBorder="1" applyProtection="1"/>
    <xf numFmtId="166" fontId="0" fillId="16" borderId="10" xfId="8" applyNumberFormat="1" applyFont="1" applyFill="1" applyBorder="1" applyAlignment="1" applyProtection="1">
      <alignment horizontal="center"/>
    </xf>
    <xf numFmtId="42" fontId="0" fillId="0" borderId="0" xfId="0" applyNumberFormat="1" applyAlignment="1" applyProtection="1">
      <alignment horizontal="center"/>
    </xf>
    <xf numFmtId="166" fontId="0" fillId="23" borderId="10" xfId="8" applyNumberFormat="1" applyFont="1" applyFill="1" applyBorder="1" applyAlignment="1" applyProtection="1">
      <alignment horizontal="center"/>
    </xf>
    <xf numFmtId="7" fontId="45" fillId="0" borderId="0" xfId="0" applyNumberFormat="1" applyFont="1"/>
    <xf numFmtId="169" fontId="67" fillId="0" borderId="13" xfId="28" applyNumberFormat="1" applyBorder="1" applyAlignment="1">
      <alignment horizontal="right"/>
    </xf>
    <xf numFmtId="169" fontId="67" fillId="0" borderId="7" xfId="28" applyNumberFormat="1" applyBorder="1" applyAlignment="1">
      <alignment horizontal="right"/>
    </xf>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70" fontId="67" fillId="0" borderId="35" xfId="28" applyNumberFormat="1" applyBorder="1"/>
    <xf numFmtId="168" fontId="30" fillId="0" borderId="13" xfId="30" applyNumberFormat="1" applyFont="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7" fontId="30" fillId="0" borderId="13" xfId="40" applyNumberFormat="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164" fontId="67" fillId="0" borderId="13" xfId="28" applyNumberFormat="1" applyBorder="1"/>
    <xf numFmtId="10" fontId="30" fillId="0" borderId="13" xfId="11" applyNumberFormat="1" applyFont="1" applyBorder="1"/>
    <xf numFmtId="173" fontId="67" fillId="0" borderId="13" xfId="28" applyNumberFormat="1" applyBorder="1"/>
    <xf numFmtId="172" fontId="30" fillId="0" borderId="13" xfId="30" applyNumberFormat="1" applyFont="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13" xfId="28"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0" fontId="67" fillId="11" borderId="13" xfId="28" applyFill="1" applyBorder="1"/>
    <xf numFmtId="0" fontId="67" fillId="11" borderId="7" xfId="28" applyFill="1" applyBorder="1"/>
    <xf numFmtId="169" fontId="67" fillId="11" borderId="13" xfId="28" applyNumberFormat="1" applyFill="1" applyBorder="1"/>
    <xf numFmtId="0" fontId="67" fillId="11" borderId="7" xfId="28" applyFill="1" applyBorder="1" applyAlignment="1">
      <alignment horizontal="right"/>
    </xf>
    <xf numFmtId="166" fontId="30" fillId="0" borderId="13" xfId="11" applyNumberFormat="1" applyFont="1" applyBorder="1"/>
    <xf numFmtId="0" fontId="67" fillId="11" borderId="13" xfId="28" applyFill="1" applyBorder="1"/>
    <xf numFmtId="0" fontId="67" fillId="11" borderId="7" xfId="28" applyFill="1" applyBorder="1"/>
    <xf numFmtId="3" fontId="67" fillId="11" borderId="7" xfId="28" applyNumberFormat="1" applyFill="1" applyBorder="1"/>
    <xf numFmtId="0" fontId="104" fillId="0" borderId="0" xfId="156" applyFont="1" applyFill="1" applyAlignment="1">
      <alignment horizontal="right" vertical="top" wrapText="1"/>
    </xf>
    <xf numFmtId="0" fontId="73" fillId="0" borderId="0" xfId="0" applyFont="1" applyAlignment="1">
      <alignment horizontal="center" vertical="top"/>
    </xf>
    <xf numFmtId="0" fontId="73" fillId="0" borderId="0" xfId="0" applyFont="1" applyAlignment="1">
      <alignment vertical="top"/>
    </xf>
    <xf numFmtId="165" fontId="73" fillId="0" borderId="0" xfId="1" applyNumberFormat="1" applyFont="1" applyAlignment="1">
      <alignment vertical="top"/>
    </xf>
    <xf numFmtId="0" fontId="47" fillId="0" borderId="0" xfId="156" applyFont="1" applyBorder="1" applyAlignment="1">
      <alignment vertical="top" wrapText="1"/>
    </xf>
    <xf numFmtId="0" fontId="47" fillId="0" borderId="0" xfId="171" applyFont="1" applyBorder="1" applyAlignment="1">
      <alignment vertical="top" wrapText="1"/>
    </xf>
    <xf numFmtId="165" fontId="73" fillId="0" borderId="0" xfId="1" applyNumberFormat="1" applyFont="1" applyBorder="1" applyAlignment="1">
      <alignment vertical="top"/>
    </xf>
    <xf numFmtId="0" fontId="47" fillId="0" borderId="0" xfId="171" applyFont="1" applyFill="1" applyBorder="1" applyAlignment="1">
      <alignment vertical="top" wrapText="1"/>
    </xf>
    <xf numFmtId="165" fontId="0" fillId="0" borderId="0" xfId="1" applyNumberFormat="1" applyFont="1" applyBorder="1"/>
    <xf numFmtId="172" fontId="73" fillId="0" borderId="0" xfId="7" applyNumberFormat="1" applyFont="1" applyAlignment="1">
      <alignment vertical="top"/>
    </xf>
    <xf numFmtId="0" fontId="6" fillId="0" borderId="0" xfId="0" applyFont="1"/>
    <xf numFmtId="0" fontId="6" fillId="0" borderId="35" xfId="172" applyFont="1" applyFill="1" applyBorder="1" applyAlignment="1">
      <alignment vertical="center" wrapText="1"/>
    </xf>
    <xf numFmtId="0" fontId="6" fillId="0" borderId="35" xfId="172" applyFont="1" applyBorder="1" applyAlignment="1">
      <alignment vertical="center" wrapText="1"/>
    </xf>
    <xf numFmtId="0" fontId="6" fillId="0" borderId="5" xfId="172" applyFont="1" applyBorder="1" applyAlignment="1">
      <alignment vertical="center" wrapText="1"/>
    </xf>
    <xf numFmtId="0" fontId="6" fillId="0" borderId="7" xfId="172" applyFont="1" applyBorder="1" applyAlignment="1">
      <alignment wrapText="1"/>
    </xf>
    <xf numFmtId="0" fontId="6" fillId="0" borderId="10" xfId="172" applyFont="1" applyBorder="1" applyAlignment="1">
      <alignment wrapText="1"/>
    </xf>
    <xf numFmtId="0" fontId="106" fillId="0" borderId="0" xfId="176" applyFont="1"/>
    <xf numFmtId="0" fontId="38" fillId="0" borderId="0" xfId="176"/>
    <xf numFmtId="0" fontId="8" fillId="0" borderId="0" xfId="172" applyFont="1" applyAlignment="1">
      <alignment horizontal="left"/>
    </xf>
    <xf numFmtId="0" fontId="13" fillId="0" borderId="10" xfId="172" applyBorder="1" applyAlignment="1">
      <alignment horizontal="left" vertical="center" wrapText="1"/>
    </xf>
    <xf numFmtId="0" fontId="6" fillId="0" borderId="0" xfId="155"/>
    <xf numFmtId="0" fontId="13" fillId="0" borderId="7" xfId="172" applyBorder="1" applyAlignment="1">
      <alignment horizontal="left" vertical="center" wrapText="1"/>
    </xf>
    <xf numFmtId="0" fontId="3" fillId="3" borderId="2" xfId="172" applyFont="1" applyFill="1" applyBorder="1" applyAlignment="1">
      <alignment horizontal="center" vertical="center" wrapText="1"/>
    </xf>
    <xf numFmtId="0" fontId="3" fillId="3" borderId="10" xfId="172" applyFont="1" applyFill="1" applyBorder="1" applyAlignment="1">
      <alignment horizontal="center" vertical="center" wrapText="1"/>
    </xf>
    <xf numFmtId="0" fontId="21" fillId="0" borderId="0" xfId="0" applyFont="1" applyAlignment="1">
      <alignment horizontal="center"/>
    </xf>
    <xf numFmtId="0" fontId="1" fillId="0" borderId="0" xfId="2" applyFont="1" applyAlignment="1">
      <alignment horizontal="center"/>
    </xf>
    <xf numFmtId="164" fontId="1" fillId="0" borderId="14" xfId="2" applyNumberFormat="1" applyFont="1" applyBorder="1" applyAlignment="1">
      <alignment horizontal="center"/>
    </xf>
    <xf numFmtId="0" fontId="0" fillId="11" borderId="53" xfId="0" applyFill="1" applyBorder="1"/>
    <xf numFmtId="0" fontId="0" fillId="0" borderId="53" xfId="0" applyBorder="1"/>
    <xf numFmtId="0" fontId="26" fillId="0" borderId="43" xfId="9" applyFill="1" applyBorder="1" applyAlignment="1" applyProtection="1">
      <alignment horizontal="center" wrapText="1"/>
    </xf>
    <xf numFmtId="0" fontId="29" fillId="0" borderId="13" xfId="28" applyFont="1" applyBorder="1"/>
    <xf numFmtId="168" fontId="30" fillId="0" borderId="13" xfId="30" applyNumberFormat="1" applyFont="1" applyBorder="1"/>
    <xf numFmtId="168" fontId="29" fillId="0" borderId="13" xfId="30" applyNumberFormat="1" applyFon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Fill="1" applyBorder="1"/>
    <xf numFmtId="0" fontId="67" fillId="0" borderId="13" xfId="28" applyBorder="1"/>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13" xfId="28" applyBorder="1"/>
    <xf numFmtId="0" fontId="29" fillId="0" borderId="13" xfId="28"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68" fontId="30" fillId="0" borderId="13" xfId="30" applyNumberFormat="1" applyFont="1" applyBorder="1"/>
    <xf numFmtId="168" fontId="29" fillId="0" borderId="13" xfId="30" applyNumberFormat="1" applyFont="1" applyBorder="1"/>
    <xf numFmtId="170" fontId="67" fillId="0" borderId="35" xfId="28" applyNumberFormat="1" applyBorder="1"/>
    <xf numFmtId="3" fontId="67" fillId="0" borderId="13" xfId="28" applyNumberForma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0" fontId="67" fillId="0" borderId="13" xfId="28" applyBorder="1" applyAlignment="1">
      <alignment horizontal="center"/>
    </xf>
    <xf numFmtId="0" fontId="67" fillId="0" borderId="7" xfId="28" applyBorder="1" applyAlignment="1">
      <alignment horizontal="center"/>
    </xf>
    <xf numFmtId="0" fontId="32" fillId="0" borderId="7" xfId="28" applyFont="1" applyBorder="1" applyAlignment="1">
      <alignment horizontal="center"/>
    </xf>
    <xf numFmtId="0" fontId="67" fillId="0" borderId="7" xfId="28" applyFill="1" applyBorder="1" applyAlignment="1">
      <alignment horizontal="center"/>
    </xf>
    <xf numFmtId="0" fontId="38" fillId="0" borderId="7" xfId="28" applyFont="1" applyFill="1" applyBorder="1" applyAlignment="1">
      <alignment horizontal="center" wrapText="1"/>
    </xf>
    <xf numFmtId="0" fontId="38" fillId="0" borderId="7" xfId="28" applyFont="1" applyFill="1" applyBorder="1" applyAlignment="1">
      <alignment horizontal="center"/>
    </xf>
    <xf numFmtId="0" fontId="38" fillId="0" borderId="0" xfId="28" applyFont="1" applyFill="1" applyAlignment="1">
      <alignment horizontal="center"/>
    </xf>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170" fontId="67" fillId="0" borderId="35" xfId="28" applyNumberFormat="1" applyBorder="1"/>
    <xf numFmtId="3" fontId="67" fillId="0" borderId="13" xfId="28" applyNumberFormat="1" applyBorder="1"/>
    <xf numFmtId="0" fontId="32" fillId="11" borderId="8" xfId="28" applyFont="1" applyFill="1" applyBorder="1"/>
    <xf numFmtId="0" fontId="38" fillId="11" borderId="8" xfId="28" applyFont="1" applyFill="1" applyBorder="1"/>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0" fontId="26" fillId="0" borderId="43" xfId="9" applyFill="1" applyBorder="1" applyAlignment="1" applyProtection="1">
      <alignment horizontal="center" wrapText="1"/>
    </xf>
    <xf numFmtId="0" fontId="46" fillId="0" borderId="0" xfId="12"/>
    <xf numFmtId="49" fontId="47" fillId="0" borderId="0" xfId="12" applyNumberFormat="1" applyFont="1" applyFill="1" applyBorder="1" applyAlignment="1">
      <alignment horizontal="left" vertical="center"/>
    </xf>
    <xf numFmtId="0" fontId="46" fillId="0" borderId="0" xfId="12" applyBorder="1"/>
    <xf numFmtId="0" fontId="49" fillId="0" borderId="0" xfId="12" applyFont="1"/>
    <xf numFmtId="0" fontId="46" fillId="0" borderId="0" xfId="12" applyFill="1" applyBorder="1"/>
    <xf numFmtId="0" fontId="46" fillId="0" borderId="48" xfId="12" applyBorder="1"/>
    <xf numFmtId="0" fontId="49" fillId="0" borderId="0" xfId="12" applyFont="1" applyFill="1" applyBorder="1"/>
    <xf numFmtId="0" fontId="3" fillId="3" borderId="2" xfId="12" applyFont="1" applyFill="1" applyBorder="1" applyAlignment="1">
      <alignment horizontal="center" vertical="center" wrapText="1"/>
    </xf>
    <xf numFmtId="0" fontId="53" fillId="3" borderId="2" xfId="12" applyFont="1" applyFill="1" applyBorder="1" applyAlignment="1">
      <alignment horizontal="center" vertical="center" wrapText="1"/>
    </xf>
    <xf numFmtId="0" fontId="53" fillId="3" borderId="0" xfId="12" applyFont="1" applyFill="1" applyBorder="1" applyAlignment="1">
      <alignment horizontal="center" vertical="center" wrapText="1"/>
    </xf>
    <xf numFmtId="42" fontId="49" fillId="0" borderId="0" xfId="12" applyNumberFormat="1" applyFont="1"/>
    <xf numFmtId="0" fontId="20" fillId="0" borderId="0" xfId="12" applyFont="1"/>
    <xf numFmtId="165" fontId="46" fillId="0" borderId="0" xfId="15" applyNumberFormat="1" applyFont="1" applyBorder="1"/>
    <xf numFmtId="165" fontId="46" fillId="0" borderId="0" xfId="15" applyNumberFormat="1" applyFont="1"/>
    <xf numFmtId="0" fontId="55" fillId="0" borderId="0" xfId="17" applyNumberFormat="1" applyFont="1" applyAlignment="1" applyProtection="1">
      <alignment horizontal="left"/>
      <protection locked="0"/>
    </xf>
    <xf numFmtId="44" fontId="46" fillId="0" borderId="0" xfId="15" applyFont="1"/>
    <xf numFmtId="0" fontId="46" fillId="0" borderId="0" xfId="18" applyNumberFormat="1" applyFont="1"/>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6"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6" fillId="0" borderId="0" xfId="15" applyNumberFormat="1" applyFont="1" applyFill="1"/>
    <xf numFmtId="0" fontId="13" fillId="0" borderId="0" xfId="12" applyFont="1" applyAlignment="1">
      <alignment horizontal="left"/>
    </xf>
    <xf numFmtId="9" fontId="40" fillId="0" borderId="0" xfId="18" applyFont="1" applyFill="1" applyBorder="1"/>
    <xf numFmtId="176" fontId="13" fillId="0" borderId="0" xfId="12" applyNumberFormat="1" applyFont="1" applyFill="1" applyAlignment="1">
      <alignment horizontal="left"/>
    </xf>
    <xf numFmtId="165" fontId="49" fillId="0" borderId="0" xfId="15" applyNumberFormat="1" applyFont="1" applyBorder="1"/>
    <xf numFmtId="165" fontId="46"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13" fillId="0" borderId="0" xfId="12" applyFont="1" applyFill="1" applyBorder="1"/>
    <xf numFmtId="165" fontId="49" fillId="0" borderId="0" xfId="15" applyNumberFormat="1" applyFont="1" applyFill="1" applyBorder="1"/>
    <xf numFmtId="3" fontId="49" fillId="0" borderId="0" xfId="15" applyNumberFormat="1" applyFont="1" applyFill="1" applyBorder="1"/>
    <xf numFmtId="0" fontId="49" fillId="0" borderId="0" xfId="12" applyFont="1" applyFill="1" applyAlignment="1">
      <alignment horizontal="right"/>
    </xf>
    <xf numFmtId="0" fontId="49" fillId="0" borderId="0" xfId="12" applyFont="1" applyAlignment="1">
      <alignment horizontal="right"/>
    </xf>
    <xf numFmtId="2" fontId="13" fillId="0" borderId="0" xfId="12" applyNumberFormat="1" applyFont="1" applyFill="1" applyAlignment="1">
      <alignment horizontal="right"/>
    </xf>
    <xf numFmtId="44" fontId="56" fillId="0" borderId="0" xfId="15" applyFont="1" applyBorder="1" applyAlignment="1">
      <alignment horizontal="center"/>
    </xf>
    <xf numFmtId="166" fontId="49" fillId="0" borderId="0" xfId="12" applyNumberFormat="1" applyFont="1" applyFill="1" applyAlignment="1">
      <alignment horizontal="right"/>
    </xf>
    <xf numFmtId="0" fontId="46" fillId="0" borderId="0" xfId="12" applyAlignment="1">
      <alignment horizontal="right"/>
    </xf>
    <xf numFmtId="44" fontId="61" fillId="0" borderId="0" xfId="15" applyFont="1"/>
    <xf numFmtId="165" fontId="49" fillId="0" borderId="0" xfId="12" applyNumberFormat="1" applyFont="1" applyBorder="1"/>
    <xf numFmtId="172" fontId="46" fillId="0" borderId="0" xfId="13" applyNumberFormat="1" applyFont="1" applyBorder="1"/>
    <xf numFmtId="42" fontId="44" fillId="0" borderId="51" xfId="18" applyNumberFormat="1" applyFont="1" applyFill="1" applyBorder="1"/>
    <xf numFmtId="9" fontId="40" fillId="0" borderId="51" xfId="18" applyFont="1" applyFill="1" applyBorder="1"/>
    <xf numFmtId="0" fontId="46"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6" fillId="0" borderId="51" xfId="15" applyNumberFormat="1" applyFont="1" applyFill="1" applyBorder="1"/>
    <xf numFmtId="42" fontId="46" fillId="0" borderId="51" xfId="12" applyNumberFormat="1" applyBorder="1"/>
    <xf numFmtId="165" fontId="49" fillId="0" borderId="51" xfId="15" applyNumberFormat="1" applyFont="1" applyFill="1" applyBorder="1"/>
    <xf numFmtId="165" fontId="46" fillId="0" borderId="51" xfId="15" applyNumberFormat="1" applyFont="1" applyBorder="1"/>
    <xf numFmtId="165" fontId="49" fillId="0" borderId="51" xfId="15" applyNumberFormat="1" applyFont="1" applyBorder="1"/>
    <xf numFmtId="0" fontId="46" fillId="0" borderId="53" xfId="12" applyBorder="1"/>
    <xf numFmtId="165" fontId="49" fillId="2" borderId="17" xfId="15" applyNumberFormat="1" applyFont="1" applyFill="1" applyBorder="1"/>
    <xf numFmtId="42" fontId="46" fillId="0" borderId="8" xfId="12" applyNumberFormat="1" applyBorder="1"/>
    <xf numFmtId="42" fontId="46" fillId="0" borderId="10" xfId="12" applyNumberFormat="1" applyBorder="1"/>
    <xf numFmtId="42" fontId="46" fillId="0" borderId="5" xfId="12" applyNumberFormat="1" applyBorder="1"/>
    <xf numFmtId="0" fontId="8" fillId="0" borderId="32" xfId="12" applyFont="1" applyBorder="1"/>
    <xf numFmtId="165" fontId="46" fillId="0" borderId="32" xfId="15" applyNumberFormat="1" applyFill="1" applyBorder="1"/>
    <xf numFmtId="1" fontId="57" fillId="0" borderId="52" xfId="18" applyNumberFormat="1" applyFont="1" applyFill="1" applyBorder="1" applyAlignment="1">
      <alignment horizontal="center"/>
    </xf>
    <xf numFmtId="1" fontId="57" fillId="0" borderId="53" xfId="18" applyNumberFormat="1" applyFont="1" applyFill="1" applyBorder="1" applyAlignment="1">
      <alignment horizontal="center"/>
    </xf>
    <xf numFmtId="44" fontId="56" fillId="0" borderId="51" xfId="15" applyFont="1" applyBorder="1" applyAlignment="1">
      <alignment horizontal="center"/>
    </xf>
    <xf numFmtId="165" fontId="46" fillId="0" borderId="53" xfId="18" applyNumberFormat="1" applyFont="1" applyBorder="1"/>
    <xf numFmtId="165" fontId="46" fillId="0" borderId="32" xfId="12" applyNumberFormat="1" applyBorder="1"/>
    <xf numFmtId="0" fontId="49" fillId="0" borderId="32" xfId="12" applyFont="1" applyBorder="1"/>
    <xf numFmtId="165" fontId="46" fillId="2" borderId="17" xfId="15" applyNumberFormat="1" applyFont="1" applyFill="1" applyBorder="1"/>
    <xf numFmtId="165" fontId="46" fillId="2" borderId="18" xfId="15" applyNumberFormat="1" applyFont="1" applyFill="1" applyBorder="1"/>
    <xf numFmtId="165" fontId="46" fillId="0" borderId="53" xfId="12" applyNumberFormat="1" applyBorder="1"/>
    <xf numFmtId="1" fontId="57" fillId="0" borderId="0" xfId="18" applyNumberFormat="1" applyFont="1" applyFill="1" applyBorder="1" applyAlignment="1">
      <alignment horizontal="center"/>
    </xf>
    <xf numFmtId="181" fontId="46" fillId="0" borderId="50" xfId="12" applyNumberFormat="1" applyBorder="1"/>
    <xf numFmtId="165" fontId="46" fillId="2" borderId="33" xfId="15" applyNumberFormat="1" applyFont="1" applyFill="1" applyBorder="1"/>
    <xf numFmtId="165" fontId="13" fillId="6" borderId="0" xfId="2" applyNumberFormat="1" applyFill="1"/>
    <xf numFmtId="0" fontId="49" fillId="0" borderId="32" xfId="12" applyFont="1" applyFill="1" applyBorder="1" applyAlignment="1">
      <alignment horizontal="right"/>
    </xf>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3" fillId="3" borderId="2" xfId="12" applyNumberFormat="1" applyFont="1" applyFill="1" applyBorder="1" applyAlignment="1">
      <alignment horizontal="center" vertical="center" wrapText="1"/>
    </xf>
    <xf numFmtId="3" fontId="46" fillId="0" borderId="5" xfId="12" applyNumberFormat="1" applyBorder="1"/>
    <xf numFmtId="3" fontId="46" fillId="2" borderId="18" xfId="15" applyNumberFormat="1" applyFont="1" applyFill="1" applyBorder="1"/>
    <xf numFmtId="0" fontId="63" fillId="0" borderId="32" xfId="12" applyFont="1" applyFill="1" applyBorder="1" applyAlignment="1">
      <alignment horizontal="right" wrapText="1"/>
    </xf>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6" fillId="0" borderId="7" xfId="18" applyNumberFormat="1" applyFont="1" applyFill="1" applyBorder="1"/>
    <xf numFmtId="165" fontId="46" fillId="0" borderId="0" xfId="12" applyNumberFormat="1" applyBorder="1"/>
    <xf numFmtId="42" fontId="49" fillId="0" borderId="0" xfId="12" applyNumberFormat="1" applyFont="1" applyBorder="1"/>
    <xf numFmtId="9" fontId="20" fillId="0" borderId="0" xfId="18" applyFont="1" applyFill="1" applyBorder="1"/>
    <xf numFmtId="181" fontId="48" fillId="0" borderId="0" xfId="12" applyNumberFormat="1" applyFont="1" applyBorder="1"/>
    <xf numFmtId="42" fontId="48" fillId="0" borderId="32" xfId="12" applyNumberFormat="1" applyFont="1" applyBorder="1"/>
    <xf numFmtId="165" fontId="49" fillId="0" borderId="32" xfId="12" applyNumberFormat="1" applyFont="1" applyBorder="1"/>
    <xf numFmtId="3" fontId="46" fillId="0" borderId="0" xfId="12" applyNumberFormat="1" applyBorder="1"/>
    <xf numFmtId="0" fontId="46" fillId="0" borderId="53" xfId="18" applyNumberFormat="1" applyFont="1" applyBorder="1"/>
    <xf numFmtId="165" fontId="46" fillId="0" borderId="48" xfId="15" applyNumberFormat="1" applyFont="1" applyFill="1" applyBorder="1"/>
    <xf numFmtId="3" fontId="46" fillId="0" borderId="0" xfId="15" applyNumberFormat="1" applyFont="1" applyFill="1" applyBorder="1"/>
    <xf numFmtId="165" fontId="16" fillId="0" borderId="0" xfId="15" applyNumberFormat="1" applyFont="1" applyFill="1" applyBorder="1"/>
    <xf numFmtId="0" fontId="49" fillId="0" borderId="0" xfId="12" applyFont="1" applyAlignment="1">
      <alignment horizontal="left" indent="2"/>
    </xf>
    <xf numFmtId="0" fontId="19" fillId="0" borderId="7" xfId="12" applyFont="1" applyFill="1" applyBorder="1" applyAlignment="1">
      <alignment horizontal="center"/>
    </xf>
    <xf numFmtId="0" fontId="46" fillId="0" borderId="0" xfId="12" applyBorder="1" applyAlignment="1">
      <alignment horizontal="left" indent="1"/>
    </xf>
    <xf numFmtId="0" fontId="46" fillId="0" borderId="0" xfId="12" applyBorder="1" applyAlignment="1">
      <alignment horizontal="left" indent="2"/>
    </xf>
    <xf numFmtId="0" fontId="49" fillId="0" borderId="50" xfId="12" applyFont="1" applyFill="1" applyBorder="1"/>
    <xf numFmtId="0" fontId="49" fillId="0" borderId="8" xfId="12" applyFont="1" applyFill="1" applyBorder="1"/>
    <xf numFmtId="0" fontId="49" fillId="0" borderId="5" xfId="12" applyFont="1" applyFill="1" applyBorder="1"/>
    <xf numFmtId="0" fontId="49" fillId="0" borderId="35" xfId="12" applyFont="1" applyFill="1" applyBorder="1"/>
    <xf numFmtId="0" fontId="49" fillId="0" borderId="7" xfId="12" applyFont="1" applyFill="1" applyBorder="1"/>
    <xf numFmtId="0" fontId="46" fillId="0" borderId="5" xfId="12" applyFill="1" applyBorder="1"/>
    <xf numFmtId="3" fontId="46" fillId="0" borderId="7" xfId="12" applyNumberFormat="1" applyFill="1" applyBorder="1"/>
    <xf numFmtId="164" fontId="46" fillId="0" borderId="7" xfId="12" applyNumberFormat="1" applyFill="1" applyBorder="1"/>
    <xf numFmtId="0" fontId="107" fillId="0" borderId="5" xfId="12" applyFont="1" applyFill="1" applyBorder="1"/>
    <xf numFmtId="3" fontId="107" fillId="0" borderId="7" xfId="12" applyNumberFormat="1" applyFont="1" applyFill="1" applyBorder="1"/>
    <xf numFmtId="164" fontId="107" fillId="0" borderId="7" xfId="12" applyNumberFormat="1" applyFont="1" applyFill="1" applyBorder="1"/>
    <xf numFmtId="3" fontId="46" fillId="0" borderId="0" xfId="12" applyNumberFormat="1" applyFont="1" applyBorder="1"/>
    <xf numFmtId="3" fontId="48" fillId="0" borderId="0" xfId="15" applyNumberFormat="1" applyFont="1" applyFill="1" applyBorder="1"/>
    <xf numFmtId="165" fontId="13" fillId="0" borderId="51" xfId="15" applyNumberFormat="1" applyFont="1" applyBorder="1"/>
    <xf numFmtId="165" fontId="1" fillId="0" borderId="10" xfId="1" applyNumberFormat="1" applyFont="1" applyBorder="1" applyProtection="1"/>
    <xf numFmtId="3" fontId="1" fillId="0" borderId="67" xfId="0" applyNumberFormat="1" applyFont="1" applyFill="1" applyBorder="1" applyProtection="1"/>
    <xf numFmtId="42" fontId="0" fillId="0" borderId="67" xfId="0" applyNumberFormat="1" applyFill="1" applyBorder="1" applyProtection="1"/>
    <xf numFmtId="3" fontId="49" fillId="0" borderId="100" xfId="22" applyNumberFormat="1" applyFont="1" applyFill="1" applyBorder="1"/>
    <xf numFmtId="3" fontId="49" fillId="0" borderId="0" xfId="12" applyNumberFormat="1" applyFont="1" applyBorder="1"/>
    <xf numFmtId="165" fontId="49" fillId="0" borderId="99" xfId="22" applyNumberFormat="1" applyFont="1" applyFill="1" applyBorder="1"/>
    <xf numFmtId="165" fontId="49" fillId="0" borderId="99" xfId="15" applyNumberFormat="1" applyFont="1" applyFill="1" applyBorder="1"/>
    <xf numFmtId="3" fontId="49" fillId="0" borderId="55" xfId="15" applyNumberFormat="1" applyFont="1" applyFill="1" applyBorder="1"/>
    <xf numFmtId="3" fontId="49" fillId="0" borderId="55" xfId="22" applyNumberFormat="1" applyFont="1" applyFill="1" applyBorder="1"/>
    <xf numFmtId="172" fontId="46" fillId="0" borderId="0" xfId="12" applyNumberFormat="1" applyBorder="1"/>
    <xf numFmtId="0" fontId="16" fillId="0" borderId="0" xfId="3"/>
    <xf numFmtId="0" fontId="16" fillId="0" borderId="0" xfId="3" applyBorder="1"/>
    <xf numFmtId="0" fontId="49" fillId="0" borderId="0" xfId="3" applyFont="1"/>
    <xf numFmtId="0" fontId="16" fillId="0" borderId="0" xfId="3" applyFill="1" applyBorder="1"/>
    <xf numFmtId="0" fontId="16" fillId="0" borderId="48" xfId="3" applyBorder="1"/>
    <xf numFmtId="0" fontId="49" fillId="0" borderId="0" xfId="3" applyFont="1" applyFill="1" applyBorder="1"/>
    <xf numFmtId="0" fontId="20" fillId="0" borderId="0" xfId="3" applyFont="1"/>
    <xf numFmtId="165" fontId="16" fillId="0" borderId="0" xfId="22" applyNumberFormat="1"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165" fontId="16" fillId="0" borderId="0" xfId="22" applyNumberFormat="1" applyFont="1" applyFill="1"/>
    <xf numFmtId="0" fontId="13" fillId="0" borderId="0" xfId="3" applyFont="1" applyAlignment="1">
      <alignment horizontal="left"/>
    </xf>
    <xf numFmtId="9" fontId="40" fillId="0" borderId="0" xfId="4" applyFont="1" applyFill="1" applyBorder="1"/>
    <xf numFmtId="165" fontId="16" fillId="0" borderId="0" xfId="22" applyNumberFormat="1" applyFont="1" applyFill="1" applyBorder="1"/>
    <xf numFmtId="0" fontId="20" fillId="0" borderId="0" xfId="3" applyFont="1" applyFill="1" applyBorder="1"/>
    <xf numFmtId="165" fontId="20" fillId="0" borderId="0" xfId="22" applyNumberFormat="1" applyFont="1" applyFill="1" applyBorder="1"/>
    <xf numFmtId="2" fontId="13" fillId="0" borderId="0" xfId="3" applyNumberFormat="1" applyFont="1" applyFill="1" applyAlignment="1">
      <alignment horizontal="right"/>
    </xf>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9" fillId="0" borderId="51" xfId="22" applyNumberFormat="1" applyFont="1" applyFill="1" applyBorder="1"/>
    <xf numFmtId="165" fontId="16" fillId="0" borderId="51" xfId="22" applyNumberFormat="1" applyFont="1" applyBorder="1"/>
    <xf numFmtId="165" fontId="49" fillId="0" borderId="51" xfId="22" applyNumberFormat="1" applyFont="1" applyBorder="1"/>
    <xf numFmtId="3" fontId="49" fillId="0" borderId="34" xfId="22" applyNumberFormat="1" applyFont="1" applyFill="1" applyBorder="1"/>
    <xf numFmtId="165" fontId="49" fillId="2" borderId="17" xfId="22" applyNumberFormat="1" applyFont="1" applyFill="1" applyBorder="1"/>
    <xf numFmtId="1" fontId="57" fillId="0" borderId="52" xfId="4" applyNumberFormat="1" applyFont="1" applyFill="1" applyBorder="1" applyAlignment="1">
      <alignment horizontal="center"/>
    </xf>
    <xf numFmtId="1" fontId="57" fillId="0" borderId="53" xfId="4" applyNumberFormat="1" applyFont="1" applyFill="1" applyBorder="1" applyAlignment="1">
      <alignment horizontal="center"/>
    </xf>
    <xf numFmtId="165" fontId="16" fillId="0" borderId="32" xfId="3" applyNumberFormat="1" applyBorder="1"/>
    <xf numFmtId="1" fontId="57" fillId="0" borderId="0" xfId="4" applyNumberFormat="1" applyFont="1" applyFill="1" applyBorder="1" applyAlignment="1">
      <alignment horizontal="center"/>
    </xf>
    <xf numFmtId="165" fontId="16" fillId="0" borderId="0" xfId="3" applyNumberFormat="1" applyBorder="1"/>
    <xf numFmtId="165" fontId="49" fillId="0" borderId="32" xfId="3" applyNumberFormat="1" applyFont="1" applyBorder="1"/>
    <xf numFmtId="165" fontId="16" fillId="0" borderId="32" xfId="22" applyNumberFormat="1" applyFont="1" applyFill="1" applyBorder="1"/>
    <xf numFmtId="3" fontId="16" fillId="0" borderId="0" xfId="3" applyNumberFormat="1" applyBorder="1"/>
    <xf numFmtId="165" fontId="16" fillId="0" borderId="48" xfId="22" applyNumberFormat="1" applyFont="1" applyFill="1" applyBorder="1"/>
    <xf numFmtId="0" fontId="1" fillId="0" borderId="0" xfId="3" applyFont="1" applyFill="1" applyBorder="1" applyAlignment="1">
      <alignment horizontal="left" indent="2"/>
    </xf>
    <xf numFmtId="0" fontId="16" fillId="0" borderId="0" xfId="3" applyFont="1" applyFill="1" applyBorder="1" applyAlignment="1">
      <alignment horizontal="left" indent="1"/>
    </xf>
    <xf numFmtId="0" fontId="16" fillId="0" borderId="0" xfId="3" applyAlignment="1">
      <alignment horizontal="left" indent="2"/>
    </xf>
    <xf numFmtId="0" fontId="1" fillId="0" borderId="0" xfId="3" applyNumberFormat="1" applyFont="1" applyFill="1" applyBorder="1"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0" fontId="20" fillId="0" borderId="0" xfId="3" applyFont="1" applyFill="1" applyBorder="1" applyAlignment="1"/>
    <xf numFmtId="165" fontId="16" fillId="0" borderId="50" xfId="22" applyNumberFormat="1" applyFont="1" applyBorder="1"/>
    <xf numFmtId="3" fontId="49" fillId="0" borderId="2" xfId="3" applyNumberFormat="1" applyFont="1" applyBorder="1"/>
    <xf numFmtId="165" fontId="49" fillId="0" borderId="35" xfId="22" applyNumberFormat="1" applyFont="1" applyFill="1" applyBorder="1"/>
    <xf numFmtId="165" fontId="16" fillId="0" borderId="32" xfId="3" applyNumberFormat="1" applyFont="1" applyBorder="1"/>
    <xf numFmtId="0" fontId="49" fillId="0" borderId="51" xfId="3" applyFont="1" applyBorder="1"/>
    <xf numFmtId="0" fontId="49" fillId="0" borderId="0" xfId="3" applyFont="1" applyBorder="1"/>
    <xf numFmtId="165" fontId="49" fillId="0" borderId="51" xfId="4" applyNumberFormat="1" applyFont="1" applyFill="1" applyBorder="1"/>
    <xf numFmtId="3" fontId="16" fillId="0" borderId="2" xfId="3" applyNumberFormat="1" applyBorder="1"/>
    <xf numFmtId="0" fontId="16" fillId="0" borderId="35" xfId="3" applyBorder="1"/>
    <xf numFmtId="9" fontId="20" fillId="0" borderId="0" xfId="4" applyNumberFormat="1" applyFont="1" applyFill="1" applyBorder="1"/>
    <xf numFmtId="3" fontId="49" fillId="0" borderId="100" xfId="15" applyNumberFormat="1" applyFont="1" applyFill="1" applyBorder="1"/>
    <xf numFmtId="42" fontId="1" fillId="0" borderId="67" xfId="0" applyNumberFormat="1" applyFont="1" applyFill="1" applyBorder="1" applyProtection="1"/>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9" fillId="0" borderId="32" xfId="22" applyNumberFormat="1" applyFont="1" applyBorder="1"/>
    <xf numFmtId="165" fontId="49" fillId="2" borderId="18" xfId="22" applyNumberFormat="1" applyFont="1" applyFill="1" applyBorder="1"/>
    <xf numFmtId="165" fontId="49" fillId="2" borderId="19" xfId="22" applyNumberFormat="1" applyFont="1" applyFill="1" applyBorder="1"/>
    <xf numFmtId="3" fontId="49" fillId="0" borderId="8" xfId="22" applyNumberFormat="1" applyFont="1" applyFill="1" applyBorder="1"/>
    <xf numFmtId="3" fontId="49" fillId="0" borderId="10"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165" fontId="49" fillId="0" borderId="5" xfId="22" applyNumberFormat="1" applyFont="1" applyFill="1" applyBorder="1"/>
    <xf numFmtId="165" fontId="16" fillId="0" borderId="51" xfId="3" applyNumberFormat="1" applyBorder="1"/>
    <xf numFmtId="165" fontId="13" fillId="0" borderId="51" xfId="22" applyNumberFormat="1" applyFont="1" applyBorder="1"/>
    <xf numFmtId="0" fontId="49" fillId="0" borderId="0" xfId="3" applyFont="1" applyFill="1" applyAlignment="1">
      <alignment horizontal="right"/>
    </xf>
    <xf numFmtId="166" fontId="49" fillId="0" borderId="0" xfId="3" applyNumberFormat="1" applyFont="1" applyFill="1" applyAlignment="1">
      <alignment horizontal="right"/>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9" fillId="2" borderId="19" xfId="22" applyNumberFormat="1" applyFont="1" applyFill="1" applyBorder="1"/>
    <xf numFmtId="3" fontId="49" fillId="0" borderId="8" xfId="22" applyNumberFormat="1" applyFont="1" applyFill="1" applyBorder="1"/>
    <xf numFmtId="3" fontId="49" fillId="0" borderId="10"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65" fontId="16" fillId="0" borderId="0" xfId="3" applyNumberFormat="1" applyFont="1" applyBorder="1"/>
    <xf numFmtId="181" fontId="49" fillId="0" borderId="51" xfId="3" applyNumberFormat="1" applyFont="1" applyBorder="1"/>
    <xf numFmtId="165" fontId="16" fillId="0" borderId="32" xfId="3" applyNumberFormat="1" applyFont="1" applyBorder="1"/>
    <xf numFmtId="165" fontId="49" fillId="0" borderId="5" xfId="22" applyNumberFormat="1" applyFont="1" applyFill="1" applyBorder="1"/>
    <xf numFmtId="165" fontId="13" fillId="0" borderId="51" xfId="22" applyNumberFormat="1" applyFont="1" applyBorder="1"/>
    <xf numFmtId="0" fontId="16" fillId="0" borderId="0" xfId="3"/>
    <xf numFmtId="0" fontId="16" fillId="0" borderId="0" xfId="3" applyBorder="1"/>
    <xf numFmtId="0" fontId="16" fillId="0" borderId="0" xfId="3" applyFill="1" applyBorder="1"/>
    <xf numFmtId="0" fontId="49" fillId="0" borderId="0" xfId="3" applyFont="1" applyFill="1" applyBorder="1"/>
    <xf numFmtId="0" fontId="20" fillId="0" borderId="0" xfId="3" applyFont="1"/>
    <xf numFmtId="165" fontId="16" fillId="0" borderId="0" xfId="22" applyNumberFormat="1" applyFont="1" applyBorder="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42" fontId="44" fillId="0" borderId="0" xfId="4" applyNumberFormat="1" applyFont="1" applyFill="1" applyBorder="1"/>
    <xf numFmtId="165" fontId="16" fillId="0" borderId="0" xfId="22" applyNumberFormat="1" applyFont="1" applyFill="1" applyBorder="1"/>
    <xf numFmtId="165" fontId="13" fillId="0" borderId="0" xfId="22" applyNumberFormat="1" applyFont="1" applyFill="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0" fontId="60" fillId="0" borderId="0" xfId="3" applyFont="1" applyAlignment="1">
      <alignment horizontal="left"/>
    </xf>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165" fontId="49" fillId="0" borderId="51" xfId="22" applyNumberFormat="1" applyFont="1" applyFill="1" applyBorder="1"/>
    <xf numFmtId="165" fontId="16" fillId="0" borderId="51" xfId="22" applyNumberFormat="1" applyFont="1" applyBorder="1"/>
    <xf numFmtId="165" fontId="49" fillId="0" borderId="51" xfId="22" applyNumberFormat="1" applyFont="1" applyBorder="1"/>
    <xf numFmtId="9" fontId="40" fillId="0" borderId="32" xfId="4" applyFont="1" applyFill="1" applyBorder="1"/>
    <xf numFmtId="42" fontId="44" fillId="0" borderId="32" xfId="4" applyNumberFormat="1" applyFont="1" applyFill="1" applyBorder="1"/>
    <xf numFmtId="165" fontId="20" fillId="0" borderId="32" xfId="22" applyNumberFormat="1" applyFont="1" applyFill="1" applyBorder="1"/>
    <xf numFmtId="165" fontId="20" fillId="0" borderId="0" xfId="22" applyNumberFormat="1" applyFont="1" applyBorder="1"/>
    <xf numFmtId="176" fontId="20" fillId="0" borderId="32" xfId="3" applyNumberFormat="1" applyFont="1" applyFill="1" applyBorder="1" applyAlignment="1">
      <alignment horizontal="center"/>
    </xf>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49" fillId="0" borderId="32" xfId="22" applyNumberFormat="1" applyFont="1" applyBorder="1"/>
    <xf numFmtId="165" fontId="16" fillId="0" borderId="32" xfId="3" applyNumberFormat="1" applyBorder="1"/>
    <xf numFmtId="0" fontId="16" fillId="0" borderId="51" xfId="3" applyBorder="1"/>
    <xf numFmtId="0" fontId="50" fillId="0" borderId="0" xfId="3" applyFont="1" applyAlignment="1">
      <alignment horizontal="center"/>
    </xf>
    <xf numFmtId="9" fontId="20" fillId="0" borderId="0" xfId="4" applyFont="1" applyFill="1" applyBorder="1"/>
    <xf numFmtId="165" fontId="16" fillId="0" borderId="32" xfId="22" applyNumberFormat="1" applyFont="1" applyBorder="1"/>
    <xf numFmtId="165" fontId="13" fillId="0" borderId="0" xfId="22" applyNumberFormat="1" applyFont="1" applyBorder="1"/>
    <xf numFmtId="176" fontId="13" fillId="0" borderId="0" xfId="3" applyNumberFormat="1" applyFont="1" applyFill="1" applyBorder="1" applyAlignment="1">
      <alignment horizontal="center"/>
    </xf>
    <xf numFmtId="0" fontId="16" fillId="0" borderId="0" xfId="3" applyFont="1" applyBorder="1"/>
    <xf numFmtId="165" fontId="16" fillId="0" borderId="32" xfId="22" applyNumberFormat="1" applyFont="1" applyFill="1" applyBorder="1"/>
    <xf numFmtId="165" fontId="13" fillId="0" borderId="51" xfId="22" applyNumberFormat="1" applyFont="1" applyBorder="1"/>
    <xf numFmtId="165" fontId="13" fillId="0" borderId="32" xfId="22" applyNumberFormat="1" applyFont="1" applyBorder="1"/>
    <xf numFmtId="42" fontId="0" fillId="22" borderId="55" xfId="0" applyNumberFormat="1" applyFont="1" applyFill="1" applyBorder="1" applyProtection="1"/>
    <xf numFmtId="0" fontId="16" fillId="0" borderId="0" xfId="3"/>
    <xf numFmtId="42" fontId="49" fillId="0" borderId="0" xfId="3" applyNumberFormat="1" applyFont="1"/>
    <xf numFmtId="165" fontId="16" fillId="0" borderId="0" xfId="3" applyNumberFormat="1"/>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165" fontId="16" fillId="0" borderId="0" xfId="22" applyNumberFormat="1" applyFont="1" applyFill="1" applyBorder="1"/>
    <xf numFmtId="3" fontId="16" fillId="0" borderId="0" xfId="22" applyNumberFormat="1" applyFill="1" applyBorder="1"/>
    <xf numFmtId="0" fontId="16" fillId="0" borderId="0" xfId="3" applyAlignment="1">
      <alignment horizontal="right"/>
    </xf>
    <xf numFmtId="9" fontId="20" fillId="0" borderId="0" xfId="4" applyFont="1" applyFill="1" applyBorder="1"/>
    <xf numFmtId="0" fontId="16" fillId="0" borderId="0" xfId="3" applyFill="1" applyBorder="1"/>
    <xf numFmtId="0" fontId="49" fillId="0" borderId="0" xfId="3" applyFont="1"/>
    <xf numFmtId="0" fontId="16" fillId="0" borderId="0" xfId="3" applyBorder="1"/>
    <xf numFmtId="0" fontId="16" fillId="0" borderId="0" xfId="3"/>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69" fontId="67" fillId="0" borderId="12" xfId="28" applyNumberFormat="1"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3" fontId="49" fillId="0" borderId="8" xfId="22" applyNumberFormat="1" applyFont="1" applyFill="1" applyBorder="1"/>
    <xf numFmtId="3" fontId="49" fillId="0" borderId="5" xfId="22" applyNumberFormat="1" applyFont="1" applyFill="1" applyBorder="1"/>
    <xf numFmtId="165" fontId="16" fillId="0" borderId="32" xfId="3" applyNumberFormat="1" applyBorder="1"/>
    <xf numFmtId="3" fontId="16" fillId="0" borderId="32" xfId="22" applyNumberFormat="1" applyFill="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42" fontId="49" fillId="0" borderId="32" xfId="3" applyNumberFormat="1" applyFont="1" applyBorder="1"/>
    <xf numFmtId="165" fontId="49" fillId="0" borderId="32" xfId="3" applyNumberFormat="1" applyFont="1" applyBorder="1"/>
    <xf numFmtId="0" fontId="16" fillId="0" borderId="0" xfId="3" applyAlignment="1">
      <alignment horizontal="left" indent="2"/>
    </xf>
    <xf numFmtId="0" fontId="13" fillId="0" borderId="0" xfId="3" applyFont="1" applyAlignment="1">
      <alignment horizontal="left" indent="1"/>
    </xf>
    <xf numFmtId="42" fontId="16" fillId="0" borderId="32" xfId="3" applyNumberFormat="1" applyFont="1" applyBorder="1"/>
    <xf numFmtId="42" fontId="20" fillId="0" borderId="51" xfId="4" applyNumberFormat="1" applyFont="1" applyFill="1" applyBorder="1"/>
    <xf numFmtId="0" fontId="16" fillId="0" borderId="50" xfId="3" applyBorder="1"/>
    <xf numFmtId="3" fontId="49" fillId="0" borderId="32" xfId="22" applyNumberFormat="1" applyFont="1" applyFill="1" applyBorder="1"/>
    <xf numFmtId="0" fontId="13" fillId="0" borderId="0" xfId="3" applyFont="1" applyAlignment="1">
      <alignment horizontal="left" indent="2"/>
    </xf>
    <xf numFmtId="165" fontId="13" fillId="0" borderId="51" xfId="22" applyNumberFormat="1" applyFont="1" applyBorder="1"/>
    <xf numFmtId="0" fontId="16" fillId="0" borderId="0" xfId="3"/>
    <xf numFmtId="42" fontId="49" fillId="0" borderId="0" xfId="3" applyNumberFormat="1" applyFont="1"/>
    <xf numFmtId="165" fontId="16" fillId="0" borderId="0" xfId="3" applyNumberFormat="1"/>
    <xf numFmtId="0" fontId="55" fillId="0" borderId="0" xfId="23" applyNumberFormat="1" applyFont="1" applyAlignment="1" applyProtection="1">
      <alignment horizontal="left"/>
      <protection locked="0"/>
    </xf>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0" fontId="13" fillId="0" borderId="0" xfId="2" applyFont="1" applyAlignment="1">
      <alignment wrapText="1"/>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0" fontId="13" fillId="0" borderId="0" xfId="3" applyFont="1" applyAlignment="1">
      <alignment horizontal="left"/>
    </xf>
    <xf numFmtId="165" fontId="49" fillId="0" borderId="0" xfId="22" applyNumberFormat="1" applyFont="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165" fontId="16" fillId="0" borderId="0" xfId="22" applyNumberFormat="1" applyBorder="1"/>
    <xf numFmtId="165" fontId="16" fillId="0" borderId="0" xfId="22" applyNumberFormat="1" applyFill="1" applyBorder="1"/>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9" fillId="0" borderId="51" xfId="22" applyNumberFormat="1" applyFont="1" applyFill="1" applyBorder="1"/>
    <xf numFmtId="165" fontId="49"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3" fontId="49" fillId="0" borderId="8" xfId="22" applyNumberFormat="1" applyFont="1" applyFill="1" applyBorder="1"/>
    <xf numFmtId="3" fontId="49" fillId="0" borderId="10" xfId="22" applyNumberFormat="1" applyFont="1" applyFill="1" applyBorder="1"/>
    <xf numFmtId="3" fontId="49" fillId="0" borderId="5"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65" fontId="13" fillId="0" borderId="51" xfId="22" applyNumberFormat="1" applyFont="1" applyBorder="1"/>
    <xf numFmtId="0" fontId="16" fillId="0" borderId="0" xfId="3"/>
    <xf numFmtId="42" fontId="49" fillId="0" borderId="0" xfId="3" applyNumberFormat="1" applyFont="1"/>
    <xf numFmtId="165" fontId="16" fillId="0" borderId="0" xfId="3" applyNumberFormat="1"/>
    <xf numFmtId="0" fontId="16" fillId="0" borderId="0" xfId="3" applyFill="1"/>
    <xf numFmtId="9" fontId="40" fillId="0" borderId="0" xfId="4" applyFont="1" applyFill="1" applyBorder="1"/>
    <xf numFmtId="42" fontId="16" fillId="0" borderId="0" xfId="3" applyNumberFormat="1" applyFill="1"/>
    <xf numFmtId="165" fontId="16" fillId="0" borderId="0" xfId="3" applyNumberFormat="1" applyFill="1"/>
    <xf numFmtId="0" fontId="49" fillId="0" borderId="0" xfId="3" applyFont="1" applyFill="1" applyAlignment="1">
      <alignment horizontal="right"/>
    </xf>
    <xf numFmtId="0" fontId="49" fillId="0" borderId="0" xfId="3" applyFont="1" applyAlignment="1">
      <alignment horizontal="right"/>
    </xf>
    <xf numFmtId="165" fontId="66" fillId="0" borderId="0" xfId="3" applyNumberFormat="1" applyFont="1"/>
    <xf numFmtId="9" fontId="57" fillId="0" borderId="0" xfId="4" applyFont="1" applyFill="1" applyBorder="1"/>
    <xf numFmtId="44" fontId="49" fillId="0" borderId="0" xfId="3" applyNumberFormat="1" applyFont="1" applyAlignment="1">
      <alignment horizontal="right"/>
    </xf>
    <xf numFmtId="3" fontId="49" fillId="0" borderId="0" xfId="3" applyNumberFormat="1" applyFont="1" applyAlignment="1">
      <alignment horizontal="right"/>
    </xf>
    <xf numFmtId="166" fontId="49" fillId="0" borderId="0" xfId="3" applyNumberFormat="1" applyFont="1" applyFill="1" applyAlignment="1">
      <alignment horizontal="right"/>
    </xf>
    <xf numFmtId="0" fontId="16" fillId="0" borderId="0" xfId="3" applyAlignment="1">
      <alignment horizontal="right"/>
    </xf>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165" fontId="20" fillId="0" borderId="0" xfId="22" applyNumberFormat="1" applyFont="1" applyFill="1" applyBorder="1"/>
    <xf numFmtId="165"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42" fontId="44" fillId="0" borderId="51" xfId="4" applyNumberFormat="1" applyFont="1" applyFill="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3" fontId="49" fillId="0" borderId="34"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16" fillId="0" borderId="51" xfId="3" applyBorder="1"/>
    <xf numFmtId="3" fontId="16" fillId="0" borderId="51" xfId="22" applyNumberFormat="1" applyFill="1" applyBorder="1"/>
    <xf numFmtId="3" fontId="16" fillId="0" borderId="32" xfId="22" applyNumberFormat="1" applyFill="1" applyBorder="1"/>
    <xf numFmtId="3" fontId="49" fillId="0" borderId="2" xfId="22" applyNumberFormat="1" applyFont="1" applyFill="1" applyBorder="1"/>
    <xf numFmtId="3" fontId="49" fillId="0" borderId="35" xfId="22" applyNumberFormat="1" applyFont="1" applyFill="1" applyBorder="1"/>
    <xf numFmtId="167" fontId="62" fillId="0" borderId="2" xfId="22" applyNumberFormat="1" applyFont="1" applyFill="1" applyBorder="1" applyAlignment="1">
      <alignment horizontal="center"/>
    </xf>
    <xf numFmtId="3" fontId="16" fillId="0" borderId="5" xfId="3" applyNumberFormat="1" applyBorder="1"/>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0" fontId="16" fillId="0" borderId="0" xfId="3" applyAlignment="1">
      <alignment horizontal="left" indent="1"/>
    </xf>
    <xf numFmtId="0" fontId="16" fillId="0" borderId="0" xfId="3"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165" fontId="16" fillId="0" borderId="0" xfId="3" applyNumberFormat="1" applyFont="1" applyBorder="1"/>
    <xf numFmtId="165" fontId="16" fillId="0" borderId="51" xfId="4" applyNumberFormat="1" applyFont="1" applyFill="1" applyBorder="1"/>
    <xf numFmtId="42" fontId="16" fillId="0" borderId="32" xfId="3" applyNumberFormat="1" applyFont="1" applyBorder="1"/>
    <xf numFmtId="165" fontId="49" fillId="2" borderId="38" xfId="22" applyNumberFormat="1" applyFont="1" applyFill="1" applyBorder="1"/>
    <xf numFmtId="165" fontId="49" fillId="2" borderId="16" xfId="22" applyNumberFormat="1" applyFont="1" applyFill="1" applyBorder="1"/>
    <xf numFmtId="165" fontId="49" fillId="2" borderId="49" xfId="22" applyNumberFormat="1" applyFont="1" applyFill="1" applyBorder="1"/>
    <xf numFmtId="165" fontId="16" fillId="0" borderId="34" xfId="22" applyNumberFormat="1" applyFill="1" applyBorder="1"/>
    <xf numFmtId="165" fontId="16" fillId="0" borderId="2" xfId="22" applyNumberFormat="1" applyFill="1" applyBorder="1"/>
    <xf numFmtId="165" fontId="16" fillId="0" borderId="35" xfId="22" applyNumberFormat="1" applyFill="1" applyBorder="1"/>
    <xf numFmtId="0" fontId="16" fillId="0" borderId="0" xfId="3"/>
    <xf numFmtId="3" fontId="16" fillId="0" borderId="0" xfId="3" applyNumberFormat="1"/>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165" fontId="13" fillId="0" borderId="51" xfId="22" applyNumberFormat="1" applyFont="1" applyBorder="1"/>
    <xf numFmtId="0" fontId="16" fillId="0" borderId="0" xfId="3"/>
    <xf numFmtId="0" fontId="16" fillId="0" borderId="0" xfId="3" applyBorder="1"/>
    <xf numFmtId="0" fontId="49" fillId="0" borderId="0" xfId="3" applyFont="1"/>
    <xf numFmtId="0" fontId="16" fillId="0" borderId="0" xfId="3" applyFill="1" applyBorder="1"/>
    <xf numFmtId="0" fontId="49"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0" fontId="13" fillId="0" borderId="0" xfId="3" applyFont="1" applyAlignment="1">
      <alignment horizontal="left"/>
    </xf>
    <xf numFmtId="9" fontId="40" fillId="0" borderId="0" xfId="4" applyFont="1" applyFill="1" applyBorder="1"/>
    <xf numFmtId="165" fontId="49"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9" fillId="0" borderId="0" xfId="22" applyNumberFormat="1" applyFont="1" applyFill="1" applyBorder="1"/>
    <xf numFmtId="3" fontId="49"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9" fillId="0" borderId="0" xfId="3" applyNumberFormat="1" applyFont="1" applyBorder="1"/>
    <xf numFmtId="9" fontId="40"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9" fillId="0" borderId="51" xfId="22" applyNumberFormat="1" applyFont="1" applyFill="1" applyBorder="1"/>
    <xf numFmtId="165" fontId="49" fillId="0" borderId="51" xfId="22" applyNumberFormat="1" applyFont="1" applyBorder="1"/>
    <xf numFmtId="165" fontId="49"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9" fillId="0" borderId="32" xfId="22" applyNumberFormat="1" applyFont="1" applyFill="1" applyBorder="1"/>
    <xf numFmtId="165" fontId="16" fillId="0" borderId="51" xfId="22" applyNumberFormat="1" applyBorder="1"/>
    <xf numFmtId="165" fontId="16" fillId="0" borderId="32" xfId="22" applyNumberFormat="1" applyBorder="1"/>
    <xf numFmtId="165" fontId="49" fillId="2" borderId="18" xfId="22" applyNumberFormat="1" applyFont="1" applyFill="1" applyBorder="1"/>
    <xf numFmtId="165" fontId="49" fillId="2" borderId="19" xfId="22" applyNumberFormat="1" applyFont="1" applyFill="1" applyBorder="1"/>
    <xf numFmtId="165" fontId="16" fillId="0" borderId="32" xfId="3" applyNumberFormat="1" applyBorder="1"/>
    <xf numFmtId="0" fontId="50" fillId="0" borderId="0" xfId="3" applyFont="1" applyAlignment="1">
      <alignment horizontal="center"/>
    </xf>
    <xf numFmtId="165" fontId="16" fillId="0" borderId="0" xfId="3" applyNumberFormat="1" applyBorder="1"/>
    <xf numFmtId="42" fontId="49" fillId="0" borderId="0" xfId="3" applyNumberFormat="1" applyFont="1" applyBorder="1"/>
    <xf numFmtId="9" fontId="20" fillId="0" borderId="0" xfId="4" applyFont="1" applyFill="1" applyBorder="1"/>
    <xf numFmtId="181" fontId="49" fillId="0" borderId="0" xfId="3" applyNumberFormat="1" applyFont="1" applyBorder="1"/>
    <xf numFmtId="42" fontId="49" fillId="0" borderId="32" xfId="3" applyNumberFormat="1" applyFont="1" applyBorder="1"/>
    <xf numFmtId="165" fontId="49" fillId="0" borderId="32" xfId="3" applyNumberFormat="1" applyFont="1" applyBorder="1"/>
    <xf numFmtId="181" fontId="49" fillId="0" borderId="51" xfId="3" applyNumberFormat="1" applyFont="1" applyBorder="1"/>
    <xf numFmtId="0" fontId="49" fillId="0" borderId="0" xfId="3" applyFont="1" applyFill="1" applyAlignment="1">
      <alignment horizontal="right"/>
    </xf>
    <xf numFmtId="166" fontId="49" fillId="0" borderId="0" xfId="3" applyNumberFormat="1" applyFont="1" applyFill="1" applyAlignment="1">
      <alignment horizontal="right"/>
    </xf>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1" fillId="0" borderId="0" xfId="1" applyNumberFormat="1" applyFont="1" applyAlignment="1">
      <alignment horizontal="right" wrapText="1"/>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7" fontId="30" fillId="0" borderId="13" xfId="40" applyNumberFormat="1" applyFont="1" applyBorder="1"/>
    <xf numFmtId="164" fontId="82" fillId="0" borderId="0" xfId="0" applyNumberFormat="1" applyFont="1" applyAlignment="1">
      <alignment horizontal="center"/>
    </xf>
    <xf numFmtId="7" fontId="30" fillId="0" borderId="13" xfId="40" applyNumberFormat="1" applyFont="1" applyBorder="1"/>
    <xf numFmtId="0" fontId="67" fillId="0" borderId="13" xfId="28" applyBorder="1"/>
    <xf numFmtId="165" fontId="13" fillId="0" borderId="0" xfId="16" applyNumberFormat="1" applyFont="1"/>
    <xf numFmtId="187" fontId="13" fillId="0" borderId="0" xfId="16" applyNumberFormat="1" applyFont="1" applyBorder="1"/>
    <xf numFmtId="165" fontId="0" fillId="0" borderId="0" xfId="1" applyNumberFormat="1" applyFont="1" applyAlignment="1">
      <alignment horizontal="center"/>
    </xf>
    <xf numFmtId="0" fontId="0" fillId="0" borderId="0" xfId="0"/>
    <xf numFmtId="0" fontId="0" fillId="0" borderId="0" xfId="0" applyAlignment="1">
      <alignment wrapText="1"/>
    </xf>
    <xf numFmtId="0" fontId="0" fillId="0" borderId="47" xfId="0" applyBorder="1"/>
    <xf numFmtId="0" fontId="0" fillId="0" borderId="0" xfId="0" applyBorder="1"/>
    <xf numFmtId="0" fontId="0" fillId="0" borderId="38" xfId="0" applyBorder="1"/>
    <xf numFmtId="42" fontId="0" fillId="0" borderId="0" xfId="0" applyNumberFormat="1" applyBorder="1"/>
    <xf numFmtId="0" fontId="0" fillId="16" borderId="8" xfId="0" applyFill="1" applyBorder="1"/>
    <xf numFmtId="0" fontId="0" fillId="23" borderId="8" xfId="0" applyFill="1" applyBorder="1"/>
    <xf numFmtId="0" fontId="108" fillId="0" borderId="0" xfId="177" applyFill="1" applyAlignment="1">
      <alignment wrapText="1"/>
    </xf>
    <xf numFmtId="165" fontId="5" fillId="0" borderId="6" xfId="16" applyNumberFormat="1" applyFont="1" applyFill="1" applyBorder="1" applyAlignment="1">
      <alignment horizontal="center" vertical="center" wrapText="1"/>
    </xf>
    <xf numFmtId="165" fontId="26" fillId="0" borderId="0" xfId="9" applyNumberFormat="1" applyAlignment="1" applyProtection="1"/>
    <xf numFmtId="0" fontId="108" fillId="0" borderId="0" xfId="177" applyFill="1" applyAlignment="1">
      <alignment wrapText="1"/>
    </xf>
    <xf numFmtId="165" fontId="5" fillId="0" borderId="6" xfId="16" applyNumberFormat="1" applyFont="1" applyFill="1" applyBorder="1" applyAlignment="1">
      <alignment horizontal="center" vertical="center" wrapText="1"/>
    </xf>
    <xf numFmtId="3" fontId="109" fillId="0" borderId="16" xfId="9" applyNumberFormat="1" applyFont="1" applyBorder="1" applyAlignment="1" applyProtection="1">
      <alignment horizontal="center" vertical="center" wrapText="1"/>
    </xf>
    <xf numFmtId="0" fontId="110" fillId="0" borderId="0" xfId="178"/>
    <xf numFmtId="0" fontId="110" fillId="0" borderId="0" xfId="178" applyBorder="1"/>
    <xf numFmtId="0" fontId="48" fillId="0" borderId="0" xfId="178" applyFont="1"/>
    <xf numFmtId="0" fontId="110" fillId="0" borderId="0" xfId="178" applyFill="1" applyBorder="1"/>
    <xf numFmtId="0" fontId="48" fillId="0" borderId="0" xfId="178" applyFont="1" applyFill="1" applyBorder="1"/>
    <xf numFmtId="0" fontId="20" fillId="0" borderId="0" xfId="178" applyFont="1"/>
    <xf numFmtId="0" fontId="8" fillId="0" borderId="0" xfId="178" applyFont="1"/>
    <xf numFmtId="41" fontId="13" fillId="0" borderId="0" xfId="181" applyNumberFormat="1" applyFont="1" applyFill="1" applyBorder="1" applyAlignment="1" applyProtection="1">
      <alignment horizontal="left"/>
    </xf>
    <xf numFmtId="165" fontId="20" fillId="0" borderId="0" xfId="180" applyNumberFormat="1" applyFont="1" applyFill="1"/>
    <xf numFmtId="176" fontId="20" fillId="0" borderId="0" xfId="178" applyNumberFormat="1" applyFont="1" applyFill="1" applyAlignment="1">
      <alignment horizontal="center"/>
    </xf>
    <xf numFmtId="0" fontId="13" fillId="0" borderId="0" xfId="178" applyFont="1" applyAlignment="1">
      <alignment horizontal="left"/>
    </xf>
    <xf numFmtId="9" fontId="40" fillId="0" borderId="0" xfId="182" applyFont="1" applyFill="1" applyBorder="1"/>
    <xf numFmtId="165" fontId="48" fillId="0" borderId="0" xfId="180" applyNumberFormat="1" applyFont="1" applyBorder="1"/>
    <xf numFmtId="165" fontId="110" fillId="0" borderId="0" xfId="180" applyNumberFormat="1" applyFont="1" applyFill="1" applyBorder="1"/>
    <xf numFmtId="0" fontId="20" fillId="0" borderId="0" xfId="178" applyFont="1" applyFill="1" applyBorder="1"/>
    <xf numFmtId="0" fontId="13" fillId="0" borderId="0" xfId="178" applyFont="1" applyFill="1" applyBorder="1"/>
    <xf numFmtId="165" fontId="48" fillId="0" borderId="0" xfId="180" applyNumberFormat="1" applyFont="1" applyFill="1" applyBorder="1"/>
    <xf numFmtId="3" fontId="48" fillId="0" borderId="0" xfId="180" applyNumberFormat="1" applyFont="1" applyFill="1" applyBorder="1"/>
    <xf numFmtId="0" fontId="48" fillId="0" borderId="0" xfId="178" applyFont="1" applyAlignment="1">
      <alignment horizontal="right"/>
    </xf>
    <xf numFmtId="2" fontId="13" fillId="0" borderId="0" xfId="178" applyNumberFormat="1" applyFont="1" applyFill="1" applyAlignment="1">
      <alignment horizontal="right"/>
    </xf>
    <xf numFmtId="165" fontId="110" fillId="0" borderId="0" xfId="180" applyNumberFormat="1" applyFill="1"/>
    <xf numFmtId="165" fontId="110" fillId="0" borderId="0" xfId="180" applyNumberFormat="1"/>
    <xf numFmtId="165" fontId="110" fillId="0" borderId="0" xfId="180" applyNumberFormat="1" applyBorder="1"/>
    <xf numFmtId="165" fontId="110" fillId="0" borderId="0" xfId="180" applyNumberFormat="1" applyFill="1" applyBorder="1"/>
    <xf numFmtId="3" fontId="110" fillId="0" borderId="0" xfId="180" applyNumberFormat="1" applyFill="1" applyBorder="1"/>
    <xf numFmtId="0" fontId="110" fillId="0" borderId="0" xfId="178" applyAlignment="1">
      <alignment horizontal="right"/>
    </xf>
    <xf numFmtId="165" fontId="48" fillId="0" borderId="0" xfId="178" applyNumberFormat="1" applyFont="1" applyBorder="1"/>
    <xf numFmtId="42" fontId="44" fillId="0" borderId="51" xfId="182" applyNumberFormat="1" applyFont="1" applyFill="1" applyBorder="1"/>
    <xf numFmtId="9" fontId="40" fillId="0" borderId="51" xfId="182" applyFont="1" applyFill="1" applyBorder="1"/>
    <xf numFmtId="0" fontId="110" fillId="0" borderId="32" xfId="178" applyBorder="1"/>
    <xf numFmtId="165" fontId="20" fillId="0" borderId="51" xfId="180" applyNumberFormat="1" applyFont="1" applyFill="1" applyBorder="1"/>
    <xf numFmtId="176" fontId="20" fillId="0" borderId="51" xfId="178" applyNumberFormat="1" applyFont="1" applyFill="1" applyBorder="1" applyAlignment="1">
      <alignment horizontal="center"/>
    </xf>
    <xf numFmtId="42" fontId="110" fillId="0" borderId="51" xfId="178" applyNumberFormat="1" applyBorder="1"/>
    <xf numFmtId="165" fontId="48" fillId="0" borderId="51" xfId="180" applyNumberFormat="1" applyFont="1" applyFill="1" applyBorder="1"/>
    <xf numFmtId="165" fontId="48" fillId="0" borderId="51" xfId="180" applyNumberFormat="1" applyFont="1" applyBorder="1"/>
    <xf numFmtId="0" fontId="110" fillId="0" borderId="53" xfId="178" applyBorder="1"/>
    <xf numFmtId="165" fontId="110" fillId="0" borderId="51" xfId="180" applyNumberFormat="1" applyFill="1" applyBorder="1"/>
    <xf numFmtId="165" fontId="110" fillId="0" borderId="32" xfId="180" applyNumberFormat="1" applyFill="1" applyBorder="1"/>
    <xf numFmtId="165" fontId="110" fillId="0" borderId="51" xfId="180" applyNumberFormat="1" applyBorder="1"/>
    <xf numFmtId="165" fontId="110" fillId="0" borderId="32" xfId="180" applyNumberFormat="1" applyBorder="1"/>
    <xf numFmtId="3" fontId="48" fillId="0" borderId="8" xfId="180" applyNumberFormat="1" applyFont="1" applyFill="1" applyBorder="1"/>
    <xf numFmtId="3" fontId="48" fillId="0" borderId="5" xfId="180" applyNumberFormat="1" applyFont="1" applyFill="1" applyBorder="1"/>
    <xf numFmtId="165" fontId="110" fillId="0" borderId="32" xfId="178" applyNumberFormat="1" applyBorder="1"/>
    <xf numFmtId="0" fontId="110" fillId="0" borderId="51" xfId="178" applyBorder="1"/>
    <xf numFmtId="0" fontId="50" fillId="0" borderId="0" xfId="178" applyFont="1" applyAlignment="1">
      <alignment horizontal="center"/>
    </xf>
    <xf numFmtId="165" fontId="110" fillId="0" borderId="0" xfId="178" applyNumberFormat="1" applyBorder="1"/>
    <xf numFmtId="42" fontId="48" fillId="0" borderId="0" xfId="178" applyNumberFormat="1" applyFont="1" applyBorder="1"/>
    <xf numFmtId="9" fontId="20" fillId="0" borderId="0" xfId="182" applyFont="1" applyFill="1" applyBorder="1"/>
    <xf numFmtId="181" fontId="111" fillId="0" borderId="0" xfId="178" applyNumberFormat="1" applyFont="1" applyBorder="1"/>
    <xf numFmtId="42" fontId="111" fillId="0" borderId="32" xfId="178" applyNumberFormat="1" applyFont="1" applyBorder="1"/>
    <xf numFmtId="0" fontId="110" fillId="0" borderId="0" xfId="178" applyAlignment="1">
      <alignment horizontal="left" indent="1"/>
    </xf>
    <xf numFmtId="3" fontId="16" fillId="0" borderId="0" xfId="180" applyNumberFormat="1" applyFont="1" applyFill="1" applyBorder="1"/>
    <xf numFmtId="165" fontId="16" fillId="0" borderId="0" xfId="180" applyNumberFormat="1" applyFont="1" applyFill="1" applyBorder="1"/>
    <xf numFmtId="0" fontId="110" fillId="0" borderId="0" xfId="178" applyAlignment="1">
      <alignment horizontal="left" indent="2"/>
    </xf>
    <xf numFmtId="0" fontId="16" fillId="0" borderId="0" xfId="178" applyFont="1" applyBorder="1" applyAlignment="1">
      <alignment horizontal="left" indent="1"/>
    </xf>
    <xf numFmtId="42" fontId="16" fillId="0" borderId="32" xfId="178" applyNumberFormat="1" applyFont="1" applyBorder="1"/>
    <xf numFmtId="165" fontId="48" fillId="2" borderId="38" xfId="180" applyNumberFormat="1" applyFont="1" applyFill="1" applyBorder="1"/>
    <xf numFmtId="165" fontId="110" fillId="0" borderId="34" xfId="180" applyNumberFormat="1" applyFill="1" applyBorder="1"/>
    <xf numFmtId="165" fontId="110" fillId="0" borderId="2" xfId="180" applyNumberFormat="1" applyFill="1" applyBorder="1"/>
    <xf numFmtId="165" fontId="110" fillId="0" borderId="35" xfId="180" applyNumberFormat="1" applyFill="1" applyBorder="1"/>
    <xf numFmtId="42" fontId="20" fillId="0" borderId="51" xfId="182" applyNumberFormat="1" applyFont="1" applyFill="1" applyBorder="1"/>
    <xf numFmtId="0" fontId="16" fillId="0" borderId="0" xfId="178" applyFont="1" applyFill="1" applyBorder="1" applyAlignment="1">
      <alignment horizontal="left" indent="2"/>
    </xf>
    <xf numFmtId="0" fontId="110" fillId="0" borderId="52" xfId="178" applyBorder="1"/>
    <xf numFmtId="0" fontId="110" fillId="0" borderId="50" xfId="178" applyBorder="1"/>
    <xf numFmtId="3" fontId="48" fillId="0" borderId="51" xfId="180" applyNumberFormat="1" applyFont="1" applyFill="1" applyBorder="1"/>
    <xf numFmtId="3" fontId="48" fillId="0" borderId="32" xfId="180" applyNumberFormat="1" applyFont="1" applyFill="1" applyBorder="1"/>
    <xf numFmtId="3" fontId="16" fillId="0" borderId="51" xfId="180" applyNumberFormat="1" applyFont="1" applyFill="1" applyBorder="1"/>
    <xf numFmtId="3" fontId="16" fillId="0" borderId="32" xfId="180" applyNumberFormat="1" applyFont="1" applyFill="1" applyBorder="1"/>
    <xf numFmtId="3" fontId="16" fillId="0" borderId="34" xfId="180" applyNumberFormat="1" applyFont="1" applyFill="1" applyBorder="1"/>
    <xf numFmtId="3" fontId="16" fillId="0" borderId="2" xfId="180" applyNumberFormat="1" applyFont="1" applyFill="1" applyBorder="1"/>
    <xf numFmtId="42" fontId="20" fillId="0" borderId="0" xfId="182" applyNumberFormat="1" applyFont="1" applyFill="1" applyBorder="1"/>
    <xf numFmtId="165" fontId="13" fillId="0" borderId="51" xfId="180" applyNumberFormat="1" applyFont="1" applyBorder="1"/>
    <xf numFmtId="165" fontId="45" fillId="0" borderId="0" xfId="0" applyNumberFormat="1" applyFont="1"/>
    <xf numFmtId="165" fontId="16" fillId="0" borderId="0" xfId="22" applyNumberFormat="1" applyFont="1"/>
    <xf numFmtId="165" fontId="16" fillId="0" borderId="51" xfId="22" applyNumberFormat="1" applyFont="1" applyFill="1" applyBorder="1"/>
    <xf numFmtId="165" fontId="16" fillId="0" borderId="0" xfId="3" applyNumberFormat="1" applyBorder="1"/>
    <xf numFmtId="165" fontId="16" fillId="0" borderId="0" xfId="3" applyNumberFormat="1" applyFont="1" applyBorder="1"/>
    <xf numFmtId="0" fontId="1" fillId="0" borderId="0" xfId="3" applyFont="1" applyBorder="1" applyAlignment="1">
      <alignment horizontal="left" indent="2"/>
    </xf>
    <xf numFmtId="165" fontId="16" fillId="0" borderId="32" xfId="22" applyNumberFormat="1" applyFont="1" applyFill="1" applyBorder="1"/>
    <xf numFmtId="3" fontId="16" fillId="0" borderId="0" xfId="3" applyNumberFormat="1" applyBorder="1"/>
    <xf numFmtId="0" fontId="1" fillId="0" borderId="0" xfId="3" applyFont="1" applyFill="1" applyBorder="1" applyAlignment="1">
      <alignment horizontal="left" indent="2"/>
    </xf>
    <xf numFmtId="49" fontId="47" fillId="0" borderId="0" xfId="3" applyNumberFormat="1" applyFont="1" applyFill="1" applyBorder="1" applyAlignment="1">
      <alignment horizontal="left" vertical="center"/>
    </xf>
    <xf numFmtId="165" fontId="16" fillId="0" borderId="0" xfId="22" applyNumberFormat="1"/>
    <xf numFmtId="165" fontId="16" fillId="0" borderId="0" xfId="22" applyNumberFormat="1" applyFill="1" applyBorder="1"/>
    <xf numFmtId="165" fontId="16" fillId="0" borderId="51" xfId="22" applyNumberFormat="1" applyFont="1" applyFill="1" applyBorder="1"/>
    <xf numFmtId="165" fontId="16" fillId="0" borderId="51" xfId="22" applyNumberFormat="1" applyFill="1" applyBorder="1"/>
    <xf numFmtId="165" fontId="16" fillId="0" borderId="32" xfId="22" applyNumberFormat="1" applyFill="1" applyBorder="1"/>
    <xf numFmtId="0" fontId="16" fillId="0" borderId="0" xfId="3" applyFill="1" applyBorder="1"/>
    <xf numFmtId="165" fontId="16" fillId="0" borderId="0" xfId="22" applyNumberFormat="1" applyFont="1" applyFill="1" applyBorder="1"/>
    <xf numFmtId="3" fontId="16" fillId="0" borderId="0" xfId="22" applyNumberFormat="1" applyFill="1" applyBorder="1"/>
    <xf numFmtId="165" fontId="16" fillId="0" borderId="32" xfId="22" applyNumberFormat="1" applyFill="1" applyBorder="1"/>
    <xf numFmtId="165" fontId="16" fillId="0" borderId="32" xfId="3" applyNumberFormat="1" applyBorder="1"/>
    <xf numFmtId="3" fontId="16" fillId="0" borderId="51" xfId="22" applyNumberFormat="1" applyFill="1" applyBorder="1"/>
    <xf numFmtId="3" fontId="16" fillId="0" borderId="32" xfId="22" applyNumberFormat="1" applyFill="1" applyBorder="1"/>
    <xf numFmtId="0" fontId="16" fillId="0" borderId="0" xfId="3" applyAlignment="1">
      <alignment horizontal="left" indent="2"/>
    </xf>
    <xf numFmtId="0" fontId="13" fillId="0" borderId="0" xfId="3" applyFont="1" applyFill="1"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67" fillId="0" borderId="13" xfId="28" applyNumberFormat="1" applyFill="1" applyBorder="1" applyAlignment="1">
      <alignment horizontal="right"/>
    </xf>
    <xf numFmtId="7" fontId="30" fillId="0" borderId="13" xfId="40" applyNumberFormat="1" applyFont="1" applyBorder="1"/>
    <xf numFmtId="171" fontId="67" fillId="0" borderId="13" xfId="28" applyNumberFormat="1" applyBorder="1"/>
    <xf numFmtId="164" fontId="67" fillId="0" borderId="13" xfId="28" applyNumberFormat="1" applyBorder="1"/>
    <xf numFmtId="3" fontId="29" fillId="0" borderId="13" xfId="28" applyNumberFormat="1" applyFont="1" applyBorder="1"/>
    <xf numFmtId="168" fontId="30" fillId="0" borderId="13" xfId="30" applyNumberFormat="1" applyFont="1" applyBorder="1"/>
    <xf numFmtId="168" fontId="29" fillId="0" borderId="13" xfId="30" applyNumberFormat="1" applyFont="1" applyBorder="1"/>
    <xf numFmtId="169" fontId="67" fillId="0" borderId="7" xfId="28" applyNumberFormat="1" applyBorder="1" applyAlignment="1">
      <alignment horizontal="right"/>
    </xf>
    <xf numFmtId="10" fontId="0" fillId="0" borderId="0" xfId="8" applyNumberFormat="1" applyFont="1"/>
    <xf numFmtId="37" fontId="0" fillId="0" borderId="55" xfId="0" quotePrefix="1" applyNumberFormat="1" applyFill="1" applyBorder="1" applyAlignment="1" applyProtection="1">
      <alignment horizontal="right"/>
    </xf>
    <xf numFmtId="0" fontId="67" fillId="0" borderId="7" xfId="28"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0" fontId="30" fillId="0" borderId="13" xfId="11" applyNumberFormat="1" applyFont="1" applyBorder="1"/>
    <xf numFmtId="0" fontId="67" fillId="11" borderId="13" xfId="28" applyFill="1" applyBorder="1"/>
    <xf numFmtId="0" fontId="67" fillId="11" borderId="7" xfId="28" applyFill="1" applyBorder="1"/>
    <xf numFmtId="169" fontId="67" fillId="11" borderId="13" xfId="28" applyNumberFormat="1" applyFill="1" applyBorder="1"/>
    <xf numFmtId="0" fontId="67" fillId="11" borderId="7" xfId="28" applyFill="1" applyBorder="1" applyAlignment="1">
      <alignment horizontal="right"/>
    </xf>
    <xf numFmtId="0" fontId="67" fillId="11" borderId="13" xfId="28" applyFill="1" applyBorder="1" applyAlignment="1">
      <alignment horizontal="right"/>
    </xf>
    <xf numFmtId="169" fontId="67" fillId="0" borderId="13" xfId="28" applyNumberFormat="1" applyFill="1" applyBorder="1"/>
    <xf numFmtId="0" fontId="67" fillId="11" borderId="13" xfId="28" applyFill="1" applyBorder="1"/>
    <xf numFmtId="1" fontId="67" fillId="11" borderId="7" xfId="28" applyNumberFormat="1" applyFill="1" applyBorder="1"/>
    <xf numFmtId="1" fontId="67" fillId="11" borderId="13" xfId="28" applyNumberFormat="1" applyFill="1" applyBorder="1"/>
    <xf numFmtId="0" fontId="67" fillId="0" borderId="13" xfId="28" applyFill="1" applyBorder="1"/>
    <xf numFmtId="1" fontId="67" fillId="0" borderId="13" xfId="28" applyNumberFormat="1" applyFill="1" applyBorder="1"/>
    <xf numFmtId="7" fontId="30" fillId="0" borderId="13" xfId="40" applyNumberFormat="1" applyFont="1" applyBorder="1"/>
    <xf numFmtId="7" fontId="41" fillId="0" borderId="13" xfId="40" applyNumberFormat="1" applyFont="1" applyBorder="1"/>
    <xf numFmtId="7" fontId="38" fillId="0" borderId="13" xfId="40" applyNumberFormat="1" applyFont="1" applyBorder="1"/>
    <xf numFmtId="168" fontId="30" fillId="0" borderId="13" xfId="30" applyNumberFormat="1" applyFont="1" applyBorder="1"/>
    <xf numFmtId="168" fontId="29" fillId="0" borderId="13" xfId="30" applyNumberFormat="1" applyFont="1" applyBorder="1"/>
    <xf numFmtId="3" fontId="67" fillId="0" borderId="13" xfId="28" applyNumberFormat="1" applyBorder="1"/>
    <xf numFmtId="3" fontId="29" fillId="0" borderId="13" xfId="28" applyNumberFormat="1" applyFont="1" applyBorder="1"/>
    <xf numFmtId="3" fontId="67" fillId="0" borderId="7" xfId="28" applyNumberFormat="1" applyBorder="1"/>
    <xf numFmtId="0" fontId="67" fillId="0" borderId="7" xfId="28"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0" fontId="67" fillId="11" borderId="13" xfId="28" applyFill="1" applyBorder="1"/>
    <xf numFmtId="0" fontId="67" fillId="11" borderId="7" xfId="28" applyFill="1" applyBorder="1"/>
    <xf numFmtId="169" fontId="67" fillId="0" borderId="13" xfId="28" applyNumberFormat="1" applyFill="1" applyBorder="1"/>
    <xf numFmtId="10" fontId="30" fillId="0" borderId="13" xfId="11" applyNumberFormat="1" applyFont="1" applyFill="1" applyBorder="1"/>
    <xf numFmtId="0" fontId="67" fillId="11" borderId="13" xfId="28" applyFill="1" applyBorder="1"/>
    <xf numFmtId="169" fontId="67" fillId="0" borderId="13" xfId="28" applyNumberFormat="1" applyBorder="1" applyAlignment="1">
      <alignment horizontal="right"/>
    </xf>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164" fontId="67" fillId="0" borderId="13" xfId="28" applyNumberFormat="1" applyBorder="1"/>
    <xf numFmtId="0" fontId="67" fillId="11" borderId="8" xfId="28" applyFill="1" applyBorder="1"/>
    <xf numFmtId="0" fontId="67" fillId="11" borderId="10" xfId="28" applyFill="1" applyBorder="1"/>
    <xf numFmtId="0" fontId="67" fillId="11" borderId="5" xfId="28" applyFill="1" applyBorder="1"/>
    <xf numFmtId="175" fontId="67" fillId="0" borderId="35" xfId="28" applyNumberFormat="1" applyBorder="1"/>
    <xf numFmtId="0" fontId="67" fillId="0" borderId="13" xfId="28" applyBorder="1"/>
    <xf numFmtId="0" fontId="67" fillId="0" borderId="13" xfId="28" applyBorder="1"/>
    <xf numFmtId="1" fontId="29" fillId="0" borderId="13" xfId="28" applyNumberFormat="1" applyFont="1" applyBorder="1"/>
    <xf numFmtId="168" fontId="30" fillId="0" borderId="13" xfId="30" applyNumberFormat="1" applyFont="1" applyBorder="1"/>
    <xf numFmtId="169" fontId="67" fillId="0" borderId="7" xfId="28" applyNumberFormat="1" applyBorder="1" applyAlignment="1">
      <alignment horizontal="right"/>
    </xf>
    <xf numFmtId="164" fontId="67" fillId="0" borderId="7" xfId="28" applyNumberFormat="1" applyBorder="1" applyAlignment="1">
      <alignment horizontal="right"/>
    </xf>
    <xf numFmtId="7" fontId="30" fillId="0" borderId="13" xfId="40" applyNumberFormat="1" applyFont="1" applyBorder="1"/>
    <xf numFmtId="9" fontId="30" fillId="0" borderId="13" xfId="11" applyFont="1" applyFill="1" applyBorder="1"/>
    <xf numFmtId="0" fontId="67" fillId="0" borderId="7" xfId="28" applyFill="1" applyBorder="1"/>
    <xf numFmtId="0" fontId="29" fillId="0" borderId="13" xfId="28" applyFont="1" applyBorder="1"/>
    <xf numFmtId="168" fontId="30" fillId="0" borderId="13" xfId="30" applyNumberFormat="1" applyFont="1" applyBorder="1"/>
    <xf numFmtId="0" fontId="67" fillId="0" borderId="13" xfId="28" applyFill="1" applyBorder="1"/>
    <xf numFmtId="6" fontId="67" fillId="0" borderId="7" xfId="28" applyNumberFormat="1" applyBorder="1" applyAlignment="1">
      <alignment horizontal="right"/>
    </xf>
    <xf numFmtId="164" fontId="67" fillId="0" borderId="7" xfId="28" applyNumberFormat="1" applyBorder="1" applyAlignment="1">
      <alignment horizontal="right"/>
    </xf>
    <xf numFmtId="0" fontId="21" fillId="0" borderId="18" xfId="0" applyFont="1" applyBorder="1" applyAlignment="1">
      <alignment horizontal="center" vertical="center" wrapText="1"/>
    </xf>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0" fontId="29" fillId="0" borderId="0" xfId="28" applyFont="1"/>
    <xf numFmtId="0" fontId="67" fillId="0" borderId="7" xfId="28" applyBorder="1" applyAlignment="1">
      <alignment horizontal="left" indent="2"/>
    </xf>
    <xf numFmtId="0" fontId="67" fillId="0" borderId="13"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29" fillId="0" borderId="0" xfId="28" applyNumberFormat="1" applyFont="1" applyAlignment="1">
      <alignment horizontal="right"/>
    </xf>
    <xf numFmtId="0" fontId="29" fillId="4" borderId="21" xfId="28" applyFont="1" applyFill="1" applyBorder="1"/>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164" fontId="29" fillId="4" borderId="21" xfId="28" applyNumberFormat="1" applyFont="1" applyFill="1" applyBorder="1"/>
    <xf numFmtId="164" fontId="67" fillId="0" borderId="13" xfId="28" applyNumberFormat="1" applyBorder="1" applyAlignment="1">
      <alignment horizontal="left" indent="2"/>
    </xf>
    <xf numFmtId="164" fontId="67" fillId="0" borderId="7" xfId="28" applyNumberFormat="1" applyBorder="1" applyAlignment="1">
      <alignment horizontal="left" indent="2"/>
    </xf>
    <xf numFmtId="164" fontId="29" fillId="0" borderId="45" xfId="28" applyNumberFormat="1" applyFont="1" applyBorder="1"/>
    <xf numFmtId="0" fontId="67" fillId="0" borderId="7" xfId="28" applyBorder="1" applyAlignment="1">
      <alignment horizontal="left" indent="2"/>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3" xfId="28" applyNumberFormat="1" applyFill="1" applyBorder="1" applyAlignment="1">
      <alignment horizontal="right"/>
    </xf>
    <xf numFmtId="164" fontId="29" fillId="0" borderId="45" xfId="28" applyNumberFormat="1" applyFon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7" xfId="28" applyBorder="1" applyAlignment="1">
      <alignment horizontal="left" indent="2"/>
    </xf>
    <xf numFmtId="169" fontId="67" fillId="0" borderId="7" xfId="28" applyNumberFormat="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112" fillId="0" borderId="7" xfId="28" applyFont="1" applyBorder="1" applyAlignment="1">
      <alignment horizontal="left" indent="2"/>
    </xf>
    <xf numFmtId="0" fontId="67" fillId="0" borderId="7" xfId="28" applyBorder="1" applyAlignment="1">
      <alignment horizontal="left" indent="2"/>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4" borderId="22" xfId="28" applyNumberFormat="1" applyFill="1" applyBorder="1" applyAlignment="1">
      <alignment horizontal="right"/>
    </xf>
    <xf numFmtId="0" fontId="112" fillId="0" borderId="7" xfId="28" applyFont="1" applyBorder="1" applyAlignment="1">
      <alignment horizontal="left" indent="2"/>
    </xf>
    <xf numFmtId="164" fontId="67" fillId="0" borderId="32" xfId="28" applyNumberFormat="1" applyBorder="1" applyAlignment="1">
      <alignment horizontal="left" indent="2"/>
    </xf>
    <xf numFmtId="0" fontId="67" fillId="0" borderId="32" xfId="28" applyBorder="1" applyAlignment="1">
      <alignment horizontal="left" indent="2"/>
    </xf>
    <xf numFmtId="169" fontId="67" fillId="0" borderId="51" xfId="28" applyNumberFormat="1" applyBorder="1" applyAlignment="1">
      <alignment horizontal="right"/>
    </xf>
    <xf numFmtId="174" fontId="29" fillId="4" borderId="27" xfId="28" applyNumberFormat="1" applyFont="1" applyFill="1" applyBorder="1" applyAlignment="1">
      <alignment horizontal="right"/>
    </xf>
    <xf numFmtId="174" fontId="29" fillId="0" borderId="29" xfId="28" applyNumberFormat="1" applyFont="1" applyBorder="1" applyAlignment="1">
      <alignment horizontal="right"/>
    </xf>
    <xf numFmtId="174" fontId="29" fillId="0" borderId="42" xfId="28" applyNumberFormat="1" applyFont="1" applyBorder="1" applyAlignment="1">
      <alignment horizontal="right"/>
    </xf>
    <xf numFmtId="0" fontId="87" fillId="0" borderId="59" xfId="0" applyFont="1" applyBorder="1"/>
    <xf numFmtId="0" fontId="87" fillId="0" borderId="63" xfId="0" applyFont="1" applyBorder="1"/>
    <xf numFmtId="0" fontId="87" fillId="0" borderId="62" xfId="0" applyFont="1" applyBorder="1"/>
    <xf numFmtId="0" fontId="0" fillId="0" borderId="60" xfId="0" applyFill="1" applyBorder="1"/>
    <xf numFmtId="0" fontId="0" fillId="0" borderId="63" xfId="0" applyFill="1" applyBorder="1"/>
    <xf numFmtId="0" fontId="0" fillId="0" borderId="67" xfId="0" applyFill="1" applyBorder="1"/>
    <xf numFmtId="0" fontId="0" fillId="0" borderId="74" xfId="0" applyFill="1" applyBorder="1"/>
    <xf numFmtId="42" fontId="77" fillId="0" borderId="57" xfId="0" applyNumberFormat="1" applyFont="1" applyFill="1" applyBorder="1"/>
    <xf numFmtId="0" fontId="0" fillId="0" borderId="7" xfId="0" applyFill="1" applyBorder="1"/>
    <xf numFmtId="0" fontId="0" fillId="0" borderId="8" xfId="0" applyFill="1" applyBorder="1"/>
    <xf numFmtId="0" fontId="0" fillId="0" borderId="10" xfId="0" applyFill="1" applyBorder="1"/>
    <xf numFmtId="0" fontId="0" fillId="0" borderId="75" xfId="0" applyFill="1" applyBorder="1"/>
    <xf numFmtId="0" fontId="13" fillId="0" borderId="72" xfId="0" applyFont="1" applyFill="1" applyBorder="1"/>
    <xf numFmtId="0" fontId="0" fillId="0" borderId="78" xfId="0" applyFill="1" applyBorder="1"/>
    <xf numFmtId="0" fontId="0" fillId="0" borderId="77" xfId="0" applyFill="1" applyBorder="1"/>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16" xfId="28" applyFont="1" applyBorder="1" applyAlignment="1">
      <alignment horizontal="center"/>
    </xf>
    <xf numFmtId="0" fontId="28" fillId="0" borderId="38" xfId="28" applyFont="1" applyBorder="1" applyAlignment="1">
      <alignment horizontal="center"/>
    </xf>
    <xf numFmtId="165" fontId="0" fillId="0" borderId="51" xfId="182" applyNumberFormat="1" applyFont="1" applyFill="1" applyBorder="1"/>
    <xf numFmtId="165" fontId="0" fillId="0" borderId="0" xfId="0" applyNumberFormat="1" applyFont="1" applyBorder="1"/>
    <xf numFmtId="42" fontId="48" fillId="0" borderId="51" xfId="0" applyNumberFormat="1" applyFont="1" applyBorder="1"/>
    <xf numFmtId="42" fontId="48" fillId="0" borderId="0" xfId="0" applyNumberFormat="1" applyFont="1" applyBorder="1"/>
    <xf numFmtId="3" fontId="0" fillId="0" borderId="51" xfId="180" applyNumberFormat="1" applyFont="1" applyFill="1" applyBorder="1"/>
    <xf numFmtId="3" fontId="110" fillId="0" borderId="51" xfId="180" applyNumberFormat="1" applyFont="1" applyFill="1" applyBorder="1"/>
    <xf numFmtId="172" fontId="0" fillId="0" borderId="0" xfId="179" applyNumberFormat="1" applyFont="1" applyBorder="1"/>
    <xf numFmtId="3" fontId="110" fillId="0" borderId="34" xfId="0" applyNumberFormat="1" applyFont="1" applyBorder="1"/>
    <xf numFmtId="3" fontId="0" fillId="0" borderId="2" xfId="0" applyNumberFormat="1" applyBorder="1"/>
    <xf numFmtId="165" fontId="49" fillId="2" borderId="18" xfId="20" applyNumberFormat="1" applyFont="1" applyFill="1" applyBorder="1"/>
    <xf numFmtId="42" fontId="13" fillId="0" borderId="51" xfId="182" applyNumberFormat="1" applyFont="1" applyFill="1" applyBorder="1"/>
    <xf numFmtId="181" fontId="110" fillId="0" borderId="0" xfId="0" applyNumberFormat="1" applyFont="1" applyBorder="1"/>
    <xf numFmtId="0" fontId="0" fillId="0" borderId="52" xfId="0" applyBorder="1"/>
    <xf numFmtId="42" fontId="21" fillId="0" borderId="19" xfId="0" applyNumberFormat="1" applyFont="1" applyBorder="1" applyAlignment="1">
      <alignment horizontal="center" vertical="center" wrapText="1"/>
    </xf>
    <xf numFmtId="3" fontId="21" fillId="16" borderId="37" xfId="0" applyNumberFormat="1" applyFont="1" applyFill="1" applyBorder="1"/>
    <xf numFmtId="165" fontId="6" fillId="0" borderId="102" xfId="1" applyNumberFormat="1" applyFont="1" applyFill="1" applyBorder="1" applyProtection="1"/>
    <xf numFmtId="165" fontId="0" fillId="21" borderId="102" xfId="1" applyNumberFormat="1" applyFont="1" applyFill="1" applyBorder="1" applyProtection="1"/>
    <xf numFmtId="165" fontId="0" fillId="0" borderId="102" xfId="1" applyNumberFormat="1" applyFont="1" applyFill="1" applyBorder="1" applyProtection="1"/>
    <xf numFmtId="165" fontId="5" fillId="0" borderId="103" xfId="1" applyNumberFormat="1" applyFont="1" applyFill="1" applyBorder="1" applyProtection="1"/>
    <xf numFmtId="42" fontId="1" fillId="0" borderId="101" xfId="0" applyNumberFormat="1" applyFont="1" applyFill="1" applyBorder="1" applyProtection="1"/>
    <xf numFmtId="3" fontId="25" fillId="17" borderId="103" xfId="0" applyNumberFormat="1" applyFont="1" applyFill="1" applyBorder="1" applyProtection="1"/>
    <xf numFmtId="165" fontId="1" fillId="0" borderId="104" xfId="1" applyNumberFormat="1" applyFont="1" applyFill="1" applyBorder="1" applyProtection="1"/>
    <xf numFmtId="165" fontId="1" fillId="0" borderId="105" xfId="1" applyNumberFormat="1" applyFont="1" applyFill="1" applyBorder="1" applyProtection="1"/>
    <xf numFmtId="165" fontId="1" fillId="0" borderId="102" xfId="1" applyNumberFormat="1" applyFont="1" applyFill="1" applyBorder="1" applyProtection="1"/>
    <xf numFmtId="165" fontId="83" fillId="0" borderId="102" xfId="1" applyNumberFormat="1" applyFont="1" applyFill="1" applyBorder="1" applyProtection="1"/>
    <xf numFmtId="42" fontId="5" fillId="0" borderId="103" xfId="0" applyNumberFormat="1" applyFont="1" applyBorder="1" applyProtection="1"/>
    <xf numFmtId="3" fontId="25" fillId="18" borderId="103" xfId="0" applyNumberFormat="1" applyFont="1" applyFill="1" applyBorder="1" applyProtection="1"/>
    <xf numFmtId="165" fontId="1" fillId="0" borderId="103" xfId="1" applyNumberFormat="1" applyFont="1" applyFill="1" applyBorder="1" applyProtection="1"/>
    <xf numFmtId="42" fontId="1" fillId="0" borderId="101" xfId="0" applyNumberFormat="1" applyFont="1" applyBorder="1" applyProtection="1"/>
    <xf numFmtId="42" fontId="1" fillId="0" borderId="106" xfId="0" applyNumberFormat="1" applyFont="1" applyBorder="1" applyProtection="1"/>
    <xf numFmtId="3" fontId="75" fillId="19" borderId="107" xfId="0" applyNumberFormat="1" applyFont="1" applyFill="1" applyBorder="1" applyProtection="1"/>
    <xf numFmtId="165" fontId="83" fillId="21" borderId="102" xfId="1" applyNumberFormat="1" applyFont="1" applyFill="1" applyBorder="1" applyProtection="1"/>
    <xf numFmtId="3" fontId="25" fillId="15" borderId="103" xfId="0" applyNumberFormat="1" applyFont="1" applyFill="1" applyBorder="1" applyProtection="1"/>
    <xf numFmtId="42" fontId="5" fillId="4" borderId="103" xfId="0" applyNumberFormat="1" applyFont="1" applyFill="1" applyBorder="1" applyProtection="1"/>
    <xf numFmtId="3" fontId="25" fillId="20" borderId="103" xfId="0" applyNumberFormat="1" applyFont="1" applyFill="1" applyBorder="1" applyProtection="1"/>
    <xf numFmtId="165" fontId="5" fillId="0" borderId="49" xfId="1" applyNumberFormat="1" applyFont="1" applyFill="1" applyBorder="1" applyProtection="1"/>
    <xf numFmtId="0" fontId="28" fillId="0" borderId="0" xfId="28" applyFont="1" applyBorder="1" applyAlignment="1">
      <alignment horizontal="center"/>
    </xf>
    <xf numFmtId="0" fontId="67" fillId="0" borderId="16" xfId="28" applyBorder="1"/>
    <xf numFmtId="0" fontId="67" fillId="0" borderId="7" xfId="28" applyBorder="1" applyAlignment="1">
      <alignment horizontal="left" indent="2"/>
    </xf>
    <xf numFmtId="0" fontId="67" fillId="0" borderId="0" xfId="28"/>
    <xf numFmtId="0" fontId="67" fillId="0" borderId="7" xfId="28" applyBorder="1" applyAlignment="1">
      <alignment horizontal="left" indent="2"/>
    </xf>
    <xf numFmtId="0" fontId="67" fillId="0" borderId="7" xfId="28" applyBorder="1" applyAlignment="1">
      <alignment horizontal="left" indent="2"/>
    </xf>
    <xf numFmtId="169" fontId="29" fillId="0" borderId="0" xfId="28" applyNumberFormat="1" applyFont="1" applyAlignment="1">
      <alignment horizontal="right"/>
    </xf>
    <xf numFmtId="164" fontId="29" fillId="0" borderId="29" xfId="28" applyNumberFormat="1" applyFont="1" applyBorder="1"/>
    <xf numFmtId="0" fontId="67" fillId="0" borderId="7" xfId="28" applyBorder="1" applyAlignment="1">
      <alignment horizontal="left" indent="2"/>
    </xf>
    <xf numFmtId="169" fontId="67" fillId="0" borderId="7" xfId="28" applyNumberFormat="1" applyBorder="1" applyAlignment="1">
      <alignment horizontal="right"/>
    </xf>
    <xf numFmtId="0" fontId="67" fillId="0" borderId="0" xfId="28" applyBorder="1"/>
    <xf numFmtId="164" fontId="67" fillId="0" borderId="7" xfId="28" applyNumberFormat="1" applyBorder="1" applyAlignment="1">
      <alignment horizontal="left" indent="2"/>
    </xf>
    <xf numFmtId="169" fontId="67" fillId="0" borderId="12" xfId="28" applyNumberFormat="1" applyBorder="1" applyAlignment="1">
      <alignment horizontal="right"/>
    </xf>
    <xf numFmtId="0" fontId="113" fillId="0" borderId="0" xfId="28" applyFont="1" applyAlignment="1">
      <alignment horizontal="lef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0" fontId="67" fillId="0" borderId="7" xfId="28" applyBorder="1" applyAlignment="1">
      <alignment horizontal="left" indent="2"/>
    </xf>
    <xf numFmtId="0" fontId="67" fillId="0" borderId="7" xfId="28" applyBorder="1" applyAlignment="1">
      <alignment horizontal="left" indent="2"/>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67" fillId="0" borderId="7" xfId="28" applyBorder="1" applyAlignment="1">
      <alignment horizontal="left" indent="2"/>
    </xf>
    <xf numFmtId="164" fontId="29" fillId="0" borderId="29" xfId="28" applyNumberFormat="1" applyFont="1" applyBorder="1"/>
    <xf numFmtId="164" fontId="29" fillId="0" borderId="45" xfId="28" applyNumberFormat="1" applyFont="1" applyBorder="1"/>
    <xf numFmtId="0" fontId="67" fillId="0" borderId="0" xfId="28"/>
    <xf numFmtId="0" fontId="67" fillId="0" borderId="7" xfId="28" applyBorder="1" applyAlignment="1">
      <alignment horizontal="left" indent="2"/>
    </xf>
    <xf numFmtId="169" fontId="67" fillId="0" borderId="7" xfId="28" applyNumberFormat="1" applyBorder="1" applyAlignment="1">
      <alignment horizontal="right"/>
    </xf>
    <xf numFmtId="0" fontId="67" fillId="0" borderId="0" xfId="28" applyBorder="1"/>
    <xf numFmtId="169" fontId="67" fillId="0" borderId="12" xfId="28" applyNumberFormat="1" applyBorder="1" applyAlignment="1">
      <alignment horizontal="right"/>
    </xf>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169" fontId="67" fillId="4" borderId="23" xfId="28" applyNumberFormat="1" applyFill="1" applyBorder="1" applyAlignment="1">
      <alignment horizontal="right"/>
    </xf>
    <xf numFmtId="0" fontId="16" fillId="0" borderId="0" xfId="185" applyNumberFormat="1" applyFont="1" applyFill="1" applyBorder="1" applyAlignment="1" applyProtection="1"/>
    <xf numFmtId="0" fontId="67" fillId="0" borderId="7" xfId="28" applyBorder="1" applyAlignment="1">
      <alignment horizontal="left" indent="2"/>
    </xf>
    <xf numFmtId="0" fontId="27" fillId="0" borderId="0" xfId="28" applyFont="1"/>
    <xf numFmtId="169" fontId="67" fillId="0" borderId="13" xfId="28" applyNumberFormat="1" applyBorder="1" applyAlignment="1">
      <alignment horizontal="right"/>
    </xf>
    <xf numFmtId="169" fontId="29" fillId="0" borderId="0" xfId="28" applyNumberFormat="1" applyFont="1" applyAlignment="1">
      <alignment horizontal="right"/>
    </xf>
    <xf numFmtId="169" fontId="67" fillId="4" borderId="22" xfId="28" applyNumberFormat="1" applyFill="1" applyBorder="1" applyAlignment="1">
      <alignment horizontal="right"/>
    </xf>
    <xf numFmtId="0" fontId="27" fillId="0" borderId="0" xfId="28" applyFont="1" applyAlignment="1">
      <alignment horizontal="left"/>
    </xf>
    <xf numFmtId="164" fontId="29" fillId="0" borderId="29" xfId="28" applyNumberFormat="1" applyFont="1" applyBorder="1"/>
    <xf numFmtId="164" fontId="29" fillId="0" borderId="45" xfId="28" applyNumberFormat="1" applyFont="1" applyBorder="1"/>
    <xf numFmtId="0" fontId="83" fillId="0" borderId="58" xfId="0" applyFont="1" applyFill="1" applyBorder="1"/>
    <xf numFmtId="0" fontId="83" fillId="0" borderId="55" xfId="0" applyFont="1" applyFill="1" applyBorder="1"/>
    <xf numFmtId="0" fontId="13" fillId="0" borderId="56" xfId="0" applyFont="1" applyBorder="1"/>
    <xf numFmtId="0" fontId="0" fillId="0" borderId="83" xfId="0" applyBorder="1"/>
    <xf numFmtId="37" fontId="0" fillId="0" borderId="67" xfId="0" applyNumberFormat="1" applyFill="1" applyBorder="1" applyProtection="1"/>
    <xf numFmtId="3" fontId="0" fillId="0" borderId="67" xfId="0" applyNumberFormat="1" applyFill="1" applyBorder="1" applyProtection="1"/>
    <xf numFmtId="0" fontId="21" fillId="0" borderId="19" xfId="0" applyFont="1" applyBorder="1" applyAlignment="1">
      <alignment horizontal="center" vertical="center" wrapText="1"/>
    </xf>
    <xf numFmtId="3" fontId="75" fillId="19" borderId="105" xfId="0" applyNumberFormat="1" applyFont="1" applyFill="1" applyBorder="1" applyProtection="1"/>
    <xf numFmtId="42" fontId="5" fillId="4" borderId="106" xfId="0" applyNumberFormat="1" applyFont="1" applyFill="1" applyBorder="1" applyProtection="1"/>
    <xf numFmtId="165" fontId="1" fillId="0" borderId="107" xfId="1" applyNumberFormat="1" applyFont="1" applyFill="1" applyBorder="1" applyProtection="1"/>
    <xf numFmtId="165" fontId="1" fillId="0" borderId="108" xfId="1" applyNumberFormat="1" applyFont="1" applyFill="1" applyBorder="1" applyProtection="1"/>
    <xf numFmtId="0" fontId="0" fillId="0" borderId="83" xfId="0" applyFill="1" applyBorder="1"/>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165" fontId="1" fillId="0" borderId="2" xfId="1" applyNumberFormat="1" applyFont="1" applyBorder="1" applyProtection="1"/>
    <xf numFmtId="165" fontId="1" fillId="0" borderId="85" xfId="1" applyNumberFormat="1" applyFont="1" applyBorder="1" applyProtection="1"/>
    <xf numFmtId="42" fontId="78" fillId="0" borderId="2" xfId="0" applyNumberFormat="1" applyFont="1" applyBorder="1" applyProtection="1"/>
    <xf numFmtId="165" fontId="1" fillId="0" borderId="106" xfId="1" applyNumberFormat="1" applyFont="1" applyFill="1" applyBorder="1" applyProtection="1"/>
    <xf numFmtId="0" fontId="110" fillId="0" borderId="0" xfId="178"/>
    <xf numFmtId="0" fontId="8" fillId="0" borderId="0" xfId="186" applyFont="1"/>
    <xf numFmtId="3" fontId="108" fillId="0" borderId="0" xfId="186" applyNumberFormat="1"/>
    <xf numFmtId="0" fontId="108" fillId="0" borderId="0" xfId="186" applyBorder="1" applyAlignment="1">
      <alignment horizontal="left" vertical="center" wrapText="1"/>
    </xf>
    <xf numFmtId="9" fontId="108" fillId="0" borderId="0" xfId="182" applyFont="1" applyBorder="1" applyAlignment="1">
      <alignment horizontal="center" vertical="center" wrapText="1"/>
    </xf>
    <xf numFmtId="0" fontId="114" fillId="0" borderId="0" xfId="186" applyFont="1"/>
    <xf numFmtId="0" fontId="0" fillId="0" borderId="34" xfId="0" applyBorder="1"/>
    <xf numFmtId="0" fontId="0" fillId="0" borderId="28" xfId="0" applyBorder="1"/>
    <xf numFmtId="165" fontId="1" fillId="0" borderId="116" xfId="1" applyNumberFormat="1" applyFont="1" applyFill="1" applyBorder="1" applyProtection="1"/>
    <xf numFmtId="165" fontId="1" fillId="0" borderId="101" xfId="1" applyNumberFormat="1" applyFont="1" applyFill="1" applyBorder="1" applyProtection="1"/>
    <xf numFmtId="0" fontId="0" fillId="0" borderId="57" xfId="0" applyBorder="1" applyAlignment="1">
      <alignment vertical="center"/>
    </xf>
    <xf numFmtId="0" fontId="110" fillId="0" borderId="0" xfId="178"/>
    <xf numFmtId="0" fontId="8" fillId="0" borderId="0" xfId="186" applyFont="1"/>
    <xf numFmtId="165" fontId="108" fillId="0" borderId="0" xfId="186" applyNumberFormat="1"/>
    <xf numFmtId="0" fontId="108" fillId="0" borderId="47" xfId="186" applyBorder="1"/>
    <xf numFmtId="43" fontId="108" fillId="0" borderId="0" xfId="186" applyNumberFormat="1"/>
    <xf numFmtId="0" fontId="114" fillId="0" borderId="0" xfId="186" applyFont="1"/>
    <xf numFmtId="42" fontId="78" fillId="0" borderId="85" xfId="0" applyNumberFormat="1" applyFont="1" applyBorder="1" applyProtection="1"/>
    <xf numFmtId="0" fontId="0" fillId="0" borderId="68" xfId="0" applyFont="1" applyBorder="1"/>
    <xf numFmtId="0" fontId="0" fillId="0" borderId="57" xfId="0" applyFont="1" applyBorder="1"/>
    <xf numFmtId="0" fontId="77" fillId="0" borderId="57" xfId="0" applyNumberFormat="1" applyFont="1" applyBorder="1" applyAlignment="1">
      <alignment horizontal="left"/>
    </xf>
    <xf numFmtId="49" fontId="77" fillId="0" borderId="57" xfId="0" applyNumberFormat="1" applyFont="1" applyBorder="1" applyAlignment="1"/>
    <xf numFmtId="49" fontId="77" fillId="0" borderId="57" xfId="0" applyNumberFormat="1" applyFont="1" applyBorder="1"/>
    <xf numFmtId="49" fontId="77" fillId="0" borderId="57" xfId="0" applyNumberFormat="1" applyFont="1" applyFill="1" applyBorder="1"/>
    <xf numFmtId="3" fontId="115" fillId="0" borderId="56" xfId="0" applyNumberFormat="1" applyFont="1" applyBorder="1" applyProtection="1"/>
    <xf numFmtId="165" fontId="88" fillId="0" borderId="102" xfId="1" applyNumberFormat="1" applyFont="1" applyFill="1" applyBorder="1" applyProtection="1"/>
    <xf numFmtId="3" fontId="88" fillId="0" borderId="55" xfId="0" applyNumberFormat="1" applyFont="1" applyFill="1" applyBorder="1" applyProtection="1"/>
    <xf numFmtId="0" fontId="88" fillId="0" borderId="55" xfId="0" applyFont="1" applyBorder="1"/>
    <xf numFmtId="0" fontId="88" fillId="0" borderId="58" xfId="0" applyFont="1" applyBorder="1"/>
    <xf numFmtId="37" fontId="88" fillId="0" borderId="55" xfId="0" applyNumberFormat="1" applyFont="1" applyFill="1" applyBorder="1" applyProtection="1"/>
    <xf numFmtId="164" fontId="88" fillId="0" borderId="55" xfId="0" applyNumberFormat="1" applyFont="1" applyFill="1" applyBorder="1" applyAlignment="1" applyProtection="1">
      <alignment horizontal="right"/>
    </xf>
    <xf numFmtId="164" fontId="88" fillId="0" borderId="55" xfId="0" applyNumberFormat="1" applyFont="1" applyBorder="1" applyAlignment="1" applyProtection="1">
      <alignment horizontal="right"/>
    </xf>
    <xf numFmtId="164" fontId="88" fillId="0" borderId="55" xfId="0" applyNumberFormat="1" applyFont="1" applyFill="1" applyBorder="1" applyProtection="1"/>
    <xf numFmtId="186" fontId="5" fillId="0" borderId="0" xfId="0" applyNumberFormat="1" applyFont="1" applyFill="1" applyBorder="1" applyAlignment="1" applyProtection="1">
      <alignment vertical="center"/>
    </xf>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4" fontId="88" fillId="0" borderId="55" xfId="0" applyNumberFormat="1" applyFont="1" applyBorder="1" applyProtection="1"/>
    <xf numFmtId="3" fontId="88" fillId="0" borderId="55" xfId="0" quotePrefix="1" applyNumberFormat="1" applyFont="1" applyFill="1" applyBorder="1" applyAlignment="1" applyProtection="1">
      <alignment horizontal="center"/>
    </xf>
    <xf numFmtId="0" fontId="88" fillId="0" borderId="56" xfId="0" applyFont="1" applyFill="1" applyBorder="1"/>
    <xf numFmtId="0" fontId="88" fillId="0" borderId="55" xfId="0" applyFont="1" applyFill="1" applyBorder="1"/>
    <xf numFmtId="0" fontId="116" fillId="0" borderId="55" xfId="0" applyFont="1" applyFill="1" applyBorder="1"/>
    <xf numFmtId="0" fontId="116" fillId="0" borderId="58" xfId="0" applyFont="1" applyFill="1" applyBorder="1"/>
    <xf numFmtId="165" fontId="1" fillId="0" borderId="67" xfId="1" applyNumberFormat="1" applyFont="1" applyFill="1" applyBorder="1" applyProtection="1"/>
    <xf numFmtId="165" fontId="1" fillId="0" borderId="55" xfId="1" applyNumberFormat="1" applyFont="1" applyFill="1" applyBorder="1" applyProtection="1"/>
    <xf numFmtId="165" fontId="0" fillId="0" borderId="55" xfId="1" applyNumberFormat="1" applyFont="1" applyFill="1" applyBorder="1" applyProtection="1"/>
    <xf numFmtId="165" fontId="1" fillId="0" borderId="84" xfId="1" applyNumberFormat="1" applyFont="1" applyFill="1" applyBorder="1" applyProtection="1"/>
    <xf numFmtId="165" fontId="88" fillId="0" borderId="55" xfId="1" applyNumberFormat="1" applyFont="1" applyFill="1" applyBorder="1" applyProtection="1"/>
    <xf numFmtId="165" fontId="88" fillId="0" borderId="55" xfId="1" quotePrefix="1" applyNumberFormat="1" applyFont="1" applyFill="1" applyBorder="1" applyAlignment="1" applyProtection="1">
      <alignment horizontal="center"/>
    </xf>
    <xf numFmtId="165" fontId="88" fillId="0" borderId="55" xfId="1" applyNumberFormat="1" applyFont="1" applyFill="1" applyBorder="1" applyAlignment="1" applyProtection="1">
      <alignment horizontal="right"/>
    </xf>
    <xf numFmtId="165" fontId="88" fillId="0" borderId="55" xfId="1" applyNumberFormat="1" applyFont="1" applyBorder="1" applyAlignment="1" applyProtection="1">
      <alignment horizontal="right"/>
    </xf>
    <xf numFmtId="165" fontId="88" fillId="0" borderId="102" xfId="1" applyNumberFormat="1" applyFont="1" applyFill="1" applyBorder="1" applyAlignment="1" applyProtection="1">
      <alignment horizontal="right"/>
    </xf>
    <xf numFmtId="165" fontId="88" fillId="0" borderId="55" xfId="1" applyNumberFormat="1" applyFont="1" applyBorder="1" applyProtection="1"/>
    <xf numFmtId="176" fontId="13" fillId="0" borderId="0" xfId="178" applyNumberFormat="1" applyFont="1" applyFill="1" applyAlignment="1">
      <alignment horizontal="left"/>
    </xf>
    <xf numFmtId="2" fontId="13" fillId="0" borderId="0" xfId="178" applyNumberFormat="1" applyFont="1" applyFill="1" applyAlignment="1">
      <alignment horizontal="right"/>
    </xf>
    <xf numFmtId="165" fontId="16" fillId="0" borderId="51" xfId="180" applyNumberFormat="1" applyFont="1" applyBorder="1"/>
    <xf numFmtId="0" fontId="13" fillId="0" borderId="0" xfId="178" applyFont="1" applyAlignment="1">
      <alignment horizontal="left" indent="2"/>
    </xf>
    <xf numFmtId="165" fontId="16" fillId="0" borderId="0" xfId="178" applyNumberFormat="1" applyFont="1" applyBorder="1"/>
    <xf numFmtId="165" fontId="16" fillId="0" borderId="32" xfId="178" applyNumberFormat="1" applyFont="1" applyBorder="1"/>
    <xf numFmtId="2" fontId="13" fillId="0" borderId="0" xfId="178" applyNumberFormat="1" applyFont="1" applyFill="1" applyAlignment="1">
      <alignment horizontal="left"/>
    </xf>
    <xf numFmtId="0" fontId="60" fillId="0" borderId="0" xfId="178" applyFont="1" applyAlignment="1">
      <alignment horizontal="left" indent="2"/>
    </xf>
    <xf numFmtId="0" fontId="48" fillId="0" borderId="0" xfId="178" applyFont="1" applyFill="1" applyBorder="1"/>
    <xf numFmtId="165" fontId="48" fillId="0" borderId="32" xfId="178" applyNumberFormat="1" applyFont="1" applyBorder="1"/>
    <xf numFmtId="165" fontId="16" fillId="0" borderId="51" xfId="180" applyNumberFormat="1" applyFont="1" applyBorder="1"/>
    <xf numFmtId="0" fontId="16" fillId="0" borderId="0" xfId="178" applyFont="1" applyFill="1" applyBorder="1" applyAlignment="1">
      <alignment horizontal="left" indent="2"/>
    </xf>
    <xf numFmtId="165" fontId="16" fillId="0" borderId="0" xfId="178" applyNumberFormat="1" applyFont="1" applyBorder="1"/>
    <xf numFmtId="165" fontId="16" fillId="0" borderId="32" xfId="178" applyNumberFormat="1" applyFont="1" applyBorder="1"/>
    <xf numFmtId="165" fontId="48" fillId="0" borderId="0" xfId="180" applyNumberFormat="1" applyFont="1" applyBorder="1"/>
    <xf numFmtId="165" fontId="48" fillId="0" borderId="51" xfId="180" applyNumberFormat="1" applyFont="1" applyBorder="1"/>
    <xf numFmtId="165" fontId="48" fillId="0" borderId="32" xfId="180" applyNumberFormat="1" applyFont="1" applyBorder="1"/>
    <xf numFmtId="0" fontId="13" fillId="0" borderId="0" xfId="178" applyFont="1" applyAlignment="1">
      <alignment horizontal="left" indent="2"/>
    </xf>
    <xf numFmtId="0" fontId="48" fillId="0" borderId="0" xfId="178" applyFont="1" applyFill="1" applyBorder="1"/>
    <xf numFmtId="165" fontId="48" fillId="0" borderId="0" xfId="180" applyNumberFormat="1" applyFont="1" applyBorder="1"/>
    <xf numFmtId="165" fontId="48" fillId="0" borderId="51" xfId="180" applyNumberFormat="1" applyFont="1" applyBorder="1"/>
    <xf numFmtId="165" fontId="48" fillId="0" borderId="32" xfId="180" applyNumberFormat="1" applyFont="1" applyBorder="1"/>
    <xf numFmtId="169" fontId="46" fillId="0" borderId="8" xfId="12" applyNumberFormat="1" applyFill="1" applyBorder="1" applyAlignment="1">
      <alignment wrapText="1"/>
    </xf>
    <xf numFmtId="169" fontId="46" fillId="0" borderId="10" xfId="12" applyNumberFormat="1" applyFill="1" applyBorder="1" applyAlignment="1">
      <alignment wrapText="1"/>
    </xf>
    <xf numFmtId="169" fontId="46" fillId="0" borderId="5" xfId="12" applyNumberFormat="1" applyFill="1" applyBorder="1" applyAlignment="1">
      <alignment wrapText="1"/>
    </xf>
    <xf numFmtId="0" fontId="49" fillId="0" borderId="52" xfId="12" applyFont="1" applyFill="1" applyBorder="1" applyAlignment="1"/>
    <xf numFmtId="0" fontId="46" fillId="0" borderId="53" xfId="12" applyFill="1" applyBorder="1" applyAlignment="1"/>
    <xf numFmtId="0" fontId="46" fillId="0" borderId="50" xfId="12" applyFill="1" applyBorder="1" applyAlignment="1"/>
    <xf numFmtId="0" fontId="46" fillId="0" borderId="34" xfId="12" applyFill="1" applyBorder="1" applyAlignment="1"/>
    <xf numFmtId="0" fontId="46" fillId="0" borderId="2" xfId="12" applyFill="1" applyBorder="1" applyAlignment="1"/>
    <xf numFmtId="0" fontId="46" fillId="0" borderId="35" xfId="12" applyFill="1" applyBorder="1" applyAlignment="1"/>
    <xf numFmtId="0" fontId="13" fillId="0" borderId="0" xfId="187" applyFont="1" applyAlignment="1">
      <alignment horizontal="left"/>
    </xf>
    <xf numFmtId="165" fontId="20" fillId="0" borderId="51" xfId="189" applyNumberFormat="1" applyFont="1" applyBorder="1"/>
    <xf numFmtId="165" fontId="117" fillId="0" borderId="32" xfId="187" applyNumberFormat="1" applyBorder="1"/>
    <xf numFmtId="165" fontId="117" fillId="0" borderId="0" xfId="187" applyNumberFormat="1" applyBorder="1"/>
    <xf numFmtId="165" fontId="13" fillId="0" borderId="51" xfId="189" applyNumberFormat="1" applyFont="1" applyBorder="1"/>
    <xf numFmtId="0" fontId="20" fillId="0" borderId="0" xfId="187" applyFont="1" applyAlignment="1">
      <alignment horizontal="left"/>
    </xf>
    <xf numFmtId="165" fontId="48" fillId="0" borderId="0" xfId="189" applyNumberFormat="1" applyFont="1" applyBorder="1"/>
    <xf numFmtId="165" fontId="48" fillId="0" borderId="51" xfId="189" applyNumberFormat="1" applyFont="1" applyBorder="1"/>
    <xf numFmtId="165" fontId="48" fillId="0" borderId="32" xfId="187" applyNumberFormat="1" applyFont="1"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21" fillId="0" borderId="0" xfId="0" applyFont="1" applyAlignment="1">
      <alignment horizontal="center"/>
    </xf>
    <xf numFmtId="0" fontId="13" fillId="0" borderId="32" xfId="0" applyFont="1" applyBorder="1" applyAlignment="1">
      <alignment wrapText="1"/>
    </xf>
    <xf numFmtId="165" fontId="6" fillId="0" borderId="0" xfId="1" applyNumberFormat="1" applyFont="1" applyFill="1" applyBorder="1" applyAlignment="1">
      <alignment horizontal="center" vertical="center" wrapText="1"/>
    </xf>
    <xf numFmtId="165" fontId="6" fillId="0" borderId="0" xfId="1" applyNumberFormat="1" applyFont="1"/>
    <xf numFmtId="0" fontId="21" fillId="0" borderId="0" xfId="0" applyFont="1" applyFill="1" applyBorder="1" applyAlignment="1"/>
    <xf numFmtId="3" fontId="13" fillId="0" borderId="0" xfId="2" applyNumberFormat="1" applyAlignment="1">
      <alignment horizontal="center"/>
    </xf>
    <xf numFmtId="3" fontId="5" fillId="0" borderId="8" xfId="5" applyNumberFormat="1" applyFont="1" applyFill="1" applyBorder="1" applyAlignment="1">
      <alignment horizontal="center" vertical="center" wrapText="1"/>
    </xf>
    <xf numFmtId="3" fontId="20" fillId="4" borderId="8" xfId="5" applyNumberFormat="1" applyFont="1" applyFill="1" applyBorder="1" applyAlignment="1">
      <alignment horizontal="center"/>
    </xf>
    <xf numFmtId="172" fontId="0" fillId="0" borderId="0" xfId="7" applyNumberFormat="1" applyFont="1" applyAlignment="1">
      <alignment horizontal="center"/>
    </xf>
    <xf numFmtId="0" fontId="67" fillId="0" borderId="8" xfId="28" applyFill="1" applyBorder="1"/>
    <xf numFmtId="0" fontId="67" fillId="0" borderId="10" xfId="28" applyFill="1" applyBorder="1"/>
    <xf numFmtId="0" fontId="67" fillId="0" borderId="5" xfId="28" applyFill="1" applyBorder="1"/>
    <xf numFmtId="170" fontId="67" fillId="0" borderId="35" xfId="28" applyNumberFormat="1" applyFill="1" applyBorder="1"/>
    <xf numFmtId="0" fontId="29" fillId="0" borderId="13" xfId="28" applyFont="1" applyFill="1" applyBorder="1"/>
    <xf numFmtId="168" fontId="30" fillId="0" borderId="13" xfId="30" applyNumberFormat="1" applyFont="1" applyFill="1" applyBorder="1"/>
    <xf numFmtId="168" fontId="29" fillId="0" borderId="13" xfId="30" applyNumberFormat="1" applyFont="1" applyFill="1" applyBorder="1"/>
    <xf numFmtId="0" fontId="32" fillId="0" borderId="7" xfId="28" applyFont="1" applyFill="1" applyBorder="1" applyAlignment="1">
      <alignment horizontal="center"/>
    </xf>
    <xf numFmtId="0" fontId="67" fillId="0" borderId="7" xfId="28" applyFont="1" applyBorder="1"/>
    <xf numFmtId="169" fontId="106" fillId="0" borderId="13" xfId="28" applyNumberFormat="1" applyFont="1" applyBorder="1"/>
    <xf numFmtId="9" fontId="106" fillId="0" borderId="13" xfId="11" applyFont="1" applyBorder="1"/>
    <xf numFmtId="0" fontId="67" fillId="0" borderId="13" xfId="28" applyFont="1" applyBorder="1"/>
    <xf numFmtId="0" fontId="106" fillId="0" borderId="7" xfId="28" applyFont="1" applyBorder="1"/>
    <xf numFmtId="0" fontId="106" fillId="0" borderId="7" xfId="28" applyFont="1" applyBorder="1" applyAlignment="1">
      <alignment horizontal="right"/>
    </xf>
    <xf numFmtId="0" fontId="106" fillId="0" borderId="13" xfId="28" applyFont="1" applyBorder="1"/>
    <xf numFmtId="0" fontId="106" fillId="0" borderId="7" xfId="28" applyFont="1" applyFill="1" applyBorder="1"/>
    <xf numFmtId="0" fontId="6" fillId="0" borderId="7" xfId="0" applyFont="1" applyBorder="1"/>
    <xf numFmtId="0" fontId="6" fillId="0" borderId="7" xfId="0" applyFont="1" applyBorder="1" applyAlignment="1">
      <alignment horizontal="right"/>
    </xf>
    <xf numFmtId="169" fontId="6" fillId="0" borderId="13" xfId="0" applyNumberFormat="1" applyFont="1" applyBorder="1"/>
    <xf numFmtId="0" fontId="6" fillId="0" borderId="13" xfId="0" applyFont="1" applyBorder="1"/>
    <xf numFmtId="2" fontId="123" fillId="0" borderId="13" xfId="28" applyNumberFormat="1" applyFont="1" applyBorder="1" applyAlignment="1">
      <alignment horizontal="center"/>
    </xf>
    <xf numFmtId="2" fontId="123" fillId="0" borderId="13" xfId="0" applyNumberFormat="1" applyFont="1" applyBorder="1" applyAlignment="1">
      <alignment horizontal="center"/>
    </xf>
    <xf numFmtId="2" fontId="123" fillId="0" borderId="21" xfId="0" applyNumberFormat="1" applyFont="1" applyBorder="1" applyAlignment="1">
      <alignment horizontal="center"/>
    </xf>
    <xf numFmtId="2" fontId="123" fillId="0" borderId="22" xfId="0" applyNumberFormat="1" applyFont="1" applyBorder="1" applyAlignment="1">
      <alignment horizontal="center"/>
    </xf>
    <xf numFmtId="172" fontId="106" fillId="0" borderId="13" xfId="30" applyNumberFormat="1" applyFont="1" applyBorder="1"/>
    <xf numFmtId="2" fontId="123" fillId="0" borderId="12" xfId="0" applyNumberFormat="1" applyFont="1" applyBorder="1" applyAlignment="1">
      <alignment horizontal="center"/>
    </xf>
    <xf numFmtId="0" fontId="106" fillId="11" borderId="8" xfId="0" applyFont="1" applyFill="1" applyBorder="1"/>
    <xf numFmtId="9" fontId="123" fillId="0" borderId="0" xfId="0" applyNumberFormat="1" applyFont="1"/>
    <xf numFmtId="172" fontId="123" fillId="0" borderId="0" xfId="0" applyNumberFormat="1" applyFont="1"/>
    <xf numFmtId="0" fontId="123" fillId="0" borderId="0" xfId="0" applyFont="1"/>
    <xf numFmtId="0" fontId="67" fillId="24" borderId="118" xfId="28" applyFill="1" applyBorder="1"/>
    <xf numFmtId="0" fontId="67" fillId="24" borderId="119" xfId="28" applyFill="1" applyBorder="1"/>
    <xf numFmtId="0" fontId="86" fillId="0" borderId="0" xfId="2" applyFont="1"/>
    <xf numFmtId="0" fontId="7" fillId="0" borderId="0" xfId="0" applyFont="1"/>
    <xf numFmtId="0" fontId="13" fillId="0" borderId="0" xfId="3" applyFont="1" applyAlignment="1">
      <alignment horizontal="center"/>
    </xf>
    <xf numFmtId="0" fontId="126" fillId="0" borderId="0" xfId="9" applyFont="1" applyAlignment="1" applyProtection="1">
      <alignment horizontal="center"/>
    </xf>
    <xf numFmtId="0" fontId="126" fillId="0" borderId="32" xfId="9" applyFont="1" applyBorder="1" applyAlignment="1" applyProtection="1">
      <alignment horizontal="center" vertical="top"/>
    </xf>
    <xf numFmtId="0" fontId="126" fillId="0" borderId="0" xfId="9" applyFont="1" applyAlignment="1" applyProtection="1"/>
    <xf numFmtId="0" fontId="126" fillId="0" borderId="0" xfId="9" applyFont="1" applyAlignment="1" applyProtection="1">
      <alignment horizontal="right" wrapText="1"/>
    </xf>
    <xf numFmtId="0" fontId="126" fillId="0" borderId="0" xfId="9" applyFont="1" applyAlignment="1" applyProtection="1">
      <alignment horizontal="center" vertical="top"/>
    </xf>
    <xf numFmtId="0" fontId="126" fillId="0" borderId="0" xfId="9" applyFont="1" applyAlignment="1" applyProtection="1">
      <alignment horizontal="center" vertical="center"/>
    </xf>
    <xf numFmtId="0" fontId="124" fillId="0" borderId="0" xfId="0" applyFont="1" applyAlignment="1">
      <alignment horizontal="left"/>
    </xf>
    <xf numFmtId="0" fontId="0" fillId="24" borderId="89" xfId="0" applyFill="1" applyBorder="1" applyAlignment="1">
      <alignment horizontal="center"/>
    </xf>
    <xf numFmtId="0" fontId="0" fillId="24" borderId="120" xfId="0" applyFill="1" applyBorder="1" applyAlignment="1">
      <alignment horizontal="center"/>
    </xf>
    <xf numFmtId="0" fontId="117" fillId="0" borderId="0" xfId="187"/>
    <xf numFmtId="0" fontId="48" fillId="0" borderId="0" xfId="187" applyFont="1"/>
    <xf numFmtId="0" fontId="48" fillId="0" borderId="0" xfId="187" applyFont="1" applyFill="1" applyBorder="1" applyAlignment="1">
      <alignment horizontal="right"/>
    </xf>
    <xf numFmtId="0" fontId="117" fillId="0" borderId="32" xfId="187" applyBorder="1"/>
    <xf numFmtId="165" fontId="117" fillId="0" borderId="51" xfId="189" applyNumberFormat="1" applyFont="1" applyBorder="1"/>
    <xf numFmtId="0" fontId="117" fillId="0" borderId="50" xfId="187" applyBorder="1"/>
    <xf numFmtId="165" fontId="117" fillId="0" borderId="52" xfId="189" applyNumberFormat="1" applyFont="1" applyBorder="1"/>
    <xf numFmtId="0" fontId="48" fillId="0" borderId="53" xfId="187" applyFont="1" applyFill="1" applyBorder="1" applyAlignment="1">
      <alignment horizontal="right"/>
    </xf>
    <xf numFmtId="165" fontId="48" fillId="0" borderId="53" xfId="187" applyNumberFormat="1" applyFont="1" applyBorder="1" applyAlignment="1">
      <alignment horizontal="right"/>
    </xf>
    <xf numFmtId="165" fontId="48" fillId="0" borderId="0" xfId="187" applyNumberFormat="1" applyFont="1" applyBorder="1" applyAlignment="1">
      <alignment horizontal="right"/>
    </xf>
    <xf numFmtId="165" fontId="117" fillId="0" borderId="34" xfId="189" applyNumberFormat="1" applyFont="1" applyBorder="1"/>
    <xf numFmtId="9" fontId="40" fillId="0" borderId="2" xfId="191" applyFont="1" applyFill="1" applyBorder="1"/>
    <xf numFmtId="44" fontId="48" fillId="0" borderId="2" xfId="187" applyNumberFormat="1" applyFont="1" applyBorder="1" applyAlignment="1">
      <alignment horizontal="right"/>
    </xf>
    <xf numFmtId="0" fontId="48" fillId="0" borderId="35" xfId="187" quotePrefix="1" applyFont="1" applyBorder="1"/>
    <xf numFmtId="0" fontId="126" fillId="0" borderId="0" xfId="9" applyFont="1" applyFill="1" applyAlignment="1" applyProtection="1">
      <alignment horizontal="center"/>
    </xf>
    <xf numFmtId="0" fontId="26" fillId="0" borderId="0" xfId="9" applyFill="1" applyAlignment="1" applyProtection="1">
      <alignment horizontal="center"/>
    </xf>
    <xf numFmtId="0" fontId="26" fillId="0" borderId="0" xfId="9" applyFill="1" applyBorder="1" applyAlignment="1" applyProtection="1">
      <alignment horizontal="center"/>
    </xf>
    <xf numFmtId="0" fontId="29" fillId="0" borderId="0" xfId="28" applyFont="1" applyFill="1"/>
    <xf numFmtId="8" fontId="29" fillId="0" borderId="0" xfId="28" applyNumberFormat="1" applyFont="1" applyFill="1" applyAlignment="1">
      <alignment horizontal="right"/>
    </xf>
    <xf numFmtId="9" fontId="29" fillId="0" borderId="0" xfId="11" applyFont="1" applyFill="1"/>
    <xf numFmtId="169" fontId="67" fillId="0" borderId="13" xfId="28" applyNumberFormat="1" applyBorder="1" applyAlignment="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169" fontId="67" fillId="0" borderId="7" xfId="28" applyNumberFormat="1" applyBorder="1" applyAlignment="1">
      <alignment horizontal="right"/>
    </xf>
    <xf numFmtId="169" fontId="67" fillId="0" borderId="7" xfId="28" applyNumberFormat="1" applyBorder="1" applyAlignment="1">
      <alignment horizontal="right"/>
    </xf>
    <xf numFmtId="169" fontId="67" fillId="0" borderId="13" xfId="28" applyNumberFormat="1" applyBorder="1" applyAlignment="1">
      <alignment horizontal="right"/>
    </xf>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14" fillId="0" borderId="0" xfId="1" applyNumberFormat="1" applyFont="1" applyAlignment="1">
      <alignment horizontal="right" wrapText="1"/>
    </xf>
    <xf numFmtId="165" fontId="0" fillId="0" borderId="0" xfId="1" applyNumberFormat="1" applyFont="1"/>
    <xf numFmtId="165" fontId="0" fillId="0" borderId="0" xfId="0" applyNumberFormat="1"/>
    <xf numFmtId="44" fontId="29" fillId="4" borderId="27" xfId="1" applyFont="1" applyFill="1" applyBorder="1" applyAlignment="1">
      <alignment horizontal="right"/>
    </xf>
    <xf numFmtId="44" fontId="29" fillId="0" borderId="27" xfId="1" applyFont="1" applyFill="1" applyBorder="1" applyAlignment="1">
      <alignment horizontal="right"/>
    </xf>
    <xf numFmtId="7" fontId="30" fillId="0" borderId="13" xfId="1" applyNumberFormat="1" applyFont="1" applyBorder="1"/>
    <xf numFmtId="174" fontId="30" fillId="0" borderId="13" xfId="7" applyNumberFormat="1" applyFont="1" applyBorder="1"/>
    <xf numFmtId="174" fontId="29" fillId="0" borderId="13" xfId="7" applyNumberFormat="1" applyFont="1" applyBorder="1"/>
    <xf numFmtId="0" fontId="67" fillId="0" borderId="0" xfId="28"/>
    <xf numFmtId="0" fontId="67" fillId="0" borderId="0" xfId="28" applyFill="1"/>
    <xf numFmtId="0" fontId="67" fillId="0" borderId="0" xfId="28" applyFill="1" applyBorder="1"/>
    <xf numFmtId="165" fontId="0" fillId="0" borderId="0" xfId="1" applyNumberFormat="1" applyFont="1" applyBorder="1"/>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0" fillId="0" borderId="0" xfId="1" applyNumberFormat="1" applyFont="1" applyAlignment="1">
      <alignment horizontal="center"/>
    </xf>
    <xf numFmtId="2" fontId="123" fillId="0" borderId="13" xfId="0" applyNumberFormat="1" applyFont="1" applyBorder="1" applyAlignment="1">
      <alignment horizontal="center"/>
    </xf>
    <xf numFmtId="2" fontId="123" fillId="0" borderId="21" xfId="0" applyNumberFormat="1" applyFont="1" applyBorder="1" applyAlignment="1">
      <alignment horizontal="center"/>
    </xf>
    <xf numFmtId="2" fontId="123" fillId="0" borderId="22" xfId="0" applyNumberFormat="1" applyFont="1" applyBorder="1" applyAlignment="1">
      <alignment horizontal="center"/>
    </xf>
    <xf numFmtId="0" fontId="126" fillId="0" borderId="0" xfId="9" applyFont="1" applyAlignment="1" applyProtection="1"/>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11" xfId="28" applyNumberFormat="1" applyBorder="1" applyAlignment="1">
      <alignment horizontal="right"/>
    </xf>
    <xf numFmtId="164" fontId="67" fillId="0" borderId="7" xfId="28" applyNumberFormat="1" applyBorder="1" applyAlignment="1">
      <alignment horizontal="left" indent="2"/>
    </xf>
    <xf numFmtId="169" fontId="67" fillId="0" borderId="7" xfId="28" applyNumberFormat="1" applyBorder="1" applyAlignment="1">
      <alignment horizontal="right"/>
    </xf>
    <xf numFmtId="169" fontId="67" fillId="0" borderId="7" xfId="28" applyNumberFormat="1" applyBorder="1" applyAlignment="1">
      <alignment horizontal="right"/>
    </xf>
    <xf numFmtId="169" fontId="67" fillId="0" borderId="7" xfId="28" applyNumberFormat="1" applyBorder="1" applyAlignment="1">
      <alignment horizontal="right"/>
    </xf>
    <xf numFmtId="0" fontId="67" fillId="0" borderId="0" xfId="28"/>
    <xf numFmtId="169" fontId="67" fillId="0" borderId="13" xfId="28" applyNumberFormat="1" applyBorder="1" applyAlignment="1">
      <alignment horizontal="right"/>
    </xf>
    <xf numFmtId="169" fontId="67" fillId="0" borderId="7" xfId="28" applyNumberFormat="1" applyBorder="1" applyAlignment="1">
      <alignment horizontal="right"/>
    </xf>
    <xf numFmtId="0" fontId="30" fillId="0" borderId="13" xfId="28" applyFont="1" applyBorder="1" applyAlignment="1">
      <alignment horizontal="left" indent="2"/>
    </xf>
    <xf numFmtId="0" fontId="30" fillId="0" borderId="7" xfId="28" applyFont="1" applyBorder="1" applyAlignment="1">
      <alignment horizontal="left" indent="2"/>
    </xf>
    <xf numFmtId="169" fontId="67" fillId="0" borderId="7" xfId="28" applyNumberFormat="1" applyBorder="1" applyAlignment="1">
      <alignment horizontal="right"/>
    </xf>
    <xf numFmtId="0" fontId="30" fillId="0" borderId="7" xfId="28" applyFont="1" applyBorder="1" applyAlignment="1">
      <alignment horizontal="left" indent="2"/>
    </xf>
    <xf numFmtId="169" fontId="67" fillId="0" borderId="7" xfId="28" applyNumberFormat="1" applyBorder="1" applyAlignment="1">
      <alignment horizontal="right"/>
    </xf>
    <xf numFmtId="169" fontId="67" fillId="0" borderId="7" xfId="28" applyNumberFormat="1" applyBorder="1" applyAlignment="1">
      <alignment horizontal="right"/>
    </xf>
    <xf numFmtId="0" fontId="26" fillId="0" borderId="43" xfId="9" applyFill="1" applyBorder="1" applyAlignment="1" applyProtection="1">
      <alignment horizontal="center" wrapText="1"/>
    </xf>
    <xf numFmtId="37" fontId="0" fillId="0" borderId="0" xfId="1" applyNumberFormat="1" applyFont="1"/>
    <xf numFmtId="166" fontId="0" fillId="0" borderId="0" xfId="8" applyNumberFormat="1" applyFont="1" applyFill="1" applyBorder="1"/>
    <xf numFmtId="166" fontId="0" fillId="0" borderId="0" xfId="8" applyNumberFormat="1" applyFont="1"/>
    <xf numFmtId="0" fontId="0" fillId="0" borderId="0" xfId="0"/>
    <xf numFmtId="0" fontId="0" fillId="0" borderId="0" xfId="0" applyAlignment="1">
      <alignment horizontal="center"/>
    </xf>
    <xf numFmtId="0" fontId="0" fillId="0" borderId="0" xfId="0" applyFill="1"/>
    <xf numFmtId="0" fontId="0" fillId="0" borderId="0" xfId="0" applyFill="1" applyBorder="1"/>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29" fillId="4" borderId="27" xfId="0" applyNumberFormat="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0" fontId="31" fillId="0" borderId="0" xfId="0" applyFont="1"/>
    <xf numFmtId="0" fontId="32" fillId="0" borderId="0" xfId="0" applyFont="1"/>
    <xf numFmtId="0" fontId="27" fillId="4" borderId="1" xfId="0" applyFont="1" applyFill="1" applyBorder="1" applyAlignment="1">
      <alignment horizontal="center"/>
    </xf>
    <xf numFmtId="0" fontId="27" fillId="4" borderId="1" xfId="0" applyFont="1" applyFill="1" applyBorder="1"/>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29" fillId="0" borderId="13" xfId="0" applyFont="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8" fontId="29" fillId="0" borderId="0" xfId="0" applyNumberFormat="1" applyFont="1" applyAlignment="1">
      <alignment horizontal="right"/>
    </xf>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171" fontId="0" fillId="0" borderId="13" xfId="0" applyNumberFormat="1" applyBorder="1"/>
    <xf numFmtId="0" fontId="0" fillId="0" borderId="7" xfId="0" applyBorder="1"/>
    <xf numFmtId="169" fontId="0" fillId="0" borderId="13" xfId="0" applyNumberForma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171" fontId="29" fillId="0" borderId="23" xfId="0" applyNumberFormat="1" applyFont="1" applyBorder="1"/>
    <xf numFmtId="7" fontId="29" fillId="0" borderId="0" xfId="0" applyNumberFormat="1" applyFont="1"/>
    <xf numFmtId="164" fontId="29" fillId="0" borderId="22" xfId="0" applyNumberFormat="1" applyFont="1" applyBorder="1"/>
    <xf numFmtId="169" fontId="0" fillId="0" borderId="7" xfId="0" applyNumberFormat="1" applyFill="1" applyBorder="1" applyAlignment="1">
      <alignment horizontal="right"/>
    </xf>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6" fontId="0" fillId="0" borderId="7" xfId="0" applyNumberFormat="1" applyBorder="1" applyAlignment="1">
      <alignment horizontal="right"/>
    </xf>
    <xf numFmtId="174" fontId="29" fillId="4" borderId="27" xfId="0" applyNumberFormat="1" applyFont="1" applyFill="1" applyBorder="1" applyAlignment="1">
      <alignment horizontal="center"/>
    </xf>
    <xf numFmtId="174" fontId="29" fillId="0" borderId="29" xfId="0" applyNumberFormat="1" applyFont="1" applyBorder="1"/>
    <xf numFmtId="164" fontId="0" fillId="0" borderId="44" xfId="0" applyNumberFormat="1" applyBorder="1"/>
    <xf numFmtId="164" fontId="0" fillId="0" borderId="7" xfId="0" applyNumberFormat="1" applyBorder="1"/>
    <xf numFmtId="0" fontId="29" fillId="0" borderId="0" xfId="0" applyFont="1" applyAlignment="1">
      <alignment horizontal="right"/>
    </xf>
    <xf numFmtId="164" fontId="29" fillId="0" borderId="45" xfId="0" applyNumberFormat="1" applyFont="1" applyBorder="1"/>
    <xf numFmtId="164" fontId="29" fillId="0" borderId="42" xfId="0" applyNumberFormat="1" applyFont="1" applyBorder="1"/>
    <xf numFmtId="174" fontId="29" fillId="0" borderId="42" xfId="0" applyNumberFormat="1" applyFont="1" applyBorder="1"/>
    <xf numFmtId="175" fontId="0" fillId="0" borderId="35" xfId="0" applyNumberFormat="1" applyBorder="1"/>
    <xf numFmtId="174" fontId="29" fillId="0" borderId="0" xfId="0" applyNumberFormat="1" applyFont="1"/>
    <xf numFmtId="6" fontId="44" fillId="0" borderId="7" xfId="0" applyNumberFormat="1" applyFont="1" applyFill="1" applyBorder="1" applyAlignment="1" applyProtection="1">
      <alignment horizontal="right"/>
    </xf>
    <xf numFmtId="169" fontId="67" fillId="0" borderId="7" xfId="28" applyNumberFormat="1" applyBorder="1" applyAlignment="1">
      <alignment horizontal="right"/>
    </xf>
    <xf numFmtId="169" fontId="67" fillId="0" borderId="11"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169" fontId="67" fillId="2" borderId="13" xfId="28" applyNumberFormat="1" applyFill="1" applyBorder="1"/>
    <xf numFmtId="0" fontId="67" fillId="0" borderId="7" xfId="28" applyBorder="1" applyAlignment="1"/>
    <xf numFmtId="0" fontId="67" fillId="0" borderId="13" xfId="28" applyBorder="1" applyAlignment="1"/>
    <xf numFmtId="0" fontId="128" fillId="0" borderId="0" xfId="28" applyFont="1" applyBorder="1"/>
    <xf numFmtId="7" fontId="30" fillId="0" borderId="13" xfId="40" applyNumberFormat="1"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0" fontId="67" fillId="11" borderId="34" xfId="28" applyFill="1" applyBorder="1"/>
    <xf numFmtId="0" fontId="67" fillId="11" borderId="2" xfId="28" applyFill="1" applyBorder="1"/>
    <xf numFmtId="0" fontId="67" fillId="11" borderId="35" xfId="28" applyFill="1" applyBorder="1"/>
    <xf numFmtId="170" fontId="67" fillId="0" borderId="35" xfId="28" applyNumberFormat="1" applyBorder="1"/>
    <xf numFmtId="0" fontId="67" fillId="0" borderId="13" xfId="28" applyBorder="1"/>
    <xf numFmtId="7" fontId="30" fillId="0" borderId="13" xfId="40" applyNumberFormat="1" applyFont="1" applyBorder="1"/>
    <xf numFmtId="1" fontId="67" fillId="0" borderId="13" xfId="28" applyNumberFormat="1" applyBorder="1"/>
    <xf numFmtId="0" fontId="67" fillId="0" borderId="13" xfId="28" applyBorder="1"/>
    <xf numFmtId="0" fontId="67" fillId="0" borderId="13" xfId="28" applyFill="1" applyBorder="1"/>
    <xf numFmtId="7" fontId="30" fillId="0" borderId="13" xfId="40" applyNumberFormat="1" applyFont="1" applyBorder="1"/>
    <xf numFmtId="9" fontId="30" fillId="0" borderId="13" xfId="11" applyFont="1" applyBorder="1"/>
    <xf numFmtId="9" fontId="29" fillId="4" borderId="0" xfId="11"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0" fontId="26" fillId="0" borderId="43" xfId="9" applyFill="1" applyBorder="1" applyAlignment="1" applyProtection="1">
      <alignment horizontal="center" wrapText="1"/>
    </xf>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75" fontId="67" fillId="0" borderId="35" xfId="28" applyNumberFormat="1" applyBorder="1"/>
    <xf numFmtId="1" fontId="67" fillId="0" borderId="13" xfId="28" applyNumberFormat="1" applyBorder="1"/>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7" fontId="30" fillId="0" borderId="13" xfId="40" applyNumberFormat="1" applyFont="1" applyBorder="1"/>
    <xf numFmtId="0" fontId="67" fillId="11" borderId="8" xfId="28" applyFill="1" applyBorder="1"/>
    <xf numFmtId="0" fontId="67" fillId="11" borderId="10" xfId="28" applyFill="1" applyBorder="1"/>
    <xf numFmtId="0" fontId="67" fillId="11" borderId="5" xfId="28" applyFill="1" applyBorder="1"/>
    <xf numFmtId="0" fontId="67" fillId="11" borderId="34" xfId="28" applyFill="1" applyBorder="1"/>
    <xf numFmtId="0" fontId="67" fillId="11" borderId="2" xfId="28" applyFill="1" applyBorder="1"/>
    <xf numFmtId="0" fontId="67" fillId="11" borderId="35" xfId="28" applyFill="1" applyBorder="1"/>
    <xf numFmtId="175" fontId="67" fillId="0" borderId="35" xfId="28" applyNumberFormat="1" applyBorder="1"/>
    <xf numFmtId="0" fontId="32" fillId="0" borderId="13" xfId="28" applyFont="1" applyBorder="1"/>
    <xf numFmtId="0" fontId="67" fillId="0" borderId="7" xfId="28" applyBorder="1"/>
    <xf numFmtId="0" fontId="67" fillId="0" borderId="13" xfId="28" applyBorder="1"/>
    <xf numFmtId="169" fontId="67" fillId="0" borderId="13" xfId="28" applyNumberFormat="1" applyBorder="1"/>
    <xf numFmtId="9" fontId="30" fillId="0" borderId="13" xfId="11" applyFon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169" fontId="67" fillId="2" borderId="13" xfId="28" applyNumberFormat="1" applyFill="1" applyBorder="1"/>
    <xf numFmtId="165" fontId="16" fillId="0" borderId="51" xfId="189" applyNumberFormat="1" applyFont="1" applyBorder="1"/>
    <xf numFmtId="165" fontId="16" fillId="0" borderId="0" xfId="187" applyNumberFormat="1" applyFont="1"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165" fontId="20" fillId="0" borderId="0" xfId="189" applyNumberFormat="1" applyFont="1" applyFill="1"/>
    <xf numFmtId="176" fontId="20" fillId="0" borderId="0" xfId="187" applyNumberFormat="1" applyFont="1" applyFill="1" applyAlignment="1">
      <alignment horizontal="center"/>
    </xf>
    <xf numFmtId="165" fontId="117" fillId="0" borderId="0" xfId="189" applyNumberFormat="1" applyFont="1"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51" xfId="187" applyBorder="1"/>
    <xf numFmtId="0" fontId="117" fillId="0" borderId="52" xfId="187" applyBorder="1"/>
    <xf numFmtId="165" fontId="117" fillId="0" borderId="50" xfId="187" applyNumberFormat="1" applyFill="1" applyBorder="1"/>
    <xf numFmtId="165" fontId="117" fillId="0" borderId="32" xfId="187" applyNumberFormat="1" applyFill="1" applyBorder="1"/>
    <xf numFmtId="165" fontId="117" fillId="0" borderId="35" xfId="187" applyNumberFormat="1" applyFill="1" applyBorder="1"/>
    <xf numFmtId="165" fontId="117" fillId="0" borderId="52" xfId="189" applyNumberFormat="1" applyFont="1" applyBorder="1" applyAlignment="1">
      <alignment horizontal="right"/>
    </xf>
    <xf numFmtId="165" fontId="117" fillId="0" borderId="51" xfId="189" applyNumberFormat="1" applyFont="1" applyBorder="1" applyAlignment="1">
      <alignment horizontal="right"/>
    </xf>
    <xf numFmtId="165" fontId="117" fillId="0" borderId="34" xfId="189" applyNumberFormat="1" applyFont="1" applyBorder="1" applyAlignment="1">
      <alignment horizontal="right"/>
    </xf>
    <xf numFmtId="0" fontId="117" fillId="0" borderId="34" xfId="187" applyBorder="1"/>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42" fontId="48" fillId="0" borderId="0" xfId="187" applyNumberFormat="1" applyFont="1"/>
    <xf numFmtId="165" fontId="117" fillId="0" borderId="0" xfId="187" applyNumberFormat="1"/>
    <xf numFmtId="0" fontId="117" fillId="0" borderId="0" xfId="187" applyFill="1"/>
    <xf numFmtId="9" fontId="40" fillId="0" borderId="0" xfId="19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165" fontId="118" fillId="0" borderId="0" xfId="187" applyNumberFormat="1" applyFont="1"/>
    <xf numFmtId="9" fontId="57" fillId="0" borderId="0" xfId="191" applyFont="1" applyFill="1" applyBorder="1"/>
    <xf numFmtId="44" fontId="48" fillId="0" borderId="0" xfId="187" applyNumberFormat="1" applyFont="1" applyAlignment="1">
      <alignment horizontal="right"/>
    </xf>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0" xfId="187"/>
    <xf numFmtId="0" fontId="119" fillId="0" borderId="101" xfId="190" applyBorder="1"/>
    <xf numFmtId="0" fontId="119" fillId="0" borderId="0" xfId="190" applyBorder="1"/>
    <xf numFmtId="0" fontId="119" fillId="0" borderId="16" xfId="190" applyBorder="1"/>
    <xf numFmtId="0" fontId="20" fillId="0" borderId="49" xfId="190" applyFont="1" applyBorder="1"/>
    <xf numFmtId="0" fontId="20" fillId="0" borderId="38" xfId="190" applyFont="1" applyBorder="1" applyAlignment="1">
      <alignment horizontal="center"/>
    </xf>
    <xf numFmtId="0" fontId="20" fillId="0" borderId="49" xfId="190" applyFont="1" applyBorder="1" applyAlignment="1">
      <alignment horizontal="center"/>
    </xf>
    <xf numFmtId="0" fontId="1" fillId="0" borderId="0" xfId="190" applyFont="1" applyBorder="1" applyAlignment="1">
      <alignment horizontal="left"/>
    </xf>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65" fontId="20" fillId="0" borderId="0" xfId="190" applyNumberFormat="1" applyFont="1" applyBorder="1"/>
    <xf numFmtId="172" fontId="20" fillId="0" borderId="0" xfId="190" applyNumberFormat="1" applyFont="1" applyBorder="1"/>
    <xf numFmtId="0" fontId="1" fillId="0" borderId="0" xfId="190" applyNumberFormat="1" applyFont="1" applyFill="1" applyBorder="1" applyAlignment="1">
      <alignment horizontal="left" indent="2"/>
    </xf>
    <xf numFmtId="165" fontId="119" fillId="0" borderId="0" xfId="190" applyNumberFormat="1" applyBorder="1"/>
    <xf numFmtId="172" fontId="119" fillId="0" borderId="0" xfId="190" applyNumberFormat="1" applyBorder="1"/>
    <xf numFmtId="3" fontId="119" fillId="0" borderId="0" xfId="190" applyNumberFormat="1" applyBorder="1"/>
    <xf numFmtId="0" fontId="5" fillId="0" borderId="20" xfId="190" applyNumberFormat="1" applyFont="1" applyFill="1" applyBorder="1" applyAlignment="1">
      <alignment horizontal="left"/>
    </xf>
    <xf numFmtId="3" fontId="119" fillId="0" borderId="0" xfId="190" applyNumberFormat="1"/>
    <xf numFmtId="0" fontId="119" fillId="0" borderId="36" xfId="190" applyBorder="1"/>
    <xf numFmtId="0" fontId="119" fillId="0" borderId="47" xfId="190" applyBorder="1"/>
    <xf numFmtId="0" fontId="20" fillId="0" borderId="16" xfId="190" applyFont="1" applyBorder="1" applyAlignment="1">
      <alignment horizontal="center"/>
    </xf>
    <xf numFmtId="43" fontId="119" fillId="0" borderId="23" xfId="190" applyNumberFormat="1" applyFont="1" applyBorder="1" applyAlignment="1">
      <alignment horizontal="left" vertical="center" wrapText="1"/>
    </xf>
    <xf numFmtId="0" fontId="119" fillId="0" borderId="23" xfId="190" applyBorder="1" applyAlignment="1">
      <alignment horizontal="left" vertical="center" wrapText="1"/>
    </xf>
    <xf numFmtId="0" fontId="119" fillId="0" borderId="0" xfId="190" applyBorder="1" applyAlignment="1">
      <alignment vertical="center" wrapText="1"/>
    </xf>
    <xf numFmtId="0" fontId="5" fillId="0" borderId="20" xfId="190" applyFont="1" applyBorder="1" applyAlignment="1">
      <alignment horizontal="left" vertical="center" wrapText="1"/>
    </xf>
    <xf numFmtId="188" fontId="20" fillId="0" borderId="47" xfId="190" applyNumberFormat="1" applyFont="1" applyBorder="1" applyAlignment="1">
      <alignment horizontal="center" vertical="center" wrapText="1"/>
    </xf>
    <xf numFmtId="188" fontId="20" fillId="0" borderId="101" xfId="190" applyNumberFormat="1" applyFont="1" applyBorder="1" applyAlignment="1">
      <alignment horizontal="center" vertical="center" wrapText="1"/>
    </xf>
    <xf numFmtId="9" fontId="20" fillId="0" borderId="17" xfId="191" applyFont="1" applyBorder="1" applyAlignment="1">
      <alignment horizontal="center" vertical="center" wrapText="1"/>
    </xf>
    <xf numFmtId="9" fontId="20" fillId="0" borderId="19" xfId="191" applyFont="1" applyBorder="1" applyAlignment="1">
      <alignment horizontal="center" vertical="center" wrapText="1"/>
    </xf>
    <xf numFmtId="9" fontId="119" fillId="0" borderId="47" xfId="191" applyFont="1" applyBorder="1" applyAlignment="1">
      <alignment horizontal="center" vertical="center" wrapText="1"/>
    </xf>
    <xf numFmtId="9" fontId="119" fillId="0" borderId="101" xfId="191" applyFont="1" applyBorder="1" applyAlignment="1">
      <alignment horizontal="center" vertical="center" wrapText="1"/>
    </xf>
    <xf numFmtId="165" fontId="119" fillId="0" borderId="47" xfId="190" applyNumberFormat="1" applyBorder="1" applyAlignment="1">
      <alignment vertical="center" wrapText="1"/>
    </xf>
    <xf numFmtId="165" fontId="119" fillId="0" borderId="101" xfId="190" applyNumberFormat="1" applyBorder="1" applyAlignment="1">
      <alignment vertical="center" wrapText="1"/>
    </xf>
    <xf numFmtId="172" fontId="119" fillId="0" borderId="47" xfId="190" applyNumberFormat="1" applyBorder="1" applyAlignment="1">
      <alignment vertical="center" wrapText="1"/>
    </xf>
    <xf numFmtId="3" fontId="119" fillId="0" borderId="101" xfId="190" applyNumberFormat="1" applyBorder="1" applyAlignment="1">
      <alignment vertical="center" wrapText="1"/>
    </xf>
    <xf numFmtId="188" fontId="119" fillId="0" borderId="47" xfId="189" applyNumberFormat="1" applyFont="1" applyBorder="1" applyAlignment="1">
      <alignment vertical="center" wrapText="1"/>
    </xf>
    <xf numFmtId="188" fontId="119" fillId="0" borderId="101" xfId="189" applyNumberFormat="1" applyFont="1" applyBorder="1" applyAlignment="1">
      <alignment vertical="center" wrapText="1"/>
    </xf>
    <xf numFmtId="0" fontId="1" fillId="0" borderId="1" xfId="190" applyFont="1" applyBorder="1" applyAlignment="1">
      <alignment horizontal="left" vertical="center" wrapText="1"/>
    </xf>
    <xf numFmtId="0" fontId="5" fillId="0" borderId="1" xfId="190" applyFont="1" applyFill="1" applyBorder="1" applyAlignment="1">
      <alignment horizontal="left" vertical="center" wrapText="1"/>
    </xf>
    <xf numFmtId="165" fontId="120" fillId="0" borderId="17" xfId="190" applyNumberFormat="1" applyFont="1" applyBorder="1" applyAlignment="1">
      <alignment vertical="center" wrapText="1"/>
    </xf>
    <xf numFmtId="165" fontId="120" fillId="0" borderId="18" xfId="190" applyNumberFormat="1" applyFont="1" applyBorder="1" applyAlignment="1">
      <alignment vertical="center" wrapText="1"/>
    </xf>
    <xf numFmtId="172" fontId="120" fillId="0" borderId="17" xfId="190" applyNumberFormat="1" applyFont="1" applyBorder="1" applyAlignment="1">
      <alignment vertical="center" wrapText="1"/>
    </xf>
    <xf numFmtId="172" fontId="120" fillId="0" borderId="18" xfId="190" applyNumberFormat="1" applyFont="1" applyBorder="1" applyAlignment="1">
      <alignment vertical="center" wrapText="1"/>
    </xf>
    <xf numFmtId="188" fontId="120" fillId="0" borderId="17" xfId="189" applyNumberFormat="1" applyFont="1" applyBorder="1" applyAlignment="1">
      <alignment vertical="center" wrapText="1"/>
    </xf>
    <xf numFmtId="188" fontId="120" fillId="0" borderId="19" xfId="189" applyNumberFormat="1" applyFont="1" applyBorder="1" applyAlignment="1">
      <alignment vertical="center" wrapText="1"/>
    </xf>
    <xf numFmtId="0" fontId="1" fillId="0" borderId="24" xfId="190" applyFont="1" applyBorder="1" applyAlignment="1">
      <alignment horizontal="left" vertical="center" wrapText="1"/>
    </xf>
    <xf numFmtId="9" fontId="119" fillId="0" borderId="38" xfId="191" applyFont="1" applyBorder="1" applyAlignment="1">
      <alignment horizontal="center" vertical="center" wrapText="1"/>
    </xf>
    <xf numFmtId="9" fontId="119" fillId="0" borderId="49" xfId="191" applyFont="1" applyBorder="1" applyAlignment="1">
      <alignment horizontal="center" vertical="center" wrapText="1"/>
    </xf>
    <xf numFmtId="0" fontId="119" fillId="0" borderId="0" xfId="190" applyBorder="1" applyAlignment="1">
      <alignment horizontal="left" vertical="center" wrapText="1"/>
    </xf>
    <xf numFmtId="9" fontId="119" fillId="0" borderId="0" xfId="191" applyFont="1" applyBorder="1" applyAlignment="1">
      <alignment horizontal="center" vertical="center" wrapText="1"/>
    </xf>
    <xf numFmtId="9" fontId="20" fillId="0" borderId="18" xfId="191" applyFont="1" applyBorder="1" applyAlignment="1">
      <alignment horizontal="center" vertical="center" wrapText="1"/>
    </xf>
    <xf numFmtId="0" fontId="119" fillId="0" borderId="115" xfId="190" applyBorder="1" applyAlignment="1">
      <alignment horizontal="left" vertical="center" wrapText="1"/>
    </xf>
    <xf numFmtId="0" fontId="119" fillId="0" borderId="31" xfId="190" applyBorder="1" applyAlignment="1">
      <alignment horizontal="left" vertical="center" wrapText="1"/>
    </xf>
    <xf numFmtId="0" fontId="119" fillId="0" borderId="40" xfId="190" applyBorder="1" applyAlignment="1">
      <alignment horizontal="left" vertical="center" wrapText="1"/>
    </xf>
    <xf numFmtId="0" fontId="119" fillId="0" borderId="42" xfId="190" applyBorder="1" applyAlignment="1">
      <alignment horizontal="left" vertical="center" wrapText="1"/>
    </xf>
    <xf numFmtId="0" fontId="20" fillId="0" borderId="45" xfId="190" applyFont="1" applyBorder="1" applyAlignment="1">
      <alignment horizontal="center"/>
    </xf>
    <xf numFmtId="0" fontId="20" fillId="0" borderId="112" xfId="190" applyFont="1" applyBorder="1" applyAlignment="1">
      <alignment horizontal="center"/>
    </xf>
    <xf numFmtId="0" fontId="119" fillId="0" borderId="21" xfId="190" applyBorder="1" applyAlignment="1">
      <alignment horizontal="left" vertical="center" wrapText="1"/>
    </xf>
    <xf numFmtId="0" fontId="119" fillId="0" borderId="47" xfId="190" applyBorder="1" applyAlignment="1">
      <alignment vertical="center" wrapText="1"/>
    </xf>
    <xf numFmtId="0" fontId="119" fillId="0" borderId="0" xfId="190" applyAlignment="1">
      <alignment vertical="center" wrapText="1"/>
    </xf>
    <xf numFmtId="165" fontId="119" fillId="0" borderId="38" xfId="190" applyNumberFormat="1" applyBorder="1" applyAlignment="1">
      <alignment vertical="center" wrapText="1"/>
    </xf>
    <xf numFmtId="165" fontId="119" fillId="0" borderId="49" xfId="190" applyNumberFormat="1" applyBorder="1" applyAlignment="1">
      <alignment vertical="center" wrapText="1"/>
    </xf>
    <xf numFmtId="3" fontId="119" fillId="0" borderId="49" xfId="190" applyNumberFormat="1" applyBorder="1" applyAlignment="1">
      <alignment vertical="center" wrapText="1"/>
    </xf>
    <xf numFmtId="0" fontId="119" fillId="0" borderId="38" xfId="190" applyBorder="1" applyAlignment="1">
      <alignment vertical="center" wrapText="1"/>
    </xf>
    <xf numFmtId="0" fontId="5" fillId="0" borderId="0" xfId="190" applyNumberFormat="1" applyFont="1" applyFill="1" applyBorder="1" applyAlignment="1">
      <alignment horizontal="right" vertical="center" wrapText="1"/>
    </xf>
    <xf numFmtId="165" fontId="20" fillId="0" borderId="17" xfId="190" applyNumberFormat="1" applyFont="1" applyBorder="1" applyAlignment="1">
      <alignment vertical="center" wrapText="1"/>
    </xf>
    <xf numFmtId="165" fontId="20" fillId="0" borderId="19" xfId="190" applyNumberFormat="1" applyFont="1" applyBorder="1" applyAlignment="1">
      <alignment vertical="center" wrapText="1"/>
    </xf>
    <xf numFmtId="172" fontId="20" fillId="0" borderId="17" xfId="190" applyNumberFormat="1" applyFont="1" applyBorder="1" applyAlignment="1">
      <alignment vertical="center" wrapText="1"/>
    </xf>
    <xf numFmtId="172" fontId="20" fillId="0" borderId="19" xfId="190" applyNumberFormat="1" applyFont="1" applyBorder="1" applyAlignment="1">
      <alignment vertical="center" wrapText="1"/>
    </xf>
    <xf numFmtId="0" fontId="1" fillId="0" borderId="14" xfId="190" applyFont="1" applyBorder="1" applyAlignment="1">
      <alignment horizontal="left" vertical="center" wrapText="1"/>
    </xf>
    <xf numFmtId="0" fontId="122" fillId="0" borderId="14" xfId="190" applyFont="1" applyFill="1" applyBorder="1" applyAlignment="1">
      <alignment horizontal="left" vertical="center" wrapText="1"/>
    </xf>
    <xf numFmtId="0" fontId="1" fillId="0" borderId="3" xfId="190" applyNumberFormat="1" applyFont="1" applyFill="1" applyBorder="1" applyAlignment="1">
      <alignment horizontal="left" vertical="center" wrapText="1"/>
    </xf>
    <xf numFmtId="165" fontId="119" fillId="0" borderId="109" xfId="190" applyNumberFormat="1" applyBorder="1" applyAlignment="1">
      <alignment vertical="center" wrapText="1"/>
    </xf>
    <xf numFmtId="165" fontId="119" fillId="0" borderId="113" xfId="190" applyNumberFormat="1" applyBorder="1" applyAlignment="1">
      <alignment vertical="center" wrapText="1"/>
    </xf>
    <xf numFmtId="172" fontId="119" fillId="0" borderId="109" xfId="190" applyNumberFormat="1" applyBorder="1" applyAlignment="1">
      <alignment vertical="center" wrapText="1"/>
    </xf>
    <xf numFmtId="3" fontId="119" fillId="0" borderId="113" xfId="190" applyNumberFormat="1" applyBorder="1" applyAlignment="1">
      <alignment vertical="center" wrapText="1"/>
    </xf>
    <xf numFmtId="188" fontId="119" fillId="0" borderId="109" xfId="189" applyNumberFormat="1" applyFont="1" applyBorder="1" applyAlignment="1">
      <alignment vertical="center" wrapText="1"/>
    </xf>
    <xf numFmtId="188" fontId="119" fillId="0" borderId="113" xfId="189" applyNumberFormat="1" applyFont="1" applyBorder="1" applyAlignment="1">
      <alignment vertical="center" wrapText="1"/>
    </xf>
    <xf numFmtId="9" fontId="119" fillId="0" borderId="109" xfId="191" applyFont="1" applyBorder="1" applyAlignment="1">
      <alignment horizontal="center" vertical="center" wrapText="1"/>
    </xf>
    <xf numFmtId="9" fontId="119" fillId="0" borderId="113" xfId="191" applyFont="1" applyBorder="1" applyAlignment="1">
      <alignment horizontal="center" vertical="center" wrapText="1"/>
    </xf>
    <xf numFmtId="0" fontId="1" fillId="0" borderId="6" xfId="190" applyNumberFormat="1" applyFont="1" applyFill="1" applyBorder="1" applyAlignment="1">
      <alignment horizontal="left" vertical="center" wrapText="1"/>
    </xf>
    <xf numFmtId="165" fontId="119" fillId="0" borderId="64" xfId="190" applyNumberFormat="1" applyBorder="1" applyAlignment="1">
      <alignment vertical="center" wrapText="1"/>
    </xf>
    <xf numFmtId="165" fontId="119" fillId="0" borderId="103" xfId="190" applyNumberFormat="1" applyBorder="1" applyAlignment="1">
      <alignment vertical="center" wrapText="1"/>
    </xf>
    <xf numFmtId="172" fontId="119" fillId="0" borderId="64" xfId="190" applyNumberFormat="1" applyBorder="1" applyAlignment="1">
      <alignment vertical="center" wrapText="1"/>
    </xf>
    <xf numFmtId="3" fontId="119" fillId="0" borderId="103" xfId="190" applyNumberFormat="1" applyBorder="1" applyAlignment="1">
      <alignment vertical="center" wrapText="1"/>
    </xf>
    <xf numFmtId="188" fontId="119" fillId="0" borderId="64" xfId="189" applyNumberFormat="1" applyFont="1" applyBorder="1" applyAlignment="1">
      <alignment vertical="center" wrapText="1"/>
    </xf>
    <xf numFmtId="188" fontId="119" fillId="0" borderId="103" xfId="189" applyNumberFormat="1" applyFont="1" applyBorder="1" applyAlignment="1">
      <alignment vertical="center" wrapText="1"/>
    </xf>
    <xf numFmtId="9" fontId="119" fillId="0" borderId="64" xfId="191" applyFont="1" applyBorder="1" applyAlignment="1">
      <alignment horizontal="center" vertical="center" wrapText="1"/>
    </xf>
    <xf numFmtId="9" fontId="119" fillId="0" borderId="103" xfId="191" applyFont="1" applyBorder="1" applyAlignment="1">
      <alignment horizontal="center" vertical="center" wrapText="1"/>
    </xf>
    <xf numFmtId="0" fontId="119" fillId="0" borderId="25" xfId="190" applyBorder="1" applyAlignment="1">
      <alignment horizontal="left" vertical="center" wrapText="1"/>
    </xf>
    <xf numFmtId="0" fontId="119" fillId="0" borderId="27" xfId="190" applyBorder="1" applyAlignment="1">
      <alignment horizontal="left" vertical="center" wrapText="1"/>
    </xf>
    <xf numFmtId="0" fontId="119" fillId="0" borderId="44" xfId="190" applyBorder="1" applyAlignment="1">
      <alignment horizontal="left" vertical="center" wrapText="1"/>
    </xf>
    <xf numFmtId="0" fontId="119" fillId="0" borderId="111" xfId="190" applyBorder="1" applyAlignment="1">
      <alignment horizontal="left" vertical="center" wrapText="1"/>
    </xf>
    <xf numFmtId="0" fontId="20" fillId="0" borderId="1" xfId="190" applyFont="1" applyBorder="1" applyAlignment="1">
      <alignment horizontal="left" vertical="center" wrapText="1"/>
    </xf>
    <xf numFmtId="0" fontId="20" fillId="0" borderId="24" xfId="190" applyFont="1" applyBorder="1" applyAlignment="1">
      <alignment vertical="center" wrapText="1"/>
    </xf>
    <xf numFmtId="165" fontId="119" fillId="0" borderId="70" xfId="190" applyNumberFormat="1" applyBorder="1" applyAlignment="1">
      <alignment vertical="center" wrapText="1"/>
    </xf>
    <xf numFmtId="165" fontId="119" fillId="0" borderId="106" xfId="190" applyNumberFormat="1" applyBorder="1" applyAlignment="1">
      <alignment vertical="center" wrapText="1"/>
    </xf>
    <xf numFmtId="3" fontId="119" fillId="0" borderId="70" xfId="190" applyNumberFormat="1" applyBorder="1" applyAlignment="1">
      <alignment vertical="center" wrapText="1"/>
    </xf>
    <xf numFmtId="3" fontId="119" fillId="0" borderId="106" xfId="190" applyNumberFormat="1" applyBorder="1" applyAlignment="1">
      <alignment vertical="center" wrapText="1"/>
    </xf>
    <xf numFmtId="3" fontId="119" fillId="0" borderId="38" xfId="190" applyNumberFormat="1" applyBorder="1" applyAlignment="1">
      <alignment vertical="center" wrapText="1"/>
    </xf>
    <xf numFmtId="3" fontId="119" fillId="0" borderId="47" xfId="190" applyNumberFormat="1" applyBorder="1" applyAlignment="1">
      <alignment vertical="center" wrapText="1"/>
    </xf>
    <xf numFmtId="165" fontId="119" fillId="0" borderId="17" xfId="190" applyNumberFormat="1" applyBorder="1" applyAlignment="1">
      <alignment vertical="center" wrapText="1"/>
    </xf>
    <xf numFmtId="165" fontId="119" fillId="0" borderId="19" xfId="190" applyNumberFormat="1" applyBorder="1" applyAlignment="1">
      <alignment vertical="center" wrapText="1"/>
    </xf>
    <xf numFmtId="3" fontId="119" fillId="0" borderId="17" xfId="190" applyNumberFormat="1" applyBorder="1" applyAlignment="1">
      <alignment vertical="center" wrapText="1"/>
    </xf>
    <xf numFmtId="3" fontId="119" fillId="0" borderId="19" xfId="190" applyNumberFormat="1" applyBorder="1" applyAlignment="1">
      <alignment vertical="center" wrapText="1"/>
    </xf>
    <xf numFmtId="0" fontId="119" fillId="0" borderId="14" xfId="190" applyBorder="1" applyAlignment="1">
      <alignment vertical="center" wrapText="1"/>
    </xf>
    <xf numFmtId="0" fontId="20" fillId="0" borderId="17" xfId="190" applyFont="1" applyBorder="1" applyAlignment="1">
      <alignment vertical="center" wrapText="1"/>
    </xf>
    <xf numFmtId="9" fontId="119" fillId="0" borderId="17" xfId="191" applyFont="1" applyBorder="1" applyAlignment="1">
      <alignment horizontal="center" vertical="center" wrapText="1"/>
    </xf>
    <xf numFmtId="9" fontId="119" fillId="0" borderId="18" xfId="191" applyFont="1" applyBorder="1" applyAlignment="1">
      <alignment horizontal="center" vertical="center" wrapText="1"/>
    </xf>
    <xf numFmtId="9" fontId="119" fillId="0" borderId="110" xfId="191" applyFont="1" applyBorder="1" applyAlignment="1">
      <alignment horizontal="center" vertical="center" wrapText="1"/>
    </xf>
    <xf numFmtId="9" fontId="119" fillId="0" borderId="10" xfId="191" applyFont="1" applyBorder="1" applyAlignment="1">
      <alignment horizontal="center" vertical="center" wrapText="1"/>
    </xf>
    <xf numFmtId="3" fontId="119" fillId="0" borderId="109" xfId="190" applyNumberFormat="1" applyBorder="1" applyAlignment="1">
      <alignment vertical="center" wrapText="1"/>
    </xf>
    <xf numFmtId="3" fontId="119" fillId="0" borderId="64" xfId="190" applyNumberFormat="1" applyBorder="1" applyAlignment="1">
      <alignment vertical="center" wrapText="1"/>
    </xf>
    <xf numFmtId="0" fontId="122" fillId="0" borderId="6" xfId="190" applyNumberFormat="1" applyFont="1" applyFill="1" applyBorder="1" applyAlignment="1">
      <alignment horizontal="left" vertical="center" wrapText="1"/>
    </xf>
    <xf numFmtId="0" fontId="122" fillId="0" borderId="3" xfId="190" applyFont="1" applyFill="1" applyBorder="1" applyAlignment="1">
      <alignment horizontal="left" vertical="center" wrapText="1" indent="2"/>
    </xf>
    <xf numFmtId="0" fontId="122" fillId="0" borderId="6" xfId="190" applyNumberFormat="1" applyFont="1" applyFill="1" applyBorder="1" applyAlignment="1">
      <alignment horizontal="left" vertical="center" wrapText="1" indent="2"/>
    </xf>
    <xf numFmtId="0" fontId="1" fillId="0" borderId="24" xfId="190" applyNumberFormat="1" applyFont="1" applyFill="1" applyBorder="1" applyAlignment="1">
      <alignment horizontal="left" vertical="center" wrapText="1" indent="2"/>
    </xf>
    <xf numFmtId="0" fontId="119" fillId="0" borderId="3" xfId="190" applyBorder="1" applyAlignment="1">
      <alignment horizontal="left" vertical="center" wrapText="1" indent="2"/>
    </xf>
    <xf numFmtId="0" fontId="119" fillId="0" borderId="6" xfId="190" applyBorder="1" applyAlignment="1">
      <alignment horizontal="left" vertical="center" wrapText="1" indent="2"/>
    </xf>
    <xf numFmtId="0" fontId="119" fillId="0" borderId="14" xfId="190" applyBorder="1" applyAlignment="1">
      <alignment horizontal="left" vertical="center" wrapText="1" indent="2"/>
    </xf>
    <xf numFmtId="0" fontId="119" fillId="0" borderId="4" xfId="190" applyBorder="1" applyAlignment="1">
      <alignment horizontal="left" vertical="center" wrapText="1" indent="2"/>
    </xf>
    <xf numFmtId="0" fontId="119" fillId="0" borderId="24" xfId="190" applyBorder="1" applyAlignment="1">
      <alignment horizontal="left" vertical="center" wrapText="1" indent="2"/>
    </xf>
    <xf numFmtId="0" fontId="119" fillId="0" borderId="36" xfId="190" applyBorder="1" applyAlignment="1">
      <alignment vertical="center" wrapText="1"/>
    </xf>
    <xf numFmtId="9" fontId="13" fillId="0" borderId="38" xfId="191" applyFont="1" applyBorder="1" applyAlignment="1">
      <alignment horizontal="center" vertical="center" wrapText="1"/>
    </xf>
    <xf numFmtId="9" fontId="20" fillId="0" borderId="16" xfId="191" applyFont="1" applyBorder="1" applyAlignment="1">
      <alignment horizontal="center" vertical="center" wrapText="1"/>
    </xf>
    <xf numFmtId="0" fontId="68" fillId="0" borderId="44" xfId="190" applyFont="1" applyBorder="1" applyAlignment="1">
      <alignment horizontal="left" vertical="center" wrapText="1"/>
    </xf>
    <xf numFmtId="0" fontId="68" fillId="0" borderId="111" xfId="190" applyFont="1" applyBorder="1" applyAlignment="1">
      <alignment horizontal="left" vertical="center" wrapText="1"/>
    </xf>
    <xf numFmtId="0" fontId="68" fillId="0" borderId="115" xfId="190" applyFont="1" applyBorder="1" applyAlignment="1">
      <alignment horizontal="left" vertical="center" wrapText="1"/>
    </xf>
    <xf numFmtId="0" fontId="68" fillId="0" borderId="31" xfId="190" applyFont="1" applyBorder="1" applyAlignment="1">
      <alignment horizontal="left" vertical="center" wrapText="1"/>
    </xf>
    <xf numFmtId="0" fontId="68" fillId="0" borderId="21" xfId="190" applyFont="1" applyBorder="1" applyAlignment="1">
      <alignment horizontal="left" vertical="center" wrapText="1"/>
    </xf>
    <xf numFmtId="0" fontId="68" fillId="0" borderId="23" xfId="190" applyFont="1" applyBorder="1" applyAlignment="1">
      <alignment horizontal="left" vertical="center" wrapText="1"/>
    </xf>
    <xf numFmtId="0" fontId="68" fillId="0" borderId="25" xfId="190" applyFont="1" applyBorder="1" applyAlignment="1">
      <alignment horizontal="left" vertical="center" wrapText="1"/>
    </xf>
    <xf numFmtId="0" fontId="68" fillId="0" borderId="27" xfId="190" applyFont="1" applyBorder="1" applyAlignment="1">
      <alignment horizontal="left" vertical="center" wrapText="1"/>
    </xf>
    <xf numFmtId="0" fontId="68" fillId="0" borderId="40" xfId="190" applyFont="1" applyBorder="1" applyAlignment="1">
      <alignment horizontal="left" vertical="center" wrapText="1"/>
    </xf>
    <xf numFmtId="0" fontId="68" fillId="0" borderId="42" xfId="190" applyFont="1" applyBorder="1" applyAlignment="1">
      <alignment horizontal="left" vertical="center" wrapText="1"/>
    </xf>
    <xf numFmtId="0" fontId="117" fillId="0" borderId="0" xfId="187"/>
    <xf numFmtId="0" fontId="119" fillId="0" borderId="16" xfId="190" applyBorder="1"/>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72" fontId="20" fillId="0" borderId="17" xfId="190" applyNumberFormat="1" applyFont="1" applyBorder="1"/>
    <xf numFmtId="172" fontId="20" fillId="0" borderId="19" xfId="190" applyNumberFormat="1" applyFont="1" applyBorder="1"/>
    <xf numFmtId="0" fontId="119" fillId="0" borderId="47" xfId="190" applyBorder="1"/>
    <xf numFmtId="0" fontId="20" fillId="0" borderId="45" xfId="190" applyFont="1" applyBorder="1" applyAlignment="1">
      <alignment horizontal="center"/>
    </xf>
    <xf numFmtId="0" fontId="119" fillId="0" borderId="21" xfId="190" applyBorder="1" applyAlignment="1">
      <alignment horizontal="left" vertical="center" wrapText="1"/>
    </xf>
    <xf numFmtId="0" fontId="119" fillId="0" borderId="28" xfId="190" applyBorder="1" applyAlignment="1">
      <alignment horizontal="left" vertical="center" wrapText="1"/>
    </xf>
    <xf numFmtId="0" fontId="119" fillId="0" borderId="44" xfId="190" applyBorder="1" applyAlignment="1">
      <alignment horizontal="left" vertical="center" wrapText="1"/>
    </xf>
    <xf numFmtId="0" fontId="20" fillId="0" borderId="47" xfId="190" applyFont="1" applyBorder="1" applyAlignment="1">
      <alignment horizontal="center"/>
    </xf>
    <xf numFmtId="0" fontId="20" fillId="0" borderId="101" xfId="190" applyFont="1" applyBorder="1" applyAlignment="1">
      <alignment horizontal="center"/>
    </xf>
    <xf numFmtId="0" fontId="20" fillId="0" borderId="0" xfId="190" applyFont="1" applyBorder="1"/>
    <xf numFmtId="0" fontId="20" fillId="0" borderId="0" xfId="190" applyFont="1" applyBorder="1" applyAlignment="1">
      <alignment horizontal="center"/>
    </xf>
    <xf numFmtId="0" fontId="119" fillId="0" borderId="19" xfId="190" applyBorder="1" applyAlignment="1">
      <alignment horizontal="left" vertical="center" wrapText="1"/>
    </xf>
    <xf numFmtId="0" fontId="119" fillId="0" borderId="106" xfId="190" applyBorder="1" applyAlignment="1">
      <alignment horizontal="left" vertical="center" wrapText="1"/>
    </xf>
    <xf numFmtId="0" fontId="20" fillId="0" borderId="114" xfId="190" applyFont="1" applyBorder="1" applyAlignment="1">
      <alignment horizontal="center"/>
    </xf>
    <xf numFmtId="0" fontId="119" fillId="0" borderId="103" xfId="190" applyBorder="1" applyAlignment="1">
      <alignment horizontal="left" vertical="center" wrapText="1"/>
    </xf>
    <xf numFmtId="0" fontId="20" fillId="0" borderId="1" xfId="190" applyFont="1" applyBorder="1" applyAlignment="1">
      <alignment vertical="center"/>
    </xf>
    <xf numFmtId="165" fontId="20" fillId="0" borderId="17" xfId="190" applyNumberFormat="1" applyFont="1" applyBorder="1" applyAlignment="1">
      <alignment horizontal="center" vertical="center"/>
    </xf>
    <xf numFmtId="165" fontId="20" fillId="0" borderId="19" xfId="190" applyNumberFormat="1" applyFont="1" applyBorder="1" applyAlignment="1">
      <alignment horizontal="center" vertical="center"/>
    </xf>
    <xf numFmtId="172" fontId="20" fillId="0" borderId="17" xfId="190" applyNumberFormat="1" applyFont="1" applyBorder="1" applyAlignment="1">
      <alignment horizontal="center" vertical="center"/>
    </xf>
    <xf numFmtId="172" fontId="20" fillId="0" borderId="19" xfId="190" applyNumberFormat="1" applyFont="1" applyBorder="1" applyAlignment="1">
      <alignment horizontal="center" vertical="center"/>
    </xf>
    <xf numFmtId="188" fontId="20" fillId="0" borderId="17" xfId="190" applyNumberFormat="1" applyFont="1" applyBorder="1" applyAlignment="1">
      <alignment vertical="center"/>
    </xf>
    <xf numFmtId="188" fontId="20" fillId="0" borderId="18" xfId="190" applyNumberFormat="1" applyFont="1" applyBorder="1" applyAlignment="1">
      <alignment vertical="center"/>
    </xf>
    <xf numFmtId="9" fontId="20" fillId="0" borderId="17" xfId="191" applyFont="1" applyBorder="1" applyAlignment="1">
      <alignment horizontal="center" vertical="center"/>
    </xf>
    <xf numFmtId="9" fontId="20" fillId="0" borderId="19" xfId="191" applyFont="1" applyBorder="1" applyAlignment="1">
      <alignment horizontal="center" vertical="center"/>
    </xf>
    <xf numFmtId="0" fontId="122" fillId="0" borderId="3" xfId="190" applyFont="1" applyFill="1" applyBorder="1" applyAlignment="1">
      <alignment horizontal="left" vertical="center"/>
    </xf>
    <xf numFmtId="165" fontId="119" fillId="0" borderId="109" xfId="190" applyNumberFormat="1" applyBorder="1" applyAlignment="1">
      <alignment vertical="center"/>
    </xf>
    <xf numFmtId="165" fontId="119" fillId="0" borderId="113" xfId="190" applyNumberFormat="1" applyBorder="1" applyAlignment="1">
      <alignment vertical="center"/>
    </xf>
    <xf numFmtId="172" fontId="119" fillId="0" borderId="109" xfId="190" applyNumberFormat="1" applyBorder="1" applyAlignment="1">
      <alignment vertical="center"/>
    </xf>
    <xf numFmtId="3" fontId="119" fillId="0" borderId="113" xfId="190" applyNumberFormat="1" applyBorder="1" applyAlignment="1">
      <alignment vertical="center"/>
    </xf>
    <xf numFmtId="188" fontId="119" fillId="0" borderId="109" xfId="190" applyNumberFormat="1" applyBorder="1" applyAlignment="1">
      <alignment vertical="center"/>
    </xf>
    <xf numFmtId="188" fontId="119" fillId="0" borderId="110" xfId="190" applyNumberFormat="1" applyBorder="1" applyAlignment="1">
      <alignment vertical="center"/>
    </xf>
    <xf numFmtId="9" fontId="119" fillId="0" borderId="109" xfId="191" applyFont="1" applyBorder="1" applyAlignment="1">
      <alignment horizontal="center" vertical="center"/>
    </xf>
    <xf numFmtId="9" fontId="119" fillId="0" borderId="113" xfId="191" applyFont="1" applyBorder="1" applyAlignment="1">
      <alignment horizontal="center" vertical="center"/>
    </xf>
    <xf numFmtId="0" fontId="122" fillId="0" borderId="6" xfId="190" applyNumberFormat="1" applyFont="1" applyFill="1" applyBorder="1" applyAlignment="1">
      <alignment horizontal="left" vertical="center"/>
    </xf>
    <xf numFmtId="165" fontId="119" fillId="0" borderId="64" xfId="190" applyNumberFormat="1" applyBorder="1" applyAlignment="1">
      <alignment vertical="center"/>
    </xf>
    <xf numFmtId="165" fontId="119" fillId="0" borderId="103" xfId="190" applyNumberFormat="1" applyBorder="1" applyAlignment="1">
      <alignment vertical="center"/>
    </xf>
    <xf numFmtId="172" fontId="119" fillId="0" borderId="64" xfId="190" applyNumberFormat="1" applyBorder="1" applyAlignment="1">
      <alignment vertical="center"/>
    </xf>
    <xf numFmtId="0" fontId="119" fillId="0" borderId="103" xfId="190" applyBorder="1" applyAlignment="1">
      <alignment vertical="center"/>
    </xf>
    <xf numFmtId="188" fontId="119" fillId="0" borderId="64" xfId="190" applyNumberFormat="1" applyBorder="1" applyAlignment="1">
      <alignment vertical="center"/>
    </xf>
    <xf numFmtId="188" fontId="119" fillId="0" borderId="10" xfId="190" applyNumberFormat="1" applyBorder="1" applyAlignment="1">
      <alignment vertical="center"/>
    </xf>
    <xf numFmtId="9" fontId="119" fillId="0" borderId="64" xfId="191" applyFont="1" applyBorder="1" applyAlignment="1">
      <alignment horizontal="center" vertical="center"/>
    </xf>
    <xf numFmtId="9" fontId="119" fillId="0" borderId="103" xfId="191" applyFont="1" applyBorder="1" applyAlignment="1">
      <alignment horizontal="center" vertical="center"/>
    </xf>
    <xf numFmtId="3" fontId="119" fillId="0" borderId="103" xfId="190" applyNumberFormat="1" applyBorder="1" applyAlignment="1">
      <alignment vertical="center"/>
    </xf>
    <xf numFmtId="0" fontId="122" fillId="0" borderId="14" xfId="190" applyNumberFormat="1" applyFont="1" applyFill="1" applyBorder="1" applyAlignment="1">
      <alignment horizontal="left" vertical="center"/>
    </xf>
    <xf numFmtId="165" fontId="119" fillId="0" borderId="47" xfId="190" applyNumberFormat="1" applyBorder="1" applyAlignment="1">
      <alignment vertical="center"/>
    </xf>
    <xf numFmtId="165" fontId="119" fillId="0" borderId="101" xfId="190" applyNumberFormat="1" applyBorder="1" applyAlignment="1">
      <alignment vertical="center"/>
    </xf>
    <xf numFmtId="172" fontId="119" fillId="0" borderId="47" xfId="190" applyNumberFormat="1" applyBorder="1" applyAlignment="1">
      <alignment vertical="center"/>
    </xf>
    <xf numFmtId="3" fontId="119" fillId="0" borderId="101" xfId="190" applyNumberFormat="1" applyBorder="1" applyAlignment="1">
      <alignment vertical="center"/>
    </xf>
    <xf numFmtId="188" fontId="119" fillId="0" borderId="47" xfId="190" applyNumberFormat="1" applyBorder="1" applyAlignment="1">
      <alignment vertical="center"/>
    </xf>
    <xf numFmtId="188" fontId="119" fillId="0" borderId="0" xfId="190" applyNumberFormat="1" applyBorder="1" applyAlignment="1">
      <alignment vertical="center"/>
    </xf>
    <xf numFmtId="9" fontId="119" fillId="0" borderId="47" xfId="191" applyFont="1" applyBorder="1" applyAlignment="1">
      <alignment horizontal="center" vertical="center"/>
    </xf>
    <xf numFmtId="9" fontId="119" fillId="0" borderId="101" xfId="191" applyFont="1" applyBorder="1" applyAlignment="1">
      <alignment horizontal="center" vertical="center"/>
    </xf>
    <xf numFmtId="0" fontId="121" fillId="0" borderId="1" xfId="190" applyNumberFormat="1" applyFont="1" applyFill="1" applyBorder="1" applyAlignment="1">
      <alignment horizontal="left" vertical="center"/>
    </xf>
    <xf numFmtId="165" fontId="120" fillId="0" borderId="17" xfId="190" applyNumberFormat="1" applyFont="1" applyBorder="1" applyAlignment="1">
      <alignment horizontal="center" vertical="center"/>
    </xf>
    <xf numFmtId="165" fontId="20" fillId="0" borderId="18" xfId="190" applyNumberFormat="1" applyFont="1" applyBorder="1" applyAlignment="1">
      <alignment horizontal="center" vertical="center"/>
    </xf>
    <xf numFmtId="172" fontId="20" fillId="0" borderId="18" xfId="190" applyNumberFormat="1" applyFont="1" applyBorder="1" applyAlignment="1">
      <alignment horizontal="center" vertical="center"/>
    </xf>
    <xf numFmtId="188" fontId="120" fillId="0" borderId="17" xfId="190" applyNumberFormat="1" applyFont="1" applyBorder="1" applyAlignment="1">
      <alignment vertical="center"/>
    </xf>
    <xf numFmtId="188" fontId="120" fillId="0" borderId="18" xfId="190" applyNumberFormat="1" applyFont="1" applyBorder="1" applyAlignment="1">
      <alignment vertical="center"/>
    </xf>
    <xf numFmtId="0" fontId="122" fillId="0" borderId="4" xfId="190" applyFont="1" applyFill="1" applyBorder="1" applyAlignment="1">
      <alignment horizontal="left" vertical="center"/>
    </xf>
    <xf numFmtId="165" fontId="119" fillId="0" borderId="70" xfId="190" applyNumberFormat="1" applyBorder="1" applyAlignment="1">
      <alignment vertical="center"/>
    </xf>
    <xf numFmtId="165" fontId="119" fillId="0" borderId="106" xfId="190" applyNumberFormat="1" applyBorder="1" applyAlignment="1">
      <alignment vertical="center"/>
    </xf>
    <xf numFmtId="165" fontId="13" fillId="0" borderId="106" xfId="190" applyNumberFormat="1" applyFont="1" applyBorder="1" applyAlignment="1">
      <alignment horizontal="center" vertical="center"/>
    </xf>
    <xf numFmtId="172" fontId="119" fillId="0" borderId="70" xfId="190" applyNumberFormat="1" applyBorder="1" applyAlignment="1">
      <alignment vertical="center"/>
    </xf>
    <xf numFmtId="3" fontId="119" fillId="0" borderId="106" xfId="190" applyNumberFormat="1" applyBorder="1" applyAlignment="1">
      <alignment vertical="center"/>
    </xf>
    <xf numFmtId="188" fontId="119" fillId="0" borderId="70" xfId="190" applyNumberFormat="1" applyBorder="1" applyAlignment="1">
      <alignment vertical="center"/>
    </xf>
    <xf numFmtId="188" fontId="119" fillId="0" borderId="2" xfId="190" applyNumberFormat="1" applyBorder="1" applyAlignment="1">
      <alignment vertical="center"/>
    </xf>
    <xf numFmtId="9" fontId="119" fillId="0" borderId="70" xfId="191" applyFont="1" applyBorder="1" applyAlignment="1">
      <alignment horizontal="center" vertical="center"/>
    </xf>
    <xf numFmtId="9" fontId="119" fillId="0" borderId="106" xfId="191" applyFont="1" applyBorder="1" applyAlignment="1">
      <alignment horizontal="center" vertical="center"/>
    </xf>
    <xf numFmtId="0" fontId="122" fillId="0" borderId="6" xfId="190" applyFont="1" applyFill="1" applyBorder="1" applyAlignment="1">
      <alignment horizontal="left" vertical="center"/>
    </xf>
    <xf numFmtId="0" fontId="122" fillId="0" borderId="24" xfId="190" applyNumberFormat="1" applyFont="1" applyFill="1" applyBorder="1" applyAlignment="1">
      <alignment horizontal="left" vertical="center"/>
    </xf>
    <xf numFmtId="165" fontId="119" fillId="0" borderId="38" xfId="190" applyNumberFormat="1" applyBorder="1" applyAlignment="1">
      <alignment vertical="center"/>
    </xf>
    <xf numFmtId="165" fontId="119" fillId="0" borderId="49" xfId="190" applyNumberFormat="1" applyBorder="1" applyAlignment="1">
      <alignment vertical="center"/>
    </xf>
    <xf numFmtId="172" fontId="119" fillId="0" borderId="38" xfId="190" applyNumberFormat="1" applyBorder="1" applyAlignment="1">
      <alignment vertical="center"/>
    </xf>
    <xf numFmtId="3" fontId="119" fillId="0" borderId="49" xfId="190" applyNumberFormat="1" applyBorder="1" applyAlignment="1">
      <alignment vertical="center"/>
    </xf>
    <xf numFmtId="188" fontId="119" fillId="0" borderId="38" xfId="190" applyNumberFormat="1" applyBorder="1" applyAlignment="1">
      <alignment vertical="center"/>
    </xf>
    <xf numFmtId="188" fontId="119" fillId="0" borderId="16" xfId="190" applyNumberFormat="1" applyBorder="1" applyAlignment="1">
      <alignment vertical="center"/>
    </xf>
    <xf numFmtId="9" fontId="119" fillId="0" borderId="38" xfId="191" applyFont="1" applyBorder="1" applyAlignment="1">
      <alignment horizontal="center" vertical="center"/>
    </xf>
    <xf numFmtId="9" fontId="119" fillId="0" borderId="49" xfId="191" applyFont="1" applyBorder="1" applyAlignment="1">
      <alignment horizontal="center" vertical="center"/>
    </xf>
    <xf numFmtId="0" fontId="119" fillId="0" borderId="1" xfId="190" applyBorder="1" applyAlignment="1">
      <alignment vertical="center"/>
    </xf>
    <xf numFmtId="0" fontId="1" fillId="0" borderId="4" xfId="190" applyNumberFormat="1" applyFont="1" applyFill="1" applyBorder="1" applyAlignment="1">
      <alignment horizontal="left" vertical="center"/>
    </xf>
    <xf numFmtId="0" fontId="1" fillId="0" borderId="6" xfId="190" applyNumberFormat="1" applyFont="1" applyFill="1" applyBorder="1" applyAlignment="1">
      <alignment horizontal="left" vertical="center"/>
    </xf>
    <xf numFmtId="0" fontId="1" fillId="0" borderId="9" xfId="190" applyNumberFormat="1" applyFont="1" applyFill="1" applyBorder="1" applyAlignment="1">
      <alignment horizontal="left" vertical="center"/>
    </xf>
    <xf numFmtId="0" fontId="1" fillId="0" borderId="4" xfId="190" applyFont="1" applyBorder="1" applyAlignment="1">
      <alignment horizontal="left" vertical="center"/>
    </xf>
    <xf numFmtId="0" fontId="1" fillId="0" borderId="6" xfId="190" applyFont="1" applyBorder="1" applyAlignment="1">
      <alignment horizontal="left" vertical="center"/>
    </xf>
    <xf numFmtId="0" fontId="1" fillId="0" borderId="24" xfId="190" applyFont="1" applyBorder="1" applyAlignment="1">
      <alignment horizontal="left" vertical="center"/>
    </xf>
    <xf numFmtId="1" fontId="20" fillId="0" borderId="25" xfId="190" applyNumberFormat="1" applyFont="1" applyBorder="1" applyAlignment="1">
      <alignment horizontal="right"/>
    </xf>
    <xf numFmtId="1" fontId="20" fillId="0" borderId="27" xfId="190" applyNumberFormat="1" applyFont="1" applyBorder="1" applyAlignment="1">
      <alignment horizontal="right"/>
    </xf>
    <xf numFmtId="0" fontId="119" fillId="0" borderId="44" xfId="190" applyBorder="1"/>
    <xf numFmtId="0" fontId="119" fillId="0" borderId="111" xfId="190" applyBorder="1"/>
    <xf numFmtId="165" fontId="119" fillId="0" borderId="44" xfId="190" applyNumberFormat="1" applyBorder="1"/>
    <xf numFmtId="165" fontId="119" fillId="0" borderId="111" xfId="190" applyNumberFormat="1" applyBorder="1"/>
    <xf numFmtId="0" fontId="119" fillId="0" borderId="45" xfId="190" applyBorder="1"/>
    <xf numFmtId="0" fontId="119" fillId="0" borderId="112" xfId="190" applyBorder="1"/>
    <xf numFmtId="0" fontId="119" fillId="0" borderId="28" xfId="190" applyBorder="1"/>
    <xf numFmtId="0" fontId="119" fillId="0" borderId="29" xfId="190" applyBorder="1"/>
    <xf numFmtId="0" fontId="20" fillId="0" borderId="45" xfId="190" applyFont="1" applyBorder="1" applyAlignment="1">
      <alignment horizontal="right"/>
    </xf>
    <xf numFmtId="0" fontId="20" fillId="0" borderId="112" xfId="190" applyFont="1" applyBorder="1" applyAlignment="1">
      <alignment horizontal="right"/>
    </xf>
    <xf numFmtId="0" fontId="119" fillId="0" borderId="40" xfId="190" applyBorder="1"/>
    <xf numFmtId="0" fontId="119" fillId="0" borderId="42" xfId="190" applyBorder="1"/>
    <xf numFmtId="0" fontId="1" fillId="0" borderId="6" xfId="190" applyFont="1" applyFill="1" applyBorder="1" applyAlignment="1" applyProtection="1">
      <alignment horizontal="left" vertical="center"/>
      <protection locked="0"/>
    </xf>
    <xf numFmtId="0" fontId="1" fillId="0" borderId="6" xfId="190" applyNumberFormat="1" applyFont="1" applyFill="1" applyBorder="1" applyAlignment="1" applyProtection="1">
      <alignment horizontal="left" vertical="center"/>
      <protection locked="0"/>
    </xf>
    <xf numFmtId="165" fontId="13" fillId="0" borderId="64" xfId="190" applyNumberFormat="1" applyFont="1" applyBorder="1" applyAlignment="1">
      <alignment horizontal="center" vertical="center"/>
    </xf>
    <xf numFmtId="165" fontId="13" fillId="0" borderId="103" xfId="190" applyNumberFormat="1" applyFont="1" applyBorder="1" applyAlignment="1">
      <alignment horizontal="center" vertical="center"/>
    </xf>
    <xf numFmtId="0" fontId="40" fillId="0" borderId="25" xfId="190" applyFont="1" applyBorder="1" applyAlignment="1">
      <alignment horizontal="left" vertical="center" wrapText="1"/>
    </xf>
    <xf numFmtId="0" fontId="40" fillId="0" borderId="113" xfId="190" applyFont="1" applyBorder="1" applyAlignment="1">
      <alignment horizontal="left" vertical="center" wrapText="1"/>
    </xf>
    <xf numFmtId="0" fontId="40" fillId="0" borderId="28" xfId="190" applyFont="1" applyBorder="1" applyAlignment="1">
      <alignment horizontal="left" vertical="center" wrapText="1"/>
    </xf>
    <xf numFmtId="0" fontId="40" fillId="0" borderId="106" xfId="190" applyFont="1" applyBorder="1" applyAlignment="1">
      <alignment horizontal="left" vertical="center" wrapText="1"/>
    </xf>
    <xf numFmtId="0" fontId="40" fillId="0" borderId="44" xfId="190" applyFont="1" applyBorder="1" applyAlignment="1">
      <alignment horizontal="left" vertical="center" wrapText="1"/>
    </xf>
    <xf numFmtId="0" fontId="40" fillId="0" borderId="103" xfId="190" applyFont="1" applyBorder="1" applyAlignment="1">
      <alignment horizontal="left" vertical="center" wrapText="1"/>
    </xf>
    <xf numFmtId="0" fontId="40" fillId="0" borderId="115" xfId="190" applyFont="1" applyBorder="1" applyAlignment="1">
      <alignment horizontal="left" vertical="center" wrapText="1"/>
    </xf>
    <xf numFmtId="0" fontId="40" fillId="0" borderId="101" xfId="190" applyFont="1" applyBorder="1" applyAlignment="1">
      <alignment horizontal="left" vertical="center" wrapText="1"/>
    </xf>
    <xf numFmtId="0" fontId="13" fillId="0" borderId="40" xfId="190" applyFont="1" applyBorder="1" applyAlignment="1">
      <alignment horizontal="left" vertical="center" wrapText="1"/>
    </xf>
    <xf numFmtId="0" fontId="13" fillId="0" borderId="49" xfId="190" applyFont="1" applyBorder="1" applyAlignment="1">
      <alignment horizontal="left" vertical="center" wrapText="1"/>
    </xf>
    <xf numFmtId="0" fontId="0" fillId="0" borderId="0" xfId="0" applyBorder="1" applyAlignment="1">
      <alignment horizontal="right"/>
    </xf>
    <xf numFmtId="0" fontId="131" fillId="24" borderId="117" xfId="28" applyFont="1" applyFill="1" applyBorder="1" applyAlignment="1">
      <alignment horizontal="center"/>
    </xf>
    <xf numFmtId="0" fontId="131" fillId="24" borderId="1" xfId="28" applyFont="1" applyFill="1" applyBorder="1" applyAlignment="1">
      <alignment horizontal="center"/>
    </xf>
    <xf numFmtId="0" fontId="130" fillId="0" borderId="0" xfId="28" applyFont="1" applyAlignment="1">
      <alignment horizontal="left"/>
    </xf>
    <xf numFmtId="0" fontId="0" fillId="0" borderId="0" xfId="0" applyAlignment="1">
      <alignment wrapText="1"/>
    </xf>
    <xf numFmtId="0" fontId="67" fillId="0" borderId="0" xfId="28"/>
    <xf numFmtId="0" fontId="67" fillId="0" borderId="0" xfId="28" applyFill="1" applyBorder="1"/>
    <xf numFmtId="0" fontId="27" fillId="0" borderId="0" xfId="28" applyFont="1" applyAlignment="1">
      <alignment horizontal="left"/>
    </xf>
    <xf numFmtId="0" fontId="67" fillId="0" borderId="7" xfId="28" applyBorder="1" applyAlignment="1">
      <alignment horizontal="left" indent="2"/>
    </xf>
    <xf numFmtId="169" fontId="67" fillId="0" borderId="13" xfId="28" applyNumberFormat="1" applyBorder="1" applyAlignment="1">
      <alignment horizontal="right"/>
    </xf>
    <xf numFmtId="169" fontId="67" fillId="0" borderId="7" xfId="28" applyNumberFormat="1" applyBorder="1" applyAlignment="1">
      <alignment horizontal="right"/>
    </xf>
    <xf numFmtId="164" fontId="67" fillId="0" borderId="7" xfId="28" applyNumberFormat="1" applyBorder="1" applyAlignment="1">
      <alignment horizontal="left" indent="2"/>
    </xf>
    <xf numFmtId="0" fontId="124" fillId="0" borderId="0" xfId="28" applyFont="1" applyAlignment="1">
      <alignment horizontal="left"/>
    </xf>
    <xf numFmtId="165" fontId="6" fillId="0" borderId="0" xfId="5" applyNumberFormat="1" applyFont="1" applyAlignment="1">
      <alignment horizontal="right" wrapText="1"/>
    </xf>
    <xf numFmtId="165" fontId="6" fillId="0" borderId="0" xfId="5" applyNumberFormat="1" applyFont="1" applyAlignment="1">
      <alignment horizontal="center"/>
    </xf>
    <xf numFmtId="164" fontId="133" fillId="0" borderId="0" xfId="2" applyNumberFormat="1" applyFont="1" applyAlignment="1">
      <alignment horizontal="center"/>
    </xf>
    <xf numFmtId="164" fontId="134" fillId="0" borderId="0" xfId="2" applyNumberFormat="1" applyFont="1" applyAlignment="1">
      <alignment horizontal="center"/>
    </xf>
    <xf numFmtId="164" fontId="0" fillId="0" borderId="0" xfId="0" applyNumberFormat="1" applyAlignment="1">
      <alignment horizontal="left"/>
    </xf>
    <xf numFmtId="165" fontId="6" fillId="0" borderId="0" xfId="1" applyNumberFormat="1" applyFont="1" applyAlignment="1">
      <alignment horizontal="right" wrapText="1"/>
    </xf>
    <xf numFmtId="0" fontId="21" fillId="0" borderId="0" xfId="2" applyFont="1" applyFill="1" applyBorder="1" applyAlignment="1"/>
    <xf numFmtId="0" fontId="48" fillId="0" borderId="0" xfId="3" applyFont="1"/>
    <xf numFmtId="0" fontId="13" fillId="0" borderId="0" xfId="187" applyFont="1" applyFill="1" applyBorder="1"/>
    <xf numFmtId="0" fontId="16" fillId="0" borderId="0" xfId="187" applyFont="1"/>
    <xf numFmtId="165" fontId="16" fillId="0" borderId="0" xfId="189" applyNumberFormat="1" applyFont="1"/>
    <xf numFmtId="165" fontId="16" fillId="0" borderId="0" xfId="189" applyNumberFormat="1" applyFont="1" applyBorder="1"/>
    <xf numFmtId="165" fontId="16" fillId="0" borderId="51" xfId="189" applyNumberFormat="1" applyFont="1" applyFill="1" applyBorder="1"/>
    <xf numFmtId="0" fontId="117" fillId="0" borderId="0" xfId="187"/>
    <xf numFmtId="0" fontId="117" fillId="0" borderId="0" xfId="187" applyBorder="1"/>
    <xf numFmtId="42" fontId="48" fillId="0" borderId="0" xfId="187" applyNumberFormat="1" applyFont="1"/>
    <xf numFmtId="165" fontId="117" fillId="0" borderId="0" xfId="187" applyNumberFormat="1"/>
    <xf numFmtId="0" fontId="117" fillId="0" borderId="0" xfId="187" applyFill="1"/>
    <xf numFmtId="165" fontId="20" fillId="0" borderId="0" xfId="189" applyNumberFormat="1" applyFont="1" applyFill="1"/>
    <xf numFmtId="176" fontId="20" fillId="0" borderId="0" xfId="187" applyNumberFormat="1" applyFont="1" applyFill="1" applyAlignment="1">
      <alignment horizontal="center"/>
    </xf>
    <xf numFmtId="9" fontId="40" fillId="0" borderId="0" xfId="191" applyFont="1" applyFill="1" applyBorder="1"/>
    <xf numFmtId="165" fontId="20" fillId="0" borderId="0" xfId="189" applyNumberFormat="1" applyFont="1" applyFill="1" applyBorder="1"/>
    <xf numFmtId="42" fontId="117" fillId="0" borderId="0" xfId="187" applyNumberFormat="1" applyFill="1"/>
    <xf numFmtId="165" fontId="117" fillId="0" borderId="0" xfId="187" applyNumberFormat="1" applyFill="1"/>
    <xf numFmtId="0" fontId="48" fillId="0" borderId="0" xfId="187" applyFont="1" applyFill="1"/>
    <xf numFmtId="0" fontId="48" fillId="0" borderId="0" xfId="187" applyFont="1" applyFill="1" applyAlignment="1">
      <alignment horizontal="right"/>
    </xf>
    <xf numFmtId="0" fontId="48" fillId="0" borderId="0" xfId="187" applyFont="1" applyAlignment="1">
      <alignment horizontal="right"/>
    </xf>
    <xf numFmtId="0" fontId="48" fillId="0" borderId="0" xfId="187" quotePrefix="1" applyFont="1"/>
    <xf numFmtId="9" fontId="57" fillId="0" borderId="0" xfId="191" applyFont="1" applyFill="1" applyBorder="1"/>
    <xf numFmtId="44" fontId="48" fillId="0" borderId="0" xfId="187" applyNumberFormat="1" applyFont="1" applyAlignment="1">
      <alignment horizontal="right"/>
    </xf>
    <xf numFmtId="165" fontId="117" fillId="0" borderId="0" xfId="189" applyNumberFormat="1" applyFill="1"/>
    <xf numFmtId="165" fontId="117" fillId="0" borderId="0" xfId="189" applyNumberFormat="1"/>
    <xf numFmtId="3" fontId="48" fillId="0" borderId="0" xfId="187" applyNumberFormat="1" applyFont="1" applyAlignment="1">
      <alignment horizontal="right"/>
    </xf>
    <xf numFmtId="166" fontId="48" fillId="0" borderId="0" xfId="187" applyNumberFormat="1" applyFont="1" applyFill="1" applyAlignment="1">
      <alignment horizontal="right"/>
    </xf>
    <xf numFmtId="0" fontId="117" fillId="0" borderId="0" xfId="187" applyAlignment="1">
      <alignment horizontal="right"/>
    </xf>
    <xf numFmtId="0" fontId="117" fillId="0" borderId="51" xfId="187" applyBorder="1"/>
    <xf numFmtId="165" fontId="117" fillId="0" borderId="0" xfId="187" applyNumberFormat="1" applyFont="1"/>
    <xf numFmtId="0" fontId="117" fillId="0" borderId="52" xfId="187" applyBorder="1"/>
    <xf numFmtId="165" fontId="117" fillId="0" borderId="50" xfId="187" applyNumberFormat="1" applyFill="1" applyBorder="1"/>
    <xf numFmtId="165" fontId="117" fillId="0" borderId="32" xfId="187" applyNumberFormat="1" applyFill="1" applyBorder="1"/>
    <xf numFmtId="165" fontId="117" fillId="0" borderId="35" xfId="187" applyNumberFormat="1" applyFill="1" applyBorder="1"/>
    <xf numFmtId="0" fontId="117" fillId="0" borderId="34" xfId="187" applyBorder="1"/>
    <xf numFmtId="165" fontId="117" fillId="0" borderId="0" xfId="189" applyNumberFormat="1" applyFont="1" applyBorder="1" applyAlignment="1">
      <alignment horizontal="right"/>
    </xf>
    <xf numFmtId="165" fontId="117" fillId="0" borderId="53" xfId="189" applyNumberFormat="1" applyFont="1" applyBorder="1" applyAlignment="1">
      <alignment horizontal="right"/>
    </xf>
    <xf numFmtId="165" fontId="117" fillId="0" borderId="2" xfId="189" applyNumberFormat="1" applyFont="1" applyBorder="1" applyAlignment="1">
      <alignment horizontal="right"/>
    </xf>
    <xf numFmtId="165" fontId="0" fillId="0" borderId="84" xfId="1" applyNumberFormat="1" applyFont="1" applyFill="1" applyBorder="1" applyProtection="1"/>
    <xf numFmtId="3" fontId="0" fillId="0" borderId="16" xfId="0" applyNumberFormat="1" applyFill="1" applyBorder="1"/>
    <xf numFmtId="0" fontId="28" fillId="0" borderId="0" xfId="0" applyFont="1" applyFill="1" applyAlignment="1">
      <alignment horizontal="right"/>
    </xf>
    <xf numFmtId="169" fontId="37" fillId="0" borderId="0" xfId="10" applyNumberFormat="1" applyFill="1" applyAlignment="1" applyProtection="1">
      <alignment horizontal="right"/>
    </xf>
    <xf numFmtId="169" fontId="29" fillId="0" borderId="0" xfId="0" applyNumberFormat="1" applyFont="1" applyFill="1" applyAlignment="1">
      <alignment horizontal="right"/>
    </xf>
    <xf numFmtId="0" fontId="29" fillId="0" borderId="0" xfId="0" applyFont="1" applyFill="1"/>
    <xf numFmtId="3" fontId="29" fillId="0" borderId="0" xfId="0" applyNumberFormat="1" applyFont="1" applyFill="1" applyAlignment="1">
      <alignment horizontal="right"/>
    </xf>
    <xf numFmtId="169" fontId="28" fillId="0" borderId="0" xfId="0" applyNumberFormat="1" applyFont="1" applyFill="1" applyAlignment="1">
      <alignment horizontal="right"/>
    </xf>
    <xf numFmtId="174" fontId="29" fillId="0" borderId="0" xfId="7" applyNumberFormat="1" applyFont="1" applyBorder="1"/>
    <xf numFmtId="174" fontId="30" fillId="0" borderId="0" xfId="7" applyNumberFormat="1" applyFont="1" applyBorder="1"/>
    <xf numFmtId="0" fontId="29" fillId="0" borderId="0" xfId="0" applyFont="1" applyBorder="1"/>
    <xf numFmtId="175" fontId="0" fillId="0" borderId="0" xfId="0" applyNumberFormat="1" applyBorder="1"/>
    <xf numFmtId="0" fontId="0" fillId="11" borderId="0" xfId="0" applyFill="1" applyBorder="1"/>
    <xf numFmtId="174" fontId="29" fillId="0" borderId="12" xfId="7" applyNumberFormat="1" applyFont="1" applyBorder="1"/>
    <xf numFmtId="0" fontId="29" fillId="0" borderId="12" xfId="0" applyFont="1" applyBorder="1"/>
    <xf numFmtId="0" fontId="0" fillId="0" borderId="12" xfId="0" applyBorder="1"/>
    <xf numFmtId="175" fontId="0" fillId="0" borderId="32" xfId="0" applyNumberFormat="1" applyBorder="1"/>
    <xf numFmtId="0" fontId="0" fillId="11" borderId="50" xfId="0" applyFill="1" applyBorder="1"/>
    <xf numFmtId="0" fontId="0" fillId="11" borderId="52" xfId="0" applyFill="1" applyBorder="1"/>
    <xf numFmtId="44" fontId="0" fillId="0" borderId="0" xfId="0" applyNumberFormat="1"/>
    <xf numFmtId="44" fontId="30" fillId="0" borderId="34" xfId="1" applyNumberFormat="1" applyFont="1" applyBorder="1"/>
    <xf numFmtId="164" fontId="0" fillId="0" borderId="0" xfId="0" applyNumberFormat="1" applyBorder="1"/>
    <xf numFmtId="7" fontId="30" fillId="0" borderId="0" xfId="1" applyNumberFormat="1" applyFont="1" applyBorder="1"/>
    <xf numFmtId="7" fontId="30" fillId="0" borderId="34" xfId="1" applyNumberFormat="1" applyFont="1" applyBorder="1"/>
    <xf numFmtId="7" fontId="0" fillId="0" borderId="0" xfId="0" applyNumberFormat="1"/>
    <xf numFmtId="44" fontId="67" fillId="0" borderId="13" xfId="1" applyFont="1" applyBorder="1"/>
    <xf numFmtId="44" fontId="0" fillId="0" borderId="0" xfId="1" applyFont="1"/>
    <xf numFmtId="168" fontId="0" fillId="0" borderId="0" xfId="0" applyNumberFormat="1"/>
    <xf numFmtId="0" fontId="67" fillId="0" borderId="0" xfId="28"/>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0" xfId="28" applyNumberFormat="1"/>
    <xf numFmtId="2" fontId="34" fillId="0" borderId="12"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0" fontId="30" fillId="0" borderId="7" xfId="28" applyFont="1" applyBorder="1"/>
    <xf numFmtId="0" fontId="38" fillId="0" borderId="7" xfId="28" applyFont="1" applyBorder="1"/>
    <xf numFmtId="9" fontId="30" fillId="0" borderId="13" xfId="11" applyFont="1" applyBorder="1"/>
    <xf numFmtId="169" fontId="67" fillId="2" borderId="13" xfId="28" applyNumberFormat="1" applyFill="1" applyBorder="1"/>
    <xf numFmtId="0" fontId="67" fillId="2" borderId="13" xfId="28" applyFill="1" applyBorder="1"/>
    <xf numFmtId="164" fontId="30" fillId="0" borderId="13" xfId="11" applyNumberFormat="1" applyFont="1" applyBorder="1"/>
    <xf numFmtId="0" fontId="67" fillId="2" borderId="7" xfId="28" applyFill="1" applyBorder="1" applyAlignment="1">
      <alignment horizontal="right"/>
    </xf>
    <xf numFmtId="169" fontId="67" fillId="0" borderId="13" xfId="28" applyNumberFormat="1" applyFill="1" applyBorder="1"/>
    <xf numFmtId="0" fontId="32" fillId="0" borderId="7" xfId="28" applyFont="1" applyBorder="1" applyAlignment="1">
      <alignment horizontal="right"/>
    </xf>
    <xf numFmtId="0" fontId="32" fillId="0" borderId="7" xfId="28" applyFont="1" applyBorder="1"/>
    <xf numFmtId="0" fontId="67" fillId="0" borderId="13" xfId="28" applyFill="1" applyBorder="1"/>
    <xf numFmtId="9" fontId="67" fillId="0" borderId="0" xfId="28" applyNumberFormat="1"/>
    <xf numFmtId="0" fontId="67" fillId="0" borderId="7" xfId="28" applyFill="1" applyBorder="1" applyAlignment="1">
      <alignment horizontal="right"/>
    </xf>
    <xf numFmtId="0" fontId="67" fillId="11" borderId="8" xfId="28" applyFill="1" applyBorder="1"/>
    <xf numFmtId="0" fontId="67" fillId="11" borderId="10" xfId="28" applyFill="1" applyBorder="1"/>
    <xf numFmtId="0" fontId="67" fillId="11" borderId="5" xfId="28" applyFill="1" applyBorder="1"/>
    <xf numFmtId="0" fontId="67" fillId="11" borderId="5" xfId="28" applyFill="1" applyBorder="1" applyAlignment="1">
      <alignment horizontal="center"/>
    </xf>
    <xf numFmtId="170" fontId="67" fillId="0" borderId="35" xfId="28" applyNumberFormat="1" applyBorder="1"/>
    <xf numFmtId="0" fontId="32" fillId="11" borderId="8" xfId="28" applyFont="1" applyFill="1" applyBorder="1"/>
    <xf numFmtId="0" fontId="32" fillId="11" borderId="10" xfId="28" applyFont="1" applyFill="1" applyBorder="1"/>
    <xf numFmtId="0" fontId="32" fillId="11" borderId="5" xfId="28" applyFont="1" applyFill="1" applyBorder="1"/>
    <xf numFmtId="0" fontId="67" fillId="0" borderId="13" xfId="28" applyBorder="1"/>
    <xf numFmtId="0" fontId="29" fillId="0" borderId="13" xfId="28" applyFont="1" applyBorder="1"/>
    <xf numFmtId="168" fontId="30" fillId="0" borderId="13" xfId="30" applyNumberFormat="1" applyFont="1" applyBorder="1"/>
    <xf numFmtId="168" fontId="29" fillId="0" borderId="13" xfId="30" applyNumberFormat="1" applyFont="1" applyBorder="1"/>
    <xf numFmtId="169" fontId="67" fillId="0" borderId="13" xfId="28" applyNumberFormat="1" applyBorder="1" applyAlignment="1">
      <alignment horizontal="right"/>
    </xf>
    <xf numFmtId="169" fontId="67" fillId="0" borderId="7"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Fill="1" applyBorder="1"/>
    <xf numFmtId="0" fontId="67" fillId="0" borderId="7" xfId="28" applyFill="1" applyBorder="1"/>
    <xf numFmtId="169" fontId="38" fillId="0" borderId="13" xfId="28" applyNumberFormat="1" applyFont="1" applyBorder="1"/>
    <xf numFmtId="0" fontId="67" fillId="0" borderId="7" xfId="28" applyNumberFormat="1" applyBorder="1"/>
    <xf numFmtId="1" fontId="67" fillId="0" borderId="13" xfId="28" applyNumberFormat="1" applyFill="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0" fontId="38" fillId="0" borderId="7" xfId="28" applyFont="1" applyBorder="1"/>
    <xf numFmtId="9" fontId="30" fillId="0" borderId="13" xfId="11" applyFont="1" applyBorder="1"/>
    <xf numFmtId="0" fontId="67" fillId="0" borderId="7" xfId="28" applyFill="1" applyBorder="1"/>
    <xf numFmtId="169" fontId="67" fillId="0" borderId="13" xfId="28" applyNumberFormat="1" applyFill="1" applyBorder="1"/>
    <xf numFmtId="169" fontId="32" fillId="0" borderId="13" xfId="28" applyNumberFormat="1" applyFont="1" applyBorder="1"/>
    <xf numFmtId="0" fontId="32" fillId="0" borderId="7" xfId="28" applyFont="1" applyBorder="1" applyAlignment="1">
      <alignment horizontal="right"/>
    </xf>
    <xf numFmtId="0" fontId="32" fillId="0" borderId="13" xfId="28" applyFont="1" applyBorder="1"/>
    <xf numFmtId="0" fontId="32" fillId="0" borderId="7" xfId="28" applyFont="1" applyBorder="1"/>
    <xf numFmtId="0" fontId="33" fillId="0" borderId="7" xfId="28" applyFont="1" applyBorder="1"/>
    <xf numFmtId="0" fontId="33" fillId="0" borderId="7" xfId="28" applyFont="1" applyBorder="1" applyAlignment="1">
      <alignment horizontal="right"/>
    </xf>
    <xf numFmtId="169" fontId="33" fillId="0" borderId="13" xfId="28" applyNumberFormat="1" applyFont="1" applyBorder="1"/>
    <xf numFmtId="9" fontId="33" fillId="0" borderId="13" xfId="11" applyFont="1" applyBorder="1"/>
    <xf numFmtId="0" fontId="33" fillId="0" borderId="13" xfId="28" applyFont="1" applyBorder="1"/>
    <xf numFmtId="0" fontId="41" fillId="0" borderId="7" xfId="28" applyFont="1" applyBorder="1"/>
    <xf numFmtId="0" fontId="41" fillId="0" borderId="7" xfId="28" applyFont="1" applyBorder="1" applyAlignment="1">
      <alignment horizontal="right"/>
    </xf>
    <xf numFmtId="169" fontId="41" fillId="0" borderId="13" xfId="28" applyNumberFormat="1" applyFont="1" applyBorder="1"/>
    <xf numFmtId="9" fontId="41" fillId="0" borderId="13" xfId="11" applyFont="1" applyBorder="1"/>
    <xf numFmtId="0" fontId="41" fillId="0" borderId="13" xfId="28" applyFont="1" applyBorder="1"/>
    <xf numFmtId="0" fontId="38" fillId="0" borderId="7" xfId="28" applyFont="1" applyBorder="1" applyAlignment="1">
      <alignment horizontal="right"/>
    </xf>
    <xf numFmtId="169" fontId="38" fillId="0" borderId="13" xfId="28" applyNumberFormat="1" applyFont="1" applyBorder="1"/>
    <xf numFmtId="0" fontId="38" fillId="0" borderId="13" xfId="28" applyFont="1" applyBorder="1"/>
    <xf numFmtId="2" fontId="28" fillId="0" borderId="13" xfId="28" applyNumberFormat="1" applyFont="1" applyBorder="1" applyAlignment="1">
      <alignment horizontal="center"/>
    </xf>
    <xf numFmtId="164" fontId="41" fillId="0" borderId="13" xfId="28" applyNumberFormat="1" applyFont="1" applyBorder="1"/>
    <xf numFmtId="171" fontId="41" fillId="0" borderId="13" xfId="28" applyNumberFormat="1" applyFont="1" applyBorder="1"/>
    <xf numFmtId="164" fontId="38" fillId="0" borderId="13" xfId="28" applyNumberFormat="1" applyFont="1" applyBorder="1"/>
    <xf numFmtId="171" fontId="38" fillId="0" borderId="13" xfId="28" applyNumberFormat="1" applyFont="1" applyBorder="1"/>
    <xf numFmtId="9" fontId="38" fillId="0" borderId="13" xfId="11" applyFont="1" applyBorder="1"/>
    <xf numFmtId="0" fontId="32" fillId="0" borderId="7" xfId="28" applyFont="1" applyFill="1" applyBorder="1" applyAlignment="1">
      <alignment horizontal="right"/>
    </xf>
    <xf numFmtId="169" fontId="32" fillId="0" borderId="13" xfId="28" applyNumberFormat="1" applyFont="1" applyFill="1" applyBorder="1"/>
    <xf numFmtId="9" fontId="32" fillId="0" borderId="13" xfId="11" applyFont="1" applyBorder="1"/>
    <xf numFmtId="0" fontId="32" fillId="0" borderId="7" xfId="28" applyFont="1" applyFill="1" applyBorder="1"/>
    <xf numFmtId="9" fontId="32" fillId="0" borderId="13" xfId="11" applyFont="1" applyFill="1" applyBorder="1"/>
    <xf numFmtId="0" fontId="32" fillId="0" borderId="13" xfId="28" applyFont="1" applyFill="1" applyBorder="1"/>
    <xf numFmtId="9" fontId="32" fillId="0" borderId="13" xfId="1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0" fontId="67" fillId="0" borderId="7" xfId="28" applyBorder="1" applyAlignment="1">
      <alignment horizontal="right"/>
    </xf>
    <xf numFmtId="164" fontId="67" fillId="0" borderId="13" xfId="28" applyNumberFormat="1" applyBorder="1"/>
    <xf numFmtId="9" fontId="30" fillId="0" borderId="13" xfId="11" applyFont="1" applyBorder="1"/>
    <xf numFmtId="169" fontId="67" fillId="2" borderId="13" xfId="28" applyNumberFormat="1" applyFill="1" applyBorder="1"/>
    <xf numFmtId="169" fontId="67" fillId="0" borderId="13" xfId="28" applyNumberFormat="1" applyFill="1" applyBorder="1"/>
    <xf numFmtId="0" fontId="32" fillId="0" borderId="7" xfId="28" applyFont="1" applyBorder="1"/>
    <xf numFmtId="0" fontId="67" fillId="0" borderId="13" xfId="28" applyFill="1" applyBorder="1"/>
    <xf numFmtId="0" fontId="67" fillId="0" borderId="7" xfId="28" applyFill="1" applyBorder="1" applyAlignment="1">
      <alignment horizontal="right"/>
    </xf>
    <xf numFmtId="9" fontId="30" fillId="0" borderId="13" xfId="11" applyFont="1" applyFill="1" applyBorder="1"/>
    <xf numFmtId="0" fontId="67" fillId="0" borderId="13" xfId="28" applyBorder="1"/>
    <xf numFmtId="169" fontId="67" fillId="0" borderId="13" xfId="28" applyNumberFormat="1" applyBorder="1" applyAlignment="1">
      <alignment horizontal="right"/>
    </xf>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0" fontId="67" fillId="0" borderId="13" xfId="28" applyBorder="1" applyAlignment="1">
      <alignment horizontal="center"/>
    </xf>
    <xf numFmtId="0" fontId="67" fillId="0" borderId="7" xfId="28" applyBorder="1" applyAlignment="1">
      <alignment horizontal="center"/>
    </xf>
    <xf numFmtId="0" fontId="32" fillId="0" borderId="7" xfId="28" applyFont="1" applyBorder="1" applyAlignment="1">
      <alignment horizontal="center"/>
    </xf>
    <xf numFmtId="0" fontId="67" fillId="0" borderId="13" xfId="28" applyBorder="1"/>
    <xf numFmtId="7" fontId="30" fillId="0" borderId="13" xfId="40" applyNumberFormat="1" applyFont="1" applyBorder="1"/>
    <xf numFmtId="0" fontId="67" fillId="0" borderId="7" xfId="28" applyBorder="1"/>
    <xf numFmtId="0" fontId="67" fillId="0" borderId="13" xfId="28" applyBorder="1"/>
    <xf numFmtId="169" fontId="67" fillId="0" borderId="13" xfId="28" applyNumberFormat="1" applyBorder="1"/>
    <xf numFmtId="7" fontId="30" fillId="0" borderId="13" xfId="40" applyNumberFormat="1" applyFon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169" fontId="32" fillId="0" borderId="13" xfId="28" applyNumberFormat="1" applyFont="1" applyBorder="1"/>
    <xf numFmtId="0" fontId="32" fillId="0" borderId="7" xfId="28" applyFont="1" applyBorder="1" applyAlignment="1">
      <alignment horizontal="right"/>
    </xf>
    <xf numFmtId="0" fontId="32" fillId="0" borderId="13" xfId="28" applyFont="1" applyBorder="1"/>
    <xf numFmtId="0" fontId="32" fillId="0" borderId="7" xfId="28" applyFont="1" applyBorder="1"/>
    <xf numFmtId="0" fontId="33" fillId="0" borderId="7" xfId="28" applyFont="1" applyBorder="1"/>
    <xf numFmtId="0" fontId="33" fillId="0" borderId="7" xfId="28" applyFont="1" applyBorder="1" applyAlignment="1">
      <alignment horizontal="right"/>
    </xf>
    <xf numFmtId="169" fontId="33" fillId="0" borderId="13" xfId="28" applyNumberFormat="1" applyFont="1" applyBorder="1"/>
    <xf numFmtId="9" fontId="33" fillId="0" borderId="13" xfId="11" applyFont="1" applyBorder="1"/>
    <xf numFmtId="0" fontId="33" fillId="0" borderId="13" xfId="28" applyFont="1" applyBorder="1"/>
    <xf numFmtId="0" fontId="41" fillId="0" borderId="7" xfId="28" applyFont="1" applyBorder="1"/>
    <xf numFmtId="169" fontId="41" fillId="0" borderId="13" xfId="28" applyNumberFormat="1" applyFont="1" applyBorder="1"/>
    <xf numFmtId="9" fontId="41" fillId="0" borderId="13" xfId="11" applyFont="1" applyBorder="1"/>
    <xf numFmtId="0" fontId="41" fillId="0" borderId="13" xfId="28" applyFont="1" applyBorder="1"/>
    <xf numFmtId="169" fontId="38" fillId="0" borderId="13" xfId="28" applyNumberFormat="1" applyFont="1" applyBorder="1"/>
    <xf numFmtId="164" fontId="30" fillId="0" borderId="13" xfId="28" applyNumberFormat="1" applyFont="1" applyBorder="1"/>
    <xf numFmtId="171" fontId="30" fillId="0" borderId="13" xfId="28" applyNumberFormat="1" applyFont="1" applyBorder="1"/>
    <xf numFmtId="0" fontId="32" fillId="0" borderId="7" xfId="28" applyFont="1" applyFill="1" applyBorder="1" applyAlignment="1">
      <alignment horizontal="right"/>
    </xf>
    <xf numFmtId="169" fontId="32" fillId="0" borderId="13" xfId="28" applyNumberFormat="1" applyFont="1" applyFill="1" applyBorder="1"/>
    <xf numFmtId="9" fontId="32" fillId="0" borderId="13" xfId="11" applyFont="1" applyBorder="1"/>
    <xf numFmtId="0" fontId="67" fillId="0" borderId="7" xfId="28" applyBorder="1"/>
    <xf numFmtId="0" fontId="67" fillId="0" borderId="13" xfId="28" applyBorder="1"/>
    <xf numFmtId="169" fontId="67" fillId="0" borderId="13" xfId="28" applyNumberFormat="1" applyBorder="1"/>
    <xf numFmtId="171" fontId="67" fillId="0" borderId="13" xfId="28" applyNumberFormat="1" applyBorder="1"/>
    <xf numFmtId="2" fontId="34" fillId="0" borderId="13" xfId="28" applyNumberFormat="1" applyFont="1" applyBorder="1" applyAlignment="1">
      <alignment horizontal="center"/>
    </xf>
    <xf numFmtId="164" fontId="67" fillId="0" borderId="13" xfId="28" applyNumberFormat="1" applyBorder="1"/>
    <xf numFmtId="9" fontId="30" fillId="0" borderId="13" xfId="11" applyFont="1" applyBorder="1"/>
    <xf numFmtId="173" fontId="67" fillId="0" borderId="13" xfId="28" applyNumberFormat="1" applyBorder="1"/>
    <xf numFmtId="189" fontId="67" fillId="0" borderId="13" xfId="28" applyNumberFormat="1" applyBorder="1"/>
    <xf numFmtId="0" fontId="67" fillId="0" borderId="13" xfId="28" applyBorder="1"/>
    <xf numFmtId="0" fontId="32" fillId="0" borderId="13" xfId="28" applyFont="1" applyBorder="1"/>
    <xf numFmtId="0" fontId="103" fillId="0" borderId="0" xfId="155" applyFont="1" applyAlignment="1">
      <alignment horizont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3" fontId="127" fillId="0" borderId="16" xfId="0" quotePrefix="1" applyNumberFormat="1" applyFont="1" applyFill="1" applyBorder="1" applyAlignment="1">
      <alignment horizontal="center"/>
    </xf>
    <xf numFmtId="183" fontId="73" fillId="0" borderId="0" xfId="1" applyNumberFormat="1" applyFont="1" applyBorder="1" applyAlignment="1">
      <alignment horizontal="center"/>
    </xf>
    <xf numFmtId="165" fontId="73" fillId="0" borderId="0" xfId="1" applyNumberFormat="1" applyFont="1" applyBorder="1" applyAlignment="1">
      <alignment horizontal="center"/>
    </xf>
    <xf numFmtId="0" fontId="27" fillId="0" borderId="17" xfId="0" applyFont="1" applyBorder="1" applyAlignment="1">
      <alignment horizontal="center"/>
    </xf>
    <xf numFmtId="0" fontId="27" fillId="0" borderId="18" xfId="0" applyFont="1" applyBorder="1" applyAlignment="1">
      <alignment horizontal="center"/>
    </xf>
    <xf numFmtId="0" fontId="27" fillId="0" borderId="33" xfId="0" applyFont="1" applyBorder="1" applyAlignment="1">
      <alignment horizontal="center"/>
    </xf>
    <xf numFmtId="0" fontId="28" fillId="0" borderId="38" xfId="0" applyFont="1" applyBorder="1" applyAlignment="1">
      <alignment horizontal="center"/>
    </xf>
    <xf numFmtId="0" fontId="28" fillId="0" borderId="16" xfId="0" applyFont="1" applyBorder="1" applyAlignment="1">
      <alignment horizontal="center"/>
    </xf>
    <xf numFmtId="0" fontId="27" fillId="6" borderId="17" xfId="0" applyFont="1" applyFill="1" applyBorder="1" applyAlignment="1">
      <alignment horizontal="center"/>
    </xf>
    <xf numFmtId="0" fontId="27" fillId="6" borderId="18" xfId="0" applyFont="1" applyFill="1" applyBorder="1" applyAlignment="1">
      <alignment horizontal="center"/>
    </xf>
    <xf numFmtId="0" fontId="27" fillId="6" borderId="19" xfId="0" applyFont="1" applyFill="1" applyBorder="1" applyAlignment="1">
      <alignment horizontal="center"/>
    </xf>
    <xf numFmtId="16" fontId="29" fillId="0" borderId="16" xfId="0" applyNumberFormat="1" applyFont="1" applyBorder="1" applyAlignment="1">
      <alignment horizontal="center"/>
    </xf>
    <xf numFmtId="0" fontId="29" fillId="8" borderId="20" xfId="0" applyFont="1" applyFill="1" applyBorder="1" applyAlignment="1">
      <alignment horizontal="center" wrapText="1"/>
    </xf>
    <xf numFmtId="0" fontId="29" fillId="8" borderId="24" xfId="0" applyFont="1" applyFill="1" applyBorder="1" applyAlignment="1">
      <alignment horizontal="center" wrapText="1"/>
    </xf>
    <xf numFmtId="0" fontId="32" fillId="0" borderId="16" xfId="0" applyFont="1" applyBorder="1" applyAlignment="1">
      <alignment horizontal="center"/>
    </xf>
    <xf numFmtId="0" fontId="33" fillId="0" borderId="16" xfId="0" applyFont="1" applyBorder="1" applyAlignment="1">
      <alignment horizontal="center"/>
    </xf>
    <xf numFmtId="0" fontId="27" fillId="9" borderId="18" xfId="0" applyFont="1" applyFill="1" applyBorder="1" applyAlignment="1">
      <alignment horizontal="center"/>
    </xf>
    <xf numFmtId="0" fontId="27" fillId="9" borderId="19" xfId="0" applyFont="1" applyFill="1" applyBorder="1" applyAlignment="1">
      <alignment horizontal="center"/>
    </xf>
    <xf numFmtId="0" fontId="28" fillId="0" borderId="16" xfId="0" applyFont="1" applyBorder="1" applyAlignment="1">
      <alignment horizontal="left"/>
    </xf>
    <xf numFmtId="0" fontId="129" fillId="24" borderId="20" xfId="0" applyFont="1" applyFill="1" applyBorder="1" applyAlignment="1">
      <alignment horizontal="center" wrapText="1"/>
    </xf>
    <xf numFmtId="0" fontId="129" fillId="24" borderId="14" xfId="0" applyFont="1" applyFill="1" applyBorder="1" applyAlignment="1">
      <alignment horizontal="center" wrapText="1"/>
    </xf>
    <xf numFmtId="0" fontId="129" fillId="24" borderId="24" xfId="0" applyFont="1" applyFill="1" applyBorder="1" applyAlignment="1">
      <alignment horizontal="center" wrapText="1"/>
    </xf>
    <xf numFmtId="0" fontId="16" fillId="0" borderId="0" xfId="3"/>
    <xf numFmtId="178" fontId="20" fillId="0" borderId="0" xfId="3" applyNumberFormat="1" applyFont="1" applyFill="1" applyBorder="1" applyAlignment="1">
      <alignment horizontal="right" vertical="center"/>
    </xf>
    <xf numFmtId="0" fontId="16" fillId="0" borderId="0" xfId="3" applyFill="1" applyBorder="1" applyAlignment="1">
      <alignment vertical="center"/>
    </xf>
    <xf numFmtId="0" fontId="21" fillId="0" borderId="0" xfId="0" applyFont="1" applyAlignment="1">
      <alignment horizontal="center"/>
    </xf>
    <xf numFmtId="0" fontId="14" fillId="0" borderId="0" xfId="0" applyFont="1" applyAlignment="1">
      <alignment horizontal="center" wrapText="1"/>
    </xf>
    <xf numFmtId="0" fontId="21" fillId="4" borderId="8" xfId="0" applyFont="1" applyFill="1" applyBorder="1" applyAlignment="1">
      <alignment horizontal="center"/>
    </xf>
    <xf numFmtId="0" fontId="21" fillId="4" borderId="5" xfId="0" applyFont="1" applyFill="1" applyBorder="1" applyAlignment="1">
      <alignment horizontal="center"/>
    </xf>
    <xf numFmtId="0" fontId="21" fillId="4" borderId="10" xfId="0" applyFont="1" applyFill="1" applyBorder="1" applyAlignment="1">
      <alignment horizontal="center"/>
    </xf>
    <xf numFmtId="0" fontId="46" fillId="0" borderId="0" xfId="12"/>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7" fillId="9" borderId="18" xfId="28" applyFont="1" applyFill="1" applyBorder="1" applyAlignment="1">
      <alignment horizontal="center"/>
    </xf>
    <xf numFmtId="0" fontId="27" fillId="9" borderId="19" xfId="28" applyFont="1" applyFill="1" applyBorder="1" applyAlignment="1">
      <alignment horizontal="center"/>
    </xf>
    <xf numFmtId="0" fontId="27" fillId="0" borderId="17" xfId="28" applyFont="1" applyBorder="1" applyAlignment="1">
      <alignment horizontal="center"/>
    </xf>
    <xf numFmtId="0" fontId="27" fillId="0" borderId="18" xfId="28" applyFont="1" applyBorder="1" applyAlignment="1">
      <alignment horizontal="center"/>
    </xf>
    <xf numFmtId="0" fontId="27" fillId="0" borderId="33" xfId="28" applyFont="1" applyBorder="1" applyAlignment="1">
      <alignment horizontal="center"/>
    </xf>
    <xf numFmtId="0" fontId="29" fillId="8" borderId="20" xfId="28" applyFont="1" applyFill="1" applyBorder="1" applyAlignment="1">
      <alignment horizontal="center" wrapText="1"/>
    </xf>
    <xf numFmtId="0" fontId="29" fillId="8" borderId="24" xfId="28" applyFont="1" applyFill="1" applyBorder="1" applyAlignment="1">
      <alignment horizontal="center" wrapText="1"/>
    </xf>
    <xf numFmtId="0" fontId="32" fillId="0" borderId="16" xfId="28" applyFont="1" applyBorder="1" applyAlignment="1">
      <alignment horizontal="center"/>
    </xf>
    <xf numFmtId="0" fontId="33" fillId="0" borderId="16" xfId="28" applyFont="1" applyBorder="1" applyAlignment="1">
      <alignment horizontal="center"/>
    </xf>
    <xf numFmtId="0" fontId="28" fillId="0" borderId="16" xfId="28" applyFont="1" applyBorder="1" applyAlignment="1">
      <alignment horizontal="center"/>
    </xf>
    <xf numFmtId="16" fontId="29" fillId="0" borderId="16" xfId="28" applyNumberFormat="1" applyFont="1" applyBorder="1" applyAlignment="1">
      <alignment horizontal="center"/>
    </xf>
    <xf numFmtId="0" fontId="28" fillId="0" borderId="38" xfId="28" applyFont="1" applyBorder="1" applyAlignment="1">
      <alignment horizontal="center"/>
    </xf>
    <xf numFmtId="165" fontId="21" fillId="0" borderId="0" xfId="5" applyNumberFormat="1" applyFont="1" applyAlignment="1">
      <alignment horizontal="center"/>
    </xf>
    <xf numFmtId="0" fontId="21" fillId="0" borderId="0" xfId="2" applyFont="1" applyAlignment="1">
      <alignment horizontal="center"/>
    </xf>
    <xf numFmtId="0" fontId="14" fillId="0" borderId="0" xfId="2" applyFont="1" applyAlignment="1">
      <alignment horizontal="center" wrapText="1"/>
    </xf>
    <xf numFmtId="0" fontId="21" fillId="4" borderId="8" xfId="2" applyFont="1" applyFill="1" applyBorder="1" applyAlignment="1">
      <alignment horizontal="center"/>
    </xf>
    <xf numFmtId="0" fontId="21" fillId="4" borderId="10" xfId="2" applyFont="1" applyFill="1" applyBorder="1" applyAlignment="1">
      <alignment horizontal="center"/>
    </xf>
    <xf numFmtId="0" fontId="21" fillId="4" borderId="5" xfId="2" applyFont="1" applyFill="1" applyBorder="1" applyAlignment="1">
      <alignment horizontal="center"/>
    </xf>
    <xf numFmtId="0" fontId="21" fillId="47" borderId="8" xfId="0" applyFont="1" applyFill="1" applyBorder="1" applyAlignment="1">
      <alignment horizontal="center"/>
    </xf>
    <xf numFmtId="0" fontId="21" fillId="47" borderId="10" xfId="0" applyFont="1" applyFill="1" applyBorder="1" applyAlignment="1">
      <alignment horizontal="center"/>
    </xf>
    <xf numFmtId="0" fontId="21" fillId="47" borderId="5" xfId="0" applyFont="1" applyFill="1" applyBorder="1" applyAlignment="1">
      <alignment horizontal="center"/>
    </xf>
    <xf numFmtId="0" fontId="20" fillId="0" borderId="36" xfId="190" applyFont="1" applyBorder="1" applyAlignment="1">
      <alignment horizontal="center"/>
    </xf>
    <xf numFmtId="0" fontId="20" fillId="0" borderId="37" xfId="190" applyFont="1" applyBorder="1" applyAlignment="1">
      <alignment horizontal="center"/>
    </xf>
    <xf numFmtId="0" fontId="20" fillId="0" borderId="48" xfId="190" applyFont="1" applyBorder="1" applyAlignment="1">
      <alignment horizontal="center"/>
    </xf>
  </cellXfs>
  <cellStyles count="216">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3" xfId="130"/>
    <cellStyle name="Check Cell 2" xfId="133"/>
    <cellStyle name="Check Cell 2 2" xfId="192"/>
    <cellStyle name="Check Cell 2 3" xfId="194"/>
    <cellStyle name="Check Cell 2 4" xfId="203"/>
    <cellStyle name="Check Cell 3" xfId="132"/>
    <cellStyle name="Check Cell 3 2" xfId="193"/>
    <cellStyle name="Check Cell 3 3" xfId="214"/>
    <cellStyle name="Check Cell 3 4" xfId="215"/>
    <cellStyle name="Comma" xfId="7" builtinId="3"/>
    <cellStyle name="Comma 10" xfId="195"/>
    <cellStyle name="Comma 2" xfId="14"/>
    <cellStyle name="Comma 2 2" xfId="31"/>
    <cellStyle name="Comma 2 3" xfId="32"/>
    <cellStyle name="Comma 2 4" xfId="33"/>
    <cellStyle name="Comma 2 5" xfId="34"/>
    <cellStyle name="Comma 2 6" xfId="30"/>
    <cellStyle name="Comma 3" xfId="13"/>
    <cellStyle name="Comma 3 2" xfId="24"/>
    <cellStyle name="Comma 3 3" xfId="35"/>
    <cellStyle name="Comma 4" xfId="21"/>
    <cellStyle name="Comma 4 2" xfId="36"/>
    <cellStyle name="Comma 5" xfId="37"/>
    <cellStyle name="Comma 6" xfId="38"/>
    <cellStyle name="Comma 6 2" xfId="78"/>
    <cellStyle name="Comma 7" xfId="29"/>
    <cellStyle name="Comma 8" xfId="179"/>
    <cellStyle name="Comma 8 2" xfId="196"/>
    <cellStyle name="Comma 9" xfId="188"/>
    <cellStyle name="Currency" xfId="1" builtinId="4"/>
    <cellStyle name="Currency 10" xfId="180"/>
    <cellStyle name="Currency 10 2" xfId="198"/>
    <cellStyle name="Currency 11" xfId="183"/>
    <cellStyle name="Currency 11 2" xfId="199"/>
    <cellStyle name="Currency 12" xfId="189"/>
    <cellStyle name="Currency 13" xfId="197"/>
    <cellStyle name="Currency 2" xfId="16"/>
    <cellStyle name="Currency 2 2" xfId="41"/>
    <cellStyle name="Currency 2 2 2" xfId="42"/>
    <cellStyle name="Currency 2 2 3" xfId="43"/>
    <cellStyle name="Currency 2 3" xfId="44"/>
    <cellStyle name="Currency 2 4" xfId="45"/>
    <cellStyle name="Currency 2 5" xfId="46"/>
    <cellStyle name="Currency 2 6" xfId="40"/>
    <cellStyle name="Currency 2 7" xfId="135"/>
    <cellStyle name="Currency 2 7 2" xfId="200"/>
    <cellStyle name="Currency 2 8" xfId="174"/>
    <cellStyle name="Currency 3" xfId="15"/>
    <cellStyle name="Currency 3 2" xfId="22"/>
    <cellStyle name="Currency 3 3" xfId="47"/>
    <cellStyle name="Currency 4" xfId="20"/>
    <cellStyle name="Currency 4 2" xfId="25"/>
    <cellStyle name="Currency 5" xfId="5"/>
    <cellStyle name="Currency 5 2" xfId="48"/>
    <cellStyle name="Currency 5 2 2" xfId="201"/>
    <cellStyle name="Currency 6" xfId="39"/>
    <cellStyle name="Currency 7" xfId="49"/>
    <cellStyle name="Currency 8" xfId="134"/>
    <cellStyle name="Currency 8 2" xfId="202"/>
    <cellStyle name="Currency 9" xfId="175"/>
    <cellStyle name="Explanatory Text 2" xfId="137"/>
    <cellStyle name="Explanatory Text 3" xfId="136"/>
    <cellStyle name="Good 2" xfId="139"/>
    <cellStyle name="Good 3" xfId="138"/>
    <cellStyle name="Heading 1 2" xfId="141"/>
    <cellStyle name="Heading 1 3" xfId="140"/>
    <cellStyle name="Heading 2 2" xfId="143"/>
    <cellStyle name="Heading 2 3" xfId="142"/>
    <cellStyle name="Heading 3 2" xfId="145"/>
    <cellStyle name="Heading 3 3" xfId="144"/>
    <cellStyle name="Heading 4 2" xfId="147"/>
    <cellStyle name="Heading 4 3" xfId="146"/>
    <cellStyle name="Hyperlink" xfId="9" builtinId="8"/>
    <cellStyle name="Hyperlink 2" xfId="10"/>
    <cellStyle name="Input 2" xfId="149"/>
    <cellStyle name="Input 3" xfId="148"/>
    <cellStyle name="Linked Cell 2" xfId="151"/>
    <cellStyle name="Linked Cell 3" xfId="150"/>
    <cellStyle name="Neutral 2" xfId="153"/>
    <cellStyle name="Neutral 3" xfId="152"/>
    <cellStyle name="Normal" xfId="0" builtinId="0"/>
    <cellStyle name="Normal 10" xfId="28"/>
    <cellStyle name="Normal 11" xfId="79"/>
    <cellStyle name="Normal 11 2" xfId="204"/>
    <cellStyle name="Normal 12" xfId="176"/>
    <cellStyle name="Normal 13" xfId="177"/>
    <cellStyle name="Normal 13 2" xfId="205"/>
    <cellStyle name="Normal 14" xfId="178"/>
    <cellStyle name="Normal 14 2" xfId="50"/>
    <cellStyle name="Normal 14 2 2" xfId="51"/>
    <cellStyle name="Normal 14 3" xfId="185"/>
    <cellStyle name="Normal 15" xfId="187"/>
    <cellStyle name="Normal 2" xfId="2"/>
    <cellStyle name="Normal 2 2" xfId="53"/>
    <cellStyle name="Normal 2 2 2" xfId="54"/>
    <cellStyle name="Normal 2 3" xfId="55"/>
    <cellStyle name="Normal 2 3 2" xfId="56"/>
    <cellStyle name="Normal 2 4" xfId="57"/>
    <cellStyle name="Normal 2 5" xfId="52"/>
    <cellStyle name="Normal 2 6" xfId="154"/>
    <cellStyle name="Normal 2 6 2" xfId="206"/>
    <cellStyle name="Normal 2 7" xfId="173"/>
    <cellStyle name="Normal 3" xfId="3"/>
    <cellStyle name="Normal 3 2" xfId="59"/>
    <cellStyle name="Normal 3 2 2" xfId="60"/>
    <cellStyle name="Normal 3 3" xfId="61"/>
    <cellStyle name="Normal 3 4" xfId="62"/>
    <cellStyle name="Normal 3 5" xfId="58"/>
    <cellStyle name="Normal 3 6" xfId="155"/>
    <cellStyle name="Normal 4" xfId="6"/>
    <cellStyle name="Normal 4 2" xfId="26"/>
    <cellStyle name="Normal 4 2 2" xfId="65"/>
    <cellStyle name="Normal 4 2 3" xfId="64"/>
    <cellStyle name="Normal 4 3" xfId="66"/>
    <cellStyle name="Normal 4 3 2" xfId="67"/>
    <cellStyle name="Normal 4 4" xfId="68"/>
    <cellStyle name="Normal 4 5" xfId="63"/>
    <cellStyle name="Normal 5" xfId="12"/>
    <cellStyle name="Normal 5 2" xfId="27"/>
    <cellStyle name="Normal 5 3" xfId="69"/>
    <cellStyle name="Normal 5 4" xfId="207"/>
    <cellStyle name="Normal 6" xfId="70"/>
    <cellStyle name="Normal 7" xfId="71"/>
    <cellStyle name="Normal 8" xfId="72"/>
    <cellStyle name="Normal 9" xfId="73"/>
    <cellStyle name="Normal 9 2" xfId="77"/>
    <cellStyle name="Normal_2_2011 EES sector view 2" xfId="172"/>
    <cellStyle name="Normal_2_2011 EES sector view_Revised 11-18-2010" xfId="156"/>
    <cellStyle name="Normal_2_2011 EES sector view_Revised 11-18-2010 2" xfId="171"/>
    <cellStyle name="Normal_2012-2013 First-Pass Savings Estim_05-17-11" xfId="186"/>
    <cellStyle name="Normal_2012-2013 First-Pass Savings Estim_05-17-11 2" xfId="190"/>
    <cellStyle name="Normal_P90010" xfId="17"/>
    <cellStyle name="Normal_P90010 2" xfId="23"/>
    <cellStyle name="Normal_P90010 3" xfId="181"/>
    <cellStyle name="Note 2" xfId="158"/>
    <cellStyle name="Note 2 2" xfId="169"/>
    <cellStyle name="Note 3" xfId="157"/>
    <cellStyle name="Note 3 2" xfId="208"/>
    <cellStyle name="Note 4" xfId="170"/>
    <cellStyle name="Output 2" xfId="160"/>
    <cellStyle name="Output 3" xfId="159"/>
    <cellStyle name="Percent" xfId="8" builtinId="5"/>
    <cellStyle name="Percent 10" xfId="209"/>
    <cellStyle name="Percent 2" xfId="11"/>
    <cellStyle name="Percent 2 2" xfId="19"/>
    <cellStyle name="Percent 2 3" xfId="74"/>
    <cellStyle name="Percent 2 4" xfId="75"/>
    <cellStyle name="Percent 2 5" xfId="76"/>
    <cellStyle name="Percent 3" xfId="4"/>
    <cellStyle name="Percent 4" xfId="18"/>
    <cellStyle name="Percent 4 2" xfId="210"/>
    <cellStyle name="Percent 5" xfId="161"/>
    <cellStyle name="Percent 5 2" xfId="211"/>
    <cellStyle name="Percent 6" xfId="168"/>
    <cellStyle name="Percent 7" xfId="182"/>
    <cellStyle name="Percent 7 2" xfId="212"/>
    <cellStyle name="Percent 8" xfId="184"/>
    <cellStyle name="Percent 8 2" xfId="213"/>
    <cellStyle name="Percent 9" xfId="191"/>
    <cellStyle name="Title 2" xfId="163"/>
    <cellStyle name="Title 3" xfId="162"/>
    <cellStyle name="Total 2" xfId="165"/>
    <cellStyle name="Total 3" xfId="164"/>
    <cellStyle name="Warning Text 2" xfId="167"/>
    <cellStyle name="Warning Text 3" xfId="166"/>
  </cellStyles>
  <dxfs count="0"/>
  <tableStyles count="0" defaultTableStyle="TableStyleMedium9" defaultPivotStyle="PivotStyleLight16"/>
  <colors>
    <mruColors>
      <color rgb="FFC2D7FA"/>
      <color rgb="FF91D242"/>
      <color rgb="FF002060"/>
      <color rgb="FFD2FBB3"/>
      <color rgb="FFFAA0A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1a) Portfolio--2012 only'!A1"/></Relationships>
</file>

<file path=xl/drawings/_rels/drawing1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2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9.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3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4.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5.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6.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7.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8.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40.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1.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3) Sector View Gas'!A1"/></Relationships>
</file>

<file path=xl/drawings/_rels/drawing42.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3) Sector View Gas'!A1"/></Relationships>
</file>

<file path=xl/drawings/_rels/drawing43.xml.rels><?xml version="1.0" encoding="UTF-8" standalone="yes"?>
<Relationships xmlns="http://schemas.openxmlformats.org/package/2006/relationships"><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5.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5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59.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4.xml.rels><?xml version="1.0" encoding="UTF-8" standalone="yes"?>
<Relationships xmlns="http://schemas.openxmlformats.org/package/2006/relationships"><Relationship Id="rId1" Type="http://schemas.openxmlformats.org/officeDocument/2006/relationships/hyperlink" Target="file://Sestdpt1.puget.com/sopscci/Budget%20&amp;%20Administration/WUTC_Filing_Program_Planning/2012_2013%20Program%20Planning/2012-2013%20BCP/Exhibit%201_Budgets/Exhibit%201%20details_ANDY%20ONLY%20ACCESS!/Copy%20of%20ANDY'S%20Exhibit%201%20complete%20for%20BCP_MASTER_08262011.xlsx#'3) Sector View Gas'!A1" TargetMode="External"/></Relationships>
</file>

<file path=xl/drawings/_rels/drawing6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8.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79.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drawing1.xml><?xml version="1.0" encoding="utf-8"?>
<xdr:wsDr xmlns:xdr="http://schemas.openxmlformats.org/drawingml/2006/spreadsheetDrawing" xmlns:a="http://schemas.openxmlformats.org/drawingml/2006/main">
  <xdr:oneCellAnchor>
    <xdr:from>
      <xdr:col>6</xdr:col>
      <xdr:colOff>823055</xdr:colOff>
      <xdr:row>0</xdr:row>
      <xdr:rowOff>91027</xdr:rowOff>
    </xdr:from>
    <xdr:ext cx="3129820" cy="374141"/>
    <xdr:sp macro="" textlink="">
      <xdr:nvSpPr>
        <xdr:cNvPr id="2" name="Rectangle 1"/>
        <xdr:cNvSpPr/>
      </xdr:nvSpPr>
      <xdr:spPr>
        <a:xfrm>
          <a:off x="5109305" y="91027"/>
          <a:ext cx="3129820" cy="374141"/>
        </a:xfrm>
        <a:prstGeom prst="rect">
          <a:avLst/>
        </a:prstGeom>
        <a:noFill/>
      </xdr:spPr>
      <xdr:txBody>
        <a:bodyPr wrap="square" lIns="91440" tIns="45720" rIns="91440" bIns="45720">
          <a:noAutofit/>
        </a:bodyPr>
        <a:lstStyle/>
        <a:p>
          <a:pPr algn="ct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a:t>
          </a:r>
        </a:p>
      </xdr:txBody>
    </xdr:sp>
    <xdr:clientData/>
  </xdr:oneCellAnchor>
  <xdr:twoCellAnchor>
    <xdr:from>
      <xdr:col>8</xdr:col>
      <xdr:colOff>1238249</xdr:colOff>
      <xdr:row>1</xdr:row>
      <xdr:rowOff>52388</xdr:rowOff>
    </xdr:from>
    <xdr:to>
      <xdr:col>9</xdr:col>
      <xdr:colOff>671512</xdr:colOff>
      <xdr:row>1</xdr:row>
      <xdr:rowOff>209553</xdr:rowOff>
    </xdr:to>
    <xdr:sp macro="" textlink="">
      <xdr:nvSpPr>
        <xdr:cNvPr id="3" name="Bent Arrow 2"/>
        <xdr:cNvSpPr/>
      </xdr:nvSpPr>
      <xdr:spPr>
        <a:xfrm rot="5400000">
          <a:off x="8020048" y="-23811"/>
          <a:ext cx="157165" cy="70961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twoCellAnchor>
    <xdr:from>
      <xdr:col>6</xdr:col>
      <xdr:colOff>647699</xdr:colOff>
      <xdr:row>1</xdr:row>
      <xdr:rowOff>42866</xdr:rowOff>
    </xdr:from>
    <xdr:to>
      <xdr:col>7</xdr:col>
      <xdr:colOff>333377</xdr:colOff>
      <xdr:row>1</xdr:row>
      <xdr:rowOff>219076</xdr:rowOff>
    </xdr:to>
    <xdr:sp macro="" textlink="">
      <xdr:nvSpPr>
        <xdr:cNvPr id="4" name="Bent Arrow 3"/>
        <xdr:cNvSpPr/>
      </xdr:nvSpPr>
      <xdr:spPr>
        <a:xfrm rot="5400000" flipV="1">
          <a:off x="5179221" y="-2381"/>
          <a:ext cx="176210" cy="66675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clientData/>
  </xdr:twoCellAnchor>
  <xdr:oneCellAnchor>
    <xdr:from>
      <xdr:col>5</xdr:col>
      <xdr:colOff>919433</xdr:colOff>
      <xdr:row>2</xdr:row>
      <xdr:rowOff>38639</xdr:rowOff>
    </xdr:from>
    <xdr:ext cx="942437" cy="311496"/>
    <xdr:sp macro="" textlink="">
      <xdr:nvSpPr>
        <xdr:cNvPr id="5" name="Rectangle 4">
          <a:hlinkClick xmlns:r="http://schemas.openxmlformats.org/officeDocument/2006/relationships" r:id="rId1"/>
        </xdr:cNvPr>
        <xdr:cNvSpPr/>
      </xdr:nvSpPr>
      <xdr:spPr>
        <a:xfrm>
          <a:off x="3072083" y="486314"/>
          <a:ext cx="942437" cy="31149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2012</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view</a:t>
          </a:r>
          <a:endPar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66725"/>
    <xdr:sp macro="" textlink="">
      <xdr:nvSpPr>
        <xdr:cNvPr id="2" name="Rectangle 1">
          <a:hlinkClick xmlns:r="http://schemas.openxmlformats.org/officeDocument/2006/relationships" r:id="rId1"/>
        </xdr:cNvPr>
        <xdr:cNvSpPr/>
      </xdr:nvSpPr>
      <xdr:spPr>
        <a:xfrm>
          <a:off x="38100" y="28575"/>
          <a:ext cx="10225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47625</xdr:rowOff>
    </xdr:from>
    <xdr:ext cx="1013021" cy="476250"/>
    <xdr:sp macro="" textlink="">
      <xdr:nvSpPr>
        <xdr:cNvPr id="2" name="Rectangle 1">
          <a:hlinkClick xmlns:r="http://schemas.openxmlformats.org/officeDocument/2006/relationships" r:id="rId1"/>
        </xdr:cNvPr>
        <xdr:cNvSpPr/>
      </xdr:nvSpPr>
      <xdr:spPr>
        <a:xfrm>
          <a:off x="38100" y="47625"/>
          <a:ext cx="10130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95300"/>
    <xdr:sp macro="" textlink="">
      <xdr:nvSpPr>
        <xdr:cNvPr id="2" name="Rectangle 1">
          <a:hlinkClick xmlns:r="http://schemas.openxmlformats.org/officeDocument/2006/relationships" r:id="rId1"/>
        </xdr:cNvPr>
        <xdr:cNvSpPr/>
      </xdr:nvSpPr>
      <xdr:spPr>
        <a:xfrm>
          <a:off x="38100" y="28575"/>
          <a:ext cx="102254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19050</xdr:rowOff>
    </xdr:from>
    <xdr:ext cx="946346" cy="476250"/>
    <xdr:sp macro="" textlink="">
      <xdr:nvSpPr>
        <xdr:cNvPr id="2" name="Rectangle 1">
          <a:hlinkClick xmlns:r="http://schemas.openxmlformats.org/officeDocument/2006/relationships" r:id="rId1"/>
        </xdr:cNvPr>
        <xdr:cNvSpPr/>
      </xdr:nvSpPr>
      <xdr:spPr>
        <a:xfrm>
          <a:off x="1905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66725"/>
    <xdr:sp macro="" textlink="">
      <xdr:nvSpPr>
        <xdr:cNvPr id="2" name="Rectangle 1">
          <a:hlinkClick xmlns:r="http://schemas.openxmlformats.org/officeDocument/2006/relationships" r:id="rId1"/>
        </xdr:cNvPr>
        <xdr:cNvSpPr/>
      </xdr:nvSpPr>
      <xdr:spPr>
        <a:xfrm>
          <a:off x="38099" y="28575"/>
          <a:ext cx="9368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0</xdr:row>
      <xdr:rowOff>19050</xdr:rowOff>
    </xdr:from>
    <xdr:ext cx="946346" cy="476250"/>
    <xdr:sp macro="" textlink="">
      <xdr:nvSpPr>
        <xdr:cNvPr id="2" name="Rectangle 1">
          <a:hlinkClick xmlns:r="http://schemas.openxmlformats.org/officeDocument/2006/relationships" r:id="rId1"/>
        </xdr:cNvPr>
        <xdr:cNvSpPr/>
      </xdr:nvSpPr>
      <xdr:spPr>
        <a:xfrm>
          <a:off x="3810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38100</xdr:colOff>
      <xdr:row>0</xdr:row>
      <xdr:rowOff>38100</xdr:rowOff>
    </xdr:from>
    <xdr:ext cx="946346" cy="457200"/>
    <xdr:sp macro="" textlink="">
      <xdr:nvSpPr>
        <xdr:cNvPr id="2" name="Rectangle 1">
          <a:hlinkClick xmlns:r="http://schemas.openxmlformats.org/officeDocument/2006/relationships" r:id="rId1"/>
        </xdr:cNvPr>
        <xdr:cNvSpPr/>
      </xdr:nvSpPr>
      <xdr:spPr>
        <a:xfrm>
          <a:off x="38100" y="38100"/>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28574</xdr:colOff>
      <xdr:row>0</xdr:row>
      <xdr:rowOff>19050</xdr:rowOff>
    </xdr:from>
    <xdr:ext cx="993971" cy="466725"/>
    <xdr:sp macro="" textlink="">
      <xdr:nvSpPr>
        <xdr:cNvPr id="2" name="Rectangle 1">
          <a:hlinkClick xmlns:r="http://schemas.openxmlformats.org/officeDocument/2006/relationships" r:id="rId1"/>
        </xdr:cNvPr>
        <xdr:cNvSpPr/>
      </xdr:nvSpPr>
      <xdr:spPr>
        <a:xfrm>
          <a:off x="28574" y="19050"/>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413448</xdr:colOff>
      <xdr:row>2</xdr:row>
      <xdr:rowOff>52927</xdr:rowOff>
    </xdr:from>
    <xdr:ext cx="1805878" cy="280448"/>
    <xdr:sp macro="" textlink="">
      <xdr:nvSpPr>
        <xdr:cNvPr id="2" name="Rectangle 1">
          <a:hlinkClick xmlns:r="http://schemas.openxmlformats.org/officeDocument/2006/relationships" r:id="rId1"/>
        </xdr:cNvPr>
        <xdr:cNvSpPr/>
      </xdr:nvSpPr>
      <xdr:spPr>
        <a:xfrm>
          <a:off x="2785173" y="424402"/>
          <a:ext cx="1805878" cy="280448"/>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Two-year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76250"/>
    <xdr:sp macro="" textlink="">
      <xdr:nvSpPr>
        <xdr:cNvPr id="2" name="Rectangle 1">
          <a:hlinkClick xmlns:r="http://schemas.openxmlformats.org/officeDocument/2006/relationships" r:id="rId1"/>
        </xdr:cNvPr>
        <xdr:cNvSpPr/>
      </xdr:nvSpPr>
      <xdr:spPr>
        <a:xfrm>
          <a:off x="38099"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28574</xdr:colOff>
      <xdr:row>0</xdr:row>
      <xdr:rowOff>28575</xdr:rowOff>
    </xdr:from>
    <xdr:ext cx="936821" cy="438150"/>
    <xdr:sp macro="" textlink="">
      <xdr:nvSpPr>
        <xdr:cNvPr id="2" name="Rectangle 1">
          <a:hlinkClick xmlns:r="http://schemas.openxmlformats.org/officeDocument/2006/relationships" r:id="rId1"/>
        </xdr:cNvPr>
        <xdr:cNvSpPr/>
      </xdr:nvSpPr>
      <xdr:spPr>
        <a:xfrm>
          <a:off x="28574" y="28575"/>
          <a:ext cx="93682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5" cy="476250"/>
    <xdr:sp macro="" textlink="">
      <xdr:nvSpPr>
        <xdr:cNvPr id="2" name="Rectangle 1">
          <a:hlinkClick xmlns:r="http://schemas.openxmlformats.org/officeDocument/2006/relationships" r:id="rId1"/>
        </xdr:cNvPr>
        <xdr:cNvSpPr/>
      </xdr:nvSpPr>
      <xdr:spPr>
        <a:xfrm>
          <a:off x="38100" y="28575"/>
          <a:ext cx="1022545"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57200"/>
    <xdr:sp macro="" textlink="">
      <xdr:nvSpPr>
        <xdr:cNvPr id="2" name="Rectangle 1">
          <a:hlinkClick xmlns:r="http://schemas.openxmlformats.org/officeDocument/2006/relationships" r:id="rId1"/>
        </xdr:cNvPr>
        <xdr:cNvSpPr/>
      </xdr:nvSpPr>
      <xdr:spPr>
        <a:xfrm>
          <a:off x="47624" y="28575"/>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38100</xdr:colOff>
      <xdr:row>0</xdr:row>
      <xdr:rowOff>19051</xdr:rowOff>
    </xdr:from>
    <xdr:ext cx="965396" cy="476250"/>
    <xdr:sp macro="" textlink="">
      <xdr:nvSpPr>
        <xdr:cNvPr id="2" name="Rectangle 1">
          <a:hlinkClick xmlns:r="http://schemas.openxmlformats.org/officeDocument/2006/relationships" r:id="rId1"/>
        </xdr:cNvPr>
        <xdr:cNvSpPr/>
      </xdr:nvSpPr>
      <xdr:spPr>
        <a:xfrm>
          <a:off x="38100" y="19051"/>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57200"/>
    <xdr:sp macro="" textlink="">
      <xdr:nvSpPr>
        <xdr:cNvPr id="2" name="Rectangle 1">
          <a:hlinkClick xmlns:r="http://schemas.openxmlformats.org/officeDocument/2006/relationships" r:id="rId1"/>
        </xdr:cNvPr>
        <xdr:cNvSpPr/>
      </xdr:nvSpPr>
      <xdr:spPr>
        <a:xfrm>
          <a:off x="38100"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47624</xdr:colOff>
      <xdr:row>0</xdr:row>
      <xdr:rowOff>28575</xdr:rowOff>
    </xdr:from>
    <xdr:ext cx="936821" cy="476250"/>
    <xdr:sp macro="" textlink="">
      <xdr:nvSpPr>
        <xdr:cNvPr id="2" name="Rectangle 1">
          <a:hlinkClick xmlns:r="http://schemas.openxmlformats.org/officeDocument/2006/relationships" r:id="rId1"/>
        </xdr:cNvPr>
        <xdr:cNvSpPr/>
      </xdr:nvSpPr>
      <xdr:spPr>
        <a:xfrm>
          <a:off x="47624"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38100</xdr:colOff>
      <xdr:row>0</xdr:row>
      <xdr:rowOff>38100</xdr:rowOff>
    </xdr:from>
    <xdr:ext cx="984446" cy="447675"/>
    <xdr:sp macro="" textlink="">
      <xdr:nvSpPr>
        <xdr:cNvPr id="2" name="Rectangle 1">
          <a:hlinkClick xmlns:r="http://schemas.openxmlformats.org/officeDocument/2006/relationships" r:id="rId1"/>
        </xdr:cNvPr>
        <xdr:cNvSpPr/>
      </xdr:nvSpPr>
      <xdr:spPr>
        <a:xfrm>
          <a:off x="38100" y="38100"/>
          <a:ext cx="9844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95300"/>
    <xdr:sp macro="" textlink="">
      <xdr:nvSpPr>
        <xdr:cNvPr id="2" name="Rectangle 1">
          <a:hlinkClick xmlns:r="http://schemas.openxmlformats.org/officeDocument/2006/relationships" r:id="rId1"/>
        </xdr:cNvPr>
        <xdr:cNvSpPr/>
      </xdr:nvSpPr>
      <xdr:spPr>
        <a:xfrm>
          <a:off x="28574" y="28575"/>
          <a:ext cx="9939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176868</xdr:colOff>
      <xdr:row>3</xdr:row>
      <xdr:rowOff>100552</xdr:rowOff>
    </xdr:from>
    <xdr:ext cx="2256130" cy="280205"/>
    <xdr:sp macro="" textlink="">
      <xdr:nvSpPr>
        <xdr:cNvPr id="4" name="Rectangle 3">
          <a:hlinkClick xmlns:r="http://schemas.openxmlformats.org/officeDocument/2006/relationships" r:id="rId1"/>
        </xdr:cNvPr>
        <xdr:cNvSpPr/>
      </xdr:nvSpPr>
      <xdr:spPr>
        <a:xfrm>
          <a:off x="1624668" y="681577"/>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Portfolio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28575</xdr:colOff>
      <xdr:row>0</xdr:row>
      <xdr:rowOff>38100</xdr:rowOff>
    </xdr:from>
    <xdr:ext cx="946346" cy="466725"/>
    <xdr:sp macro="" textlink="">
      <xdr:nvSpPr>
        <xdr:cNvPr id="2" name="Rectangle 1">
          <a:hlinkClick xmlns:r="http://schemas.openxmlformats.org/officeDocument/2006/relationships" r:id="rId1"/>
        </xdr:cNvPr>
        <xdr:cNvSpPr/>
      </xdr:nvSpPr>
      <xdr:spPr>
        <a:xfrm>
          <a:off x="28575" y="38100"/>
          <a:ext cx="9463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28574</xdr:colOff>
      <xdr:row>0</xdr:row>
      <xdr:rowOff>28575</xdr:rowOff>
    </xdr:from>
    <xdr:ext cx="974921" cy="447675"/>
    <xdr:sp macro="" textlink="">
      <xdr:nvSpPr>
        <xdr:cNvPr id="2" name="Rectangle 1">
          <a:hlinkClick xmlns:r="http://schemas.openxmlformats.org/officeDocument/2006/relationships" r:id="rId1"/>
        </xdr:cNvPr>
        <xdr:cNvSpPr/>
      </xdr:nvSpPr>
      <xdr:spPr>
        <a:xfrm>
          <a:off x="28574" y="28575"/>
          <a:ext cx="97492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81606</xdr:colOff>
      <xdr:row>0</xdr:row>
      <xdr:rowOff>47626</xdr:rowOff>
    </xdr:from>
    <xdr:ext cx="947094" cy="466724"/>
    <xdr:sp macro="" textlink="">
      <xdr:nvSpPr>
        <xdr:cNvPr id="2" name="Rectangle 1">
          <a:hlinkClick xmlns:r="http://schemas.openxmlformats.org/officeDocument/2006/relationships" r:id="rId1"/>
        </xdr:cNvPr>
        <xdr:cNvSpPr/>
      </xdr:nvSpPr>
      <xdr:spPr>
        <a:xfrm>
          <a:off x="81606" y="47626"/>
          <a:ext cx="947094" cy="4667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47625</xdr:colOff>
      <xdr:row>0</xdr:row>
      <xdr:rowOff>29114</xdr:rowOff>
    </xdr:from>
    <xdr:ext cx="965772" cy="504286"/>
    <xdr:sp macro="" textlink="">
      <xdr:nvSpPr>
        <xdr:cNvPr id="2" name="Rectangle 1">
          <a:hlinkClick xmlns:r="http://schemas.openxmlformats.org/officeDocument/2006/relationships" r:id="rId1"/>
        </xdr:cNvPr>
        <xdr:cNvSpPr/>
      </xdr:nvSpPr>
      <xdr:spPr>
        <a:xfrm>
          <a:off x="47625" y="29114"/>
          <a:ext cx="965772" cy="5042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1665101</xdr:colOff>
      <xdr:row>11</xdr:row>
      <xdr:rowOff>95790</xdr:rowOff>
    </xdr:from>
    <xdr:ext cx="1851404" cy="256636"/>
    <xdr:sp macro="" textlink="">
      <xdr:nvSpPr>
        <xdr:cNvPr id="3" name="Rectangle 2">
          <a:hlinkClick xmlns:r="http://schemas.openxmlformats.org/officeDocument/2006/relationships" r:id="rId2"/>
        </xdr:cNvPr>
        <xdr:cNvSpPr/>
      </xdr:nvSpPr>
      <xdr:spPr>
        <a:xfrm>
          <a:off x="1665101" y="2772315"/>
          <a:ext cx="1851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1503175</xdr:colOff>
      <xdr:row>13</xdr:row>
      <xdr:rowOff>29115</xdr:rowOff>
    </xdr:from>
    <xdr:ext cx="2163949" cy="256636"/>
    <xdr:sp macro="" textlink="">
      <xdr:nvSpPr>
        <xdr:cNvPr id="4" name="Rectangle 3">
          <a:hlinkClick xmlns:r="http://schemas.openxmlformats.org/officeDocument/2006/relationships" r:id="rId3"/>
        </xdr:cNvPr>
        <xdr:cNvSpPr/>
      </xdr:nvSpPr>
      <xdr:spPr>
        <a:xfrm>
          <a:off x="1503175" y="3067590"/>
          <a:ext cx="2163949"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1009650</xdr:colOff>
      <xdr:row>64</xdr:row>
      <xdr:rowOff>540</xdr:rowOff>
    </xdr:from>
    <xdr:ext cx="2678305" cy="256636"/>
    <xdr:sp macro="" textlink="">
      <xdr:nvSpPr>
        <xdr:cNvPr id="5" name="Rectangle 4">
          <a:hlinkClick xmlns:r="http://schemas.openxmlformats.org/officeDocument/2006/relationships" r:id="rId2"/>
        </xdr:cNvPr>
        <xdr:cNvSpPr/>
      </xdr:nvSpPr>
      <xdr:spPr>
        <a:xfrm>
          <a:off x="2752725" y="11554365"/>
          <a:ext cx="2678305"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895351</xdr:colOff>
      <xdr:row>68</xdr:row>
      <xdr:rowOff>105315</xdr:rowOff>
    </xdr:from>
    <xdr:ext cx="2752724" cy="256636"/>
    <xdr:sp macro="" textlink="">
      <xdr:nvSpPr>
        <xdr:cNvPr id="6" name="Rectangle 5">
          <a:hlinkClick xmlns:r="http://schemas.openxmlformats.org/officeDocument/2006/relationships" r:id="rId3"/>
        </xdr:cNvPr>
        <xdr:cNvSpPr/>
      </xdr:nvSpPr>
      <xdr:spPr>
        <a:xfrm>
          <a:off x="2638426" y="12344940"/>
          <a:ext cx="275272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57149</xdr:colOff>
      <xdr:row>0</xdr:row>
      <xdr:rowOff>28575</xdr:rowOff>
    </xdr:from>
    <xdr:ext cx="1032071" cy="447675"/>
    <xdr:sp macro="" textlink="">
      <xdr:nvSpPr>
        <xdr:cNvPr id="2" name="Rectangle 1">
          <a:hlinkClick xmlns:r="http://schemas.openxmlformats.org/officeDocument/2006/relationships" r:id="rId1"/>
        </xdr:cNvPr>
        <xdr:cNvSpPr/>
      </xdr:nvSpPr>
      <xdr:spPr>
        <a:xfrm>
          <a:off x="57149" y="28575"/>
          <a:ext cx="10320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1847850</xdr:colOff>
      <xdr:row>10</xdr:row>
      <xdr:rowOff>161925</xdr:rowOff>
    </xdr:from>
    <xdr:ext cx="1851404" cy="256636"/>
    <xdr:sp macro="" textlink="">
      <xdr:nvSpPr>
        <xdr:cNvPr id="3" name="Rectangle 2">
          <a:hlinkClick xmlns:r="http://schemas.openxmlformats.org/officeDocument/2006/relationships" r:id="rId2"/>
        </xdr:cNvPr>
        <xdr:cNvSpPr/>
      </xdr:nvSpPr>
      <xdr:spPr>
        <a:xfrm>
          <a:off x="3657600" y="2562225"/>
          <a:ext cx="1851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1915400</xdr:colOff>
      <xdr:row>49</xdr:row>
      <xdr:rowOff>91027</xdr:rowOff>
    </xdr:from>
    <xdr:ext cx="1769907" cy="280205"/>
    <xdr:sp macro="" textlink="">
      <xdr:nvSpPr>
        <xdr:cNvPr id="4" name="Rectangle 3">
          <a:hlinkClick xmlns:r="http://schemas.openxmlformats.org/officeDocument/2006/relationships" r:id="rId2"/>
        </xdr:cNvPr>
        <xdr:cNvSpPr/>
      </xdr:nvSpPr>
      <xdr:spPr>
        <a:xfrm>
          <a:off x="3725150" y="8958802"/>
          <a:ext cx="1769907"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57200"/>
    <xdr:sp macro="" textlink="">
      <xdr:nvSpPr>
        <xdr:cNvPr id="2" name="Rectangle 1">
          <a:hlinkClick xmlns:r="http://schemas.openxmlformats.org/officeDocument/2006/relationships" r:id="rId1"/>
        </xdr:cNvPr>
        <xdr:cNvSpPr/>
      </xdr:nvSpPr>
      <xdr:spPr>
        <a:xfrm>
          <a:off x="28574" y="28575"/>
          <a:ext cx="9939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2198502</xdr:colOff>
      <xdr:row>10</xdr:row>
      <xdr:rowOff>191039</xdr:rowOff>
    </xdr:from>
    <xdr:ext cx="1851404" cy="280205"/>
    <xdr:sp macro="" textlink="">
      <xdr:nvSpPr>
        <xdr:cNvPr id="3" name="Rectangle 2">
          <a:hlinkClick xmlns:r="http://schemas.openxmlformats.org/officeDocument/2006/relationships" r:id="rId2"/>
        </xdr:cNvPr>
        <xdr:cNvSpPr/>
      </xdr:nvSpPr>
      <xdr:spPr>
        <a:xfrm>
          <a:off x="3951102" y="27818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1685940</xdr:colOff>
      <xdr:row>46</xdr:row>
      <xdr:rowOff>95789</xdr:rowOff>
    </xdr:from>
    <xdr:ext cx="2362185" cy="280205"/>
    <xdr:sp macro="" textlink="">
      <xdr:nvSpPr>
        <xdr:cNvPr id="4" name="Rectangle 3">
          <a:hlinkClick xmlns:r="http://schemas.openxmlformats.org/officeDocument/2006/relationships" r:id="rId2"/>
        </xdr:cNvPr>
        <xdr:cNvSpPr/>
      </xdr:nvSpPr>
      <xdr:spPr>
        <a:xfrm>
          <a:off x="3438540" y="866828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38100</xdr:colOff>
      <xdr:row>0</xdr:row>
      <xdr:rowOff>28574</xdr:rowOff>
    </xdr:from>
    <xdr:ext cx="965396" cy="504825"/>
    <xdr:sp macro="" textlink="">
      <xdr:nvSpPr>
        <xdr:cNvPr id="2" name="Rectangle 1">
          <a:hlinkClick xmlns:r="http://schemas.openxmlformats.org/officeDocument/2006/relationships" r:id="rId1"/>
        </xdr:cNvPr>
        <xdr:cNvSpPr/>
      </xdr:nvSpPr>
      <xdr:spPr>
        <a:xfrm>
          <a:off x="38100" y="28574"/>
          <a:ext cx="96539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1812740</xdr:colOff>
      <xdr:row>10</xdr:row>
      <xdr:rowOff>143414</xdr:rowOff>
    </xdr:from>
    <xdr:ext cx="1851404" cy="280205"/>
    <xdr:sp macro="" textlink="">
      <xdr:nvSpPr>
        <xdr:cNvPr id="3" name="Rectangle 2">
          <a:hlinkClick xmlns:r="http://schemas.openxmlformats.org/officeDocument/2006/relationships" r:id="rId2"/>
        </xdr:cNvPr>
        <xdr:cNvSpPr/>
      </xdr:nvSpPr>
      <xdr:spPr>
        <a:xfrm>
          <a:off x="3574865" y="26961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1271603</xdr:colOff>
      <xdr:row>44</xdr:row>
      <xdr:rowOff>95789</xdr:rowOff>
    </xdr:from>
    <xdr:ext cx="2362185" cy="280205"/>
    <xdr:sp macro="" textlink="">
      <xdr:nvSpPr>
        <xdr:cNvPr id="4" name="Rectangle 3">
          <a:hlinkClick xmlns:r="http://schemas.openxmlformats.org/officeDocument/2006/relationships" r:id="rId2"/>
        </xdr:cNvPr>
        <xdr:cNvSpPr/>
      </xdr:nvSpPr>
      <xdr:spPr>
        <a:xfrm>
          <a:off x="3033728" y="830633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85775"/>
    <xdr:sp macro="" textlink="">
      <xdr:nvSpPr>
        <xdr:cNvPr id="2" name="Rectangle 1">
          <a:hlinkClick xmlns:r="http://schemas.openxmlformats.org/officeDocument/2006/relationships" r:id="rId1"/>
        </xdr:cNvPr>
        <xdr:cNvSpPr/>
      </xdr:nvSpPr>
      <xdr:spPr>
        <a:xfrm>
          <a:off x="28575" y="28574"/>
          <a:ext cx="9463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2036578</xdr:colOff>
      <xdr:row>10</xdr:row>
      <xdr:rowOff>152939</xdr:rowOff>
    </xdr:from>
    <xdr:ext cx="1851404" cy="280205"/>
    <xdr:sp macro="" textlink="">
      <xdr:nvSpPr>
        <xdr:cNvPr id="3" name="Rectangle 2">
          <a:hlinkClick xmlns:r="http://schemas.openxmlformats.org/officeDocument/2006/relationships" r:id="rId2"/>
        </xdr:cNvPr>
        <xdr:cNvSpPr/>
      </xdr:nvSpPr>
      <xdr:spPr>
        <a:xfrm>
          <a:off x="3846328" y="25818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1552591</xdr:colOff>
      <xdr:row>49</xdr:row>
      <xdr:rowOff>95789</xdr:rowOff>
    </xdr:from>
    <xdr:ext cx="2362185" cy="280205"/>
    <xdr:sp macro="" textlink="">
      <xdr:nvSpPr>
        <xdr:cNvPr id="4" name="Rectangle 3">
          <a:hlinkClick xmlns:r="http://schemas.openxmlformats.org/officeDocument/2006/relationships" r:id="rId2"/>
        </xdr:cNvPr>
        <xdr:cNvSpPr/>
      </xdr:nvSpPr>
      <xdr:spPr>
        <a:xfrm>
          <a:off x="3362341" y="88302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38100</xdr:colOff>
      <xdr:row>0</xdr:row>
      <xdr:rowOff>38100</xdr:rowOff>
    </xdr:from>
    <xdr:ext cx="965396" cy="466725"/>
    <xdr:sp macro="" textlink="">
      <xdr:nvSpPr>
        <xdr:cNvPr id="2" name="Rectangle 1">
          <a:hlinkClick xmlns:r="http://schemas.openxmlformats.org/officeDocument/2006/relationships" r:id="rId1"/>
        </xdr:cNvPr>
        <xdr:cNvSpPr/>
      </xdr:nvSpPr>
      <xdr:spPr>
        <a:xfrm>
          <a:off x="38100" y="3810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76854</xdr:colOff>
      <xdr:row>3</xdr:row>
      <xdr:rowOff>86264</xdr:rowOff>
    </xdr:from>
    <xdr:ext cx="2256130" cy="280205"/>
    <xdr:sp macro="" textlink="">
      <xdr:nvSpPr>
        <xdr:cNvPr id="3" name="Rectangle 2">
          <a:hlinkClick xmlns:r="http://schemas.openxmlformats.org/officeDocument/2006/relationships" r:id="rId1"/>
        </xdr:cNvPr>
        <xdr:cNvSpPr/>
      </xdr:nvSpPr>
      <xdr:spPr>
        <a:xfrm>
          <a:off x="1438929" y="667289"/>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 to Portfolio View</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1707964</xdr:colOff>
      <xdr:row>11</xdr:row>
      <xdr:rowOff>33877</xdr:rowOff>
    </xdr:from>
    <xdr:ext cx="1851404" cy="280205"/>
    <xdr:sp macro="" textlink="">
      <xdr:nvSpPr>
        <xdr:cNvPr id="3" name="Rectangle 2">
          <a:hlinkClick xmlns:r="http://schemas.openxmlformats.org/officeDocument/2006/relationships" r:id="rId2"/>
        </xdr:cNvPr>
        <xdr:cNvSpPr/>
      </xdr:nvSpPr>
      <xdr:spPr>
        <a:xfrm>
          <a:off x="3451039" y="282470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1632430</xdr:colOff>
      <xdr:row>13</xdr:row>
      <xdr:rowOff>33877</xdr:rowOff>
    </xdr:from>
    <xdr:ext cx="2002471" cy="280205"/>
    <xdr:sp macro="" textlink="">
      <xdr:nvSpPr>
        <xdr:cNvPr id="4" name="Rectangle 3">
          <a:hlinkClick xmlns:r="http://schemas.openxmlformats.org/officeDocument/2006/relationships" r:id="rId3"/>
        </xdr:cNvPr>
        <xdr:cNvSpPr/>
      </xdr:nvSpPr>
      <xdr:spPr>
        <a:xfrm>
          <a:off x="3375505" y="3148552"/>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1243027</xdr:colOff>
      <xdr:row>57</xdr:row>
      <xdr:rowOff>5302</xdr:rowOff>
    </xdr:from>
    <xdr:ext cx="2362185" cy="280205"/>
    <xdr:sp macro="" textlink="">
      <xdr:nvSpPr>
        <xdr:cNvPr id="5" name="Rectangle 4">
          <a:hlinkClick xmlns:r="http://schemas.openxmlformats.org/officeDocument/2006/relationships" r:id="rId2"/>
        </xdr:cNvPr>
        <xdr:cNvSpPr/>
      </xdr:nvSpPr>
      <xdr:spPr>
        <a:xfrm>
          <a:off x="2986102" y="10320877"/>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1110343</xdr:colOff>
      <xdr:row>69</xdr:row>
      <xdr:rowOff>5302</xdr:rowOff>
    </xdr:from>
    <xdr:ext cx="2513252" cy="280205"/>
    <xdr:sp macro="" textlink="">
      <xdr:nvSpPr>
        <xdr:cNvPr id="6" name="Rectangle 5">
          <a:hlinkClick xmlns:r="http://schemas.openxmlformats.org/officeDocument/2006/relationships" r:id="rId3"/>
        </xdr:cNvPr>
        <xdr:cNvSpPr/>
      </xdr:nvSpPr>
      <xdr:spPr>
        <a:xfrm>
          <a:off x="2853418" y="12397327"/>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28575</xdr:colOff>
      <xdr:row>0</xdr:row>
      <xdr:rowOff>19050</xdr:rowOff>
    </xdr:from>
    <xdr:ext cx="965396" cy="495300"/>
    <xdr:sp macro="" textlink="">
      <xdr:nvSpPr>
        <xdr:cNvPr id="2" name="Rectangle 1">
          <a:hlinkClick xmlns:r="http://schemas.openxmlformats.org/officeDocument/2006/relationships" r:id="rId1"/>
        </xdr:cNvPr>
        <xdr:cNvSpPr/>
      </xdr:nvSpPr>
      <xdr:spPr>
        <a:xfrm>
          <a:off x="28575" y="19050"/>
          <a:ext cx="96539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1836553</xdr:colOff>
      <xdr:row>11</xdr:row>
      <xdr:rowOff>14827</xdr:rowOff>
    </xdr:from>
    <xdr:ext cx="1851404" cy="280205"/>
    <xdr:sp macro="" textlink="">
      <xdr:nvSpPr>
        <xdr:cNvPr id="3" name="Rectangle 2">
          <a:hlinkClick xmlns:r="http://schemas.openxmlformats.org/officeDocument/2006/relationships" r:id="rId2"/>
        </xdr:cNvPr>
        <xdr:cNvSpPr/>
      </xdr:nvSpPr>
      <xdr:spPr>
        <a:xfrm>
          <a:off x="3570103" y="284375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1703871</xdr:colOff>
      <xdr:row>13</xdr:row>
      <xdr:rowOff>5302</xdr:rowOff>
    </xdr:from>
    <xdr:ext cx="2002471" cy="280205"/>
    <xdr:sp macro="" textlink="">
      <xdr:nvSpPr>
        <xdr:cNvPr id="4" name="Rectangle 3">
          <a:hlinkClick xmlns:r="http://schemas.openxmlformats.org/officeDocument/2006/relationships" r:id="rId3"/>
        </xdr:cNvPr>
        <xdr:cNvSpPr/>
      </xdr:nvSpPr>
      <xdr:spPr>
        <a:xfrm>
          <a:off x="3437421" y="3158077"/>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1285891</xdr:colOff>
      <xdr:row>52</xdr:row>
      <xdr:rowOff>176752</xdr:rowOff>
    </xdr:from>
    <xdr:ext cx="2362185" cy="280205"/>
    <xdr:sp macro="" textlink="">
      <xdr:nvSpPr>
        <xdr:cNvPr id="5" name="Rectangle 4">
          <a:hlinkClick xmlns:r="http://schemas.openxmlformats.org/officeDocument/2006/relationships" r:id="rId2"/>
        </xdr:cNvPr>
        <xdr:cNvSpPr/>
      </xdr:nvSpPr>
      <xdr:spPr>
        <a:xfrm>
          <a:off x="3019441" y="9720802"/>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1172255</xdr:colOff>
      <xdr:row>56</xdr:row>
      <xdr:rowOff>157702</xdr:rowOff>
    </xdr:from>
    <xdr:ext cx="2513252" cy="280205"/>
    <xdr:sp macro="" textlink="">
      <xdr:nvSpPr>
        <xdr:cNvPr id="6" name="Rectangle 5">
          <a:hlinkClick xmlns:r="http://schemas.openxmlformats.org/officeDocument/2006/relationships" r:id="rId3"/>
        </xdr:cNvPr>
        <xdr:cNvSpPr/>
      </xdr:nvSpPr>
      <xdr:spPr>
        <a:xfrm>
          <a:off x="2905805" y="10473277"/>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1955615</xdr:colOff>
      <xdr:row>10</xdr:row>
      <xdr:rowOff>124364</xdr:rowOff>
    </xdr:from>
    <xdr:ext cx="1851404" cy="280205"/>
    <xdr:sp macro="" textlink="">
      <xdr:nvSpPr>
        <xdr:cNvPr id="3" name="Rectangle 2">
          <a:hlinkClick xmlns:r="http://schemas.openxmlformats.org/officeDocument/2006/relationships" r:id="rId2"/>
        </xdr:cNvPr>
        <xdr:cNvSpPr/>
      </xdr:nvSpPr>
      <xdr:spPr>
        <a:xfrm>
          <a:off x="3679640" y="269611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1433529</xdr:colOff>
      <xdr:row>46</xdr:row>
      <xdr:rowOff>86264</xdr:rowOff>
    </xdr:from>
    <xdr:ext cx="2362185" cy="280205"/>
    <xdr:sp macro="" textlink="">
      <xdr:nvSpPr>
        <xdr:cNvPr id="4" name="Rectangle 3">
          <a:hlinkClick xmlns:r="http://schemas.openxmlformats.org/officeDocument/2006/relationships" r:id="rId2"/>
        </xdr:cNvPr>
        <xdr:cNvSpPr/>
      </xdr:nvSpPr>
      <xdr:spPr>
        <a:xfrm>
          <a:off x="3157554" y="86397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38150"/>
    <xdr:sp macro="" textlink="">
      <xdr:nvSpPr>
        <xdr:cNvPr id="2" name="Rectangle 1">
          <a:hlinkClick xmlns:r="http://schemas.openxmlformats.org/officeDocument/2006/relationships" r:id="rId1"/>
        </xdr:cNvPr>
        <xdr:cNvSpPr/>
      </xdr:nvSpPr>
      <xdr:spPr>
        <a:xfrm>
          <a:off x="38099" y="38100"/>
          <a:ext cx="95587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1812740</xdr:colOff>
      <xdr:row>10</xdr:row>
      <xdr:rowOff>171989</xdr:rowOff>
    </xdr:from>
    <xdr:ext cx="1851404" cy="280205"/>
    <xdr:sp macro="" textlink="">
      <xdr:nvSpPr>
        <xdr:cNvPr id="3" name="Rectangle 2">
          <a:hlinkClick xmlns:r="http://schemas.openxmlformats.org/officeDocument/2006/relationships" r:id="rId2"/>
        </xdr:cNvPr>
        <xdr:cNvSpPr/>
      </xdr:nvSpPr>
      <xdr:spPr>
        <a:xfrm>
          <a:off x="3536765" y="27437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1328753</xdr:colOff>
      <xdr:row>48</xdr:row>
      <xdr:rowOff>105314</xdr:rowOff>
    </xdr:from>
    <xdr:ext cx="2362185" cy="280205"/>
    <xdr:sp macro="" textlink="">
      <xdr:nvSpPr>
        <xdr:cNvPr id="4" name="Rectangle 3">
          <a:hlinkClick xmlns:r="http://schemas.openxmlformats.org/officeDocument/2006/relationships" r:id="rId2"/>
        </xdr:cNvPr>
        <xdr:cNvSpPr/>
      </xdr:nvSpPr>
      <xdr:spPr>
        <a:xfrm>
          <a:off x="3052778" y="89826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1931802</xdr:colOff>
      <xdr:row>11</xdr:row>
      <xdr:rowOff>43402</xdr:rowOff>
    </xdr:from>
    <xdr:ext cx="1851404" cy="280205"/>
    <xdr:sp macro="" textlink="">
      <xdr:nvSpPr>
        <xdr:cNvPr id="3" name="Rectangle 2">
          <a:hlinkClick xmlns:r="http://schemas.openxmlformats.org/officeDocument/2006/relationships" r:id="rId2"/>
        </xdr:cNvPr>
        <xdr:cNvSpPr/>
      </xdr:nvSpPr>
      <xdr:spPr>
        <a:xfrm>
          <a:off x="3627252" y="2881852"/>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1799121</xdr:colOff>
      <xdr:row>13</xdr:row>
      <xdr:rowOff>24352</xdr:rowOff>
    </xdr:from>
    <xdr:ext cx="2002471" cy="280205"/>
    <xdr:sp macro="" textlink="">
      <xdr:nvSpPr>
        <xdr:cNvPr id="4" name="Rectangle 3">
          <a:hlinkClick xmlns:r="http://schemas.openxmlformats.org/officeDocument/2006/relationships" r:id="rId3"/>
        </xdr:cNvPr>
        <xdr:cNvSpPr/>
      </xdr:nvSpPr>
      <xdr:spPr>
        <a:xfrm>
          <a:off x="3494571" y="3186652"/>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1447817</xdr:colOff>
      <xdr:row>53</xdr:row>
      <xdr:rowOff>5302</xdr:rowOff>
    </xdr:from>
    <xdr:ext cx="2362185" cy="280205"/>
    <xdr:sp macro="" textlink="">
      <xdr:nvSpPr>
        <xdr:cNvPr id="5" name="Rectangle 4">
          <a:hlinkClick xmlns:r="http://schemas.openxmlformats.org/officeDocument/2006/relationships" r:id="rId2"/>
        </xdr:cNvPr>
        <xdr:cNvSpPr/>
      </xdr:nvSpPr>
      <xdr:spPr>
        <a:xfrm>
          <a:off x="3143267" y="9730327"/>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1305605</xdr:colOff>
      <xdr:row>57</xdr:row>
      <xdr:rowOff>5302</xdr:rowOff>
    </xdr:from>
    <xdr:ext cx="2513252" cy="280205"/>
    <xdr:sp macro="" textlink="">
      <xdr:nvSpPr>
        <xdr:cNvPr id="6" name="Rectangle 5">
          <a:hlinkClick xmlns:r="http://schemas.openxmlformats.org/officeDocument/2006/relationships" r:id="rId3"/>
        </xdr:cNvPr>
        <xdr:cNvSpPr/>
      </xdr:nvSpPr>
      <xdr:spPr>
        <a:xfrm>
          <a:off x="3001055" y="10520902"/>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57149</xdr:colOff>
      <xdr:row>0</xdr:row>
      <xdr:rowOff>38100</xdr:rowOff>
    </xdr:from>
    <xdr:ext cx="974921" cy="476250"/>
    <xdr:sp macro="" textlink="">
      <xdr:nvSpPr>
        <xdr:cNvPr id="2" name="Rectangle 1">
          <a:hlinkClick xmlns:r="http://schemas.openxmlformats.org/officeDocument/2006/relationships" r:id="rId1"/>
        </xdr:cNvPr>
        <xdr:cNvSpPr/>
      </xdr:nvSpPr>
      <xdr:spPr>
        <a:xfrm>
          <a:off x="57149" y="38100"/>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47625</xdr:colOff>
      <xdr:row>0</xdr:row>
      <xdr:rowOff>28575</xdr:rowOff>
    </xdr:from>
    <xdr:ext cx="984446" cy="466725"/>
    <xdr:sp macro="" textlink="">
      <xdr:nvSpPr>
        <xdr:cNvPr id="2" name="Rectangle 1">
          <a:hlinkClick xmlns:r="http://schemas.openxmlformats.org/officeDocument/2006/relationships" r:id="rId1"/>
        </xdr:cNvPr>
        <xdr:cNvSpPr/>
      </xdr:nvSpPr>
      <xdr:spPr>
        <a:xfrm>
          <a:off x="47625"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38099</xdr:colOff>
      <xdr:row>0</xdr:row>
      <xdr:rowOff>38100</xdr:rowOff>
    </xdr:from>
    <xdr:ext cx="974921" cy="457200"/>
    <xdr:sp macro="" textlink="">
      <xdr:nvSpPr>
        <xdr:cNvPr id="2" name="Rectangle 1">
          <a:hlinkClick xmlns:r="http://schemas.openxmlformats.org/officeDocument/2006/relationships" r:id="rId1"/>
        </xdr:cNvPr>
        <xdr:cNvSpPr/>
      </xdr:nvSpPr>
      <xdr:spPr>
        <a:xfrm>
          <a:off x="38099" y="38100"/>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57149</xdr:colOff>
      <xdr:row>0</xdr:row>
      <xdr:rowOff>38100</xdr:rowOff>
    </xdr:from>
    <xdr:ext cx="993971" cy="485775"/>
    <xdr:sp macro="" textlink="">
      <xdr:nvSpPr>
        <xdr:cNvPr id="2" name="Rectangle 1">
          <a:hlinkClick xmlns:r="http://schemas.openxmlformats.org/officeDocument/2006/relationships" r:id="rId1"/>
        </xdr:cNvPr>
        <xdr:cNvSpPr/>
      </xdr:nvSpPr>
      <xdr:spPr>
        <a:xfrm>
          <a:off x="5714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47625</xdr:colOff>
      <xdr:row>0</xdr:row>
      <xdr:rowOff>38099</xdr:rowOff>
    </xdr:from>
    <xdr:ext cx="984446" cy="466725"/>
    <xdr:sp macro="" textlink="">
      <xdr:nvSpPr>
        <xdr:cNvPr id="2" name="Rectangle 1">
          <a:hlinkClick xmlns:r="http://schemas.openxmlformats.org/officeDocument/2006/relationships" r:id="rId1"/>
        </xdr:cNvPr>
        <xdr:cNvSpPr/>
      </xdr:nvSpPr>
      <xdr:spPr>
        <a:xfrm>
          <a:off x="47625" y="38099"/>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47625</xdr:colOff>
      <xdr:row>0</xdr:row>
      <xdr:rowOff>38100</xdr:rowOff>
    </xdr:from>
    <xdr:ext cx="965396" cy="476250"/>
    <xdr:sp macro="" textlink="">
      <xdr:nvSpPr>
        <xdr:cNvPr id="2" name="Rectangle 1">
          <a:hlinkClick xmlns:r="http://schemas.openxmlformats.org/officeDocument/2006/relationships" r:id="rId1"/>
        </xdr:cNvPr>
        <xdr:cNvSpPr/>
      </xdr:nvSpPr>
      <xdr:spPr>
        <a:xfrm>
          <a:off x="4762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85775"/>
    <xdr:sp macro="" textlink="">
      <xdr:nvSpPr>
        <xdr:cNvPr id="2" name="Rectangle 1">
          <a:hlinkClick xmlns:r="http://schemas.openxmlformats.org/officeDocument/2006/relationships" r:id="rId1"/>
        </xdr:cNvPr>
        <xdr:cNvSpPr/>
      </xdr:nvSpPr>
      <xdr:spPr>
        <a:xfrm>
          <a:off x="47624" y="28575"/>
          <a:ext cx="97492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0</xdr:col>
      <xdr:colOff>38100</xdr:colOff>
      <xdr:row>0</xdr:row>
      <xdr:rowOff>19050</xdr:rowOff>
    </xdr:from>
    <xdr:ext cx="965396" cy="466725"/>
    <xdr:sp macro="" textlink="">
      <xdr:nvSpPr>
        <xdr:cNvPr id="2" name="Rectangle 1">
          <a:hlinkClick xmlns:r="http://schemas.openxmlformats.org/officeDocument/2006/relationships" r:id="rId1"/>
        </xdr:cNvPr>
        <xdr:cNvSpPr/>
      </xdr:nvSpPr>
      <xdr:spPr>
        <a:xfrm>
          <a:off x="38100" y="1905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47625</xdr:colOff>
      <xdr:row>0</xdr:row>
      <xdr:rowOff>28574</xdr:rowOff>
    </xdr:from>
    <xdr:ext cx="984446" cy="485775"/>
    <xdr:sp macro="" textlink="">
      <xdr:nvSpPr>
        <xdr:cNvPr id="2" name="Rectangle 1">
          <a:hlinkClick xmlns:r="http://schemas.openxmlformats.org/officeDocument/2006/relationships" r:id="rId1"/>
        </xdr:cNvPr>
        <xdr:cNvSpPr/>
      </xdr:nvSpPr>
      <xdr:spPr>
        <a:xfrm>
          <a:off x="47625" y="28574"/>
          <a:ext cx="9844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28575</xdr:colOff>
      <xdr:row>0</xdr:row>
      <xdr:rowOff>28575</xdr:rowOff>
    </xdr:from>
    <xdr:ext cx="1003496" cy="447675"/>
    <xdr:sp macro="" textlink="">
      <xdr:nvSpPr>
        <xdr:cNvPr id="2" name="Rectangle 1">
          <a:hlinkClick xmlns:r="http://schemas.openxmlformats.org/officeDocument/2006/relationships" r:id="rId1"/>
        </xdr:cNvPr>
        <xdr:cNvSpPr/>
      </xdr:nvSpPr>
      <xdr:spPr>
        <a:xfrm>
          <a:off x="28575" y="28575"/>
          <a:ext cx="10034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38100</xdr:colOff>
      <xdr:row>0</xdr:row>
      <xdr:rowOff>28574</xdr:rowOff>
    </xdr:from>
    <xdr:ext cx="984446" cy="466725"/>
    <xdr:sp macro="" textlink="">
      <xdr:nvSpPr>
        <xdr:cNvPr id="2" name="Rectangle 1">
          <a:hlinkClick xmlns:r="http://schemas.openxmlformats.org/officeDocument/2006/relationships" r:id="rId1"/>
        </xdr:cNvPr>
        <xdr:cNvSpPr/>
      </xdr:nvSpPr>
      <xdr:spPr>
        <a:xfrm>
          <a:off x="38100" y="28574"/>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47624</xdr:colOff>
      <xdr:row>0</xdr:row>
      <xdr:rowOff>28575</xdr:rowOff>
    </xdr:from>
    <xdr:ext cx="946345" cy="466725"/>
    <xdr:sp macro="" textlink="">
      <xdr:nvSpPr>
        <xdr:cNvPr id="2" name="Rectangle 1">
          <a:hlinkClick xmlns:r="http://schemas.openxmlformats.org/officeDocument/2006/relationships" r:id="rId1"/>
        </xdr:cNvPr>
        <xdr:cNvSpPr/>
      </xdr:nvSpPr>
      <xdr:spPr>
        <a:xfrm>
          <a:off x="47624" y="28575"/>
          <a:ext cx="946345"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0</xdr:col>
      <xdr:colOff>38100</xdr:colOff>
      <xdr:row>0</xdr:row>
      <xdr:rowOff>28575</xdr:rowOff>
    </xdr:from>
    <xdr:ext cx="946346" cy="457200"/>
    <xdr:sp macro="" textlink="">
      <xdr:nvSpPr>
        <xdr:cNvPr id="2" name="Rectangle 1">
          <a:hlinkClick xmlns:r="http://schemas.openxmlformats.org/officeDocument/2006/relationships" r:id="rId1"/>
        </xdr:cNvPr>
        <xdr:cNvSpPr/>
      </xdr:nvSpPr>
      <xdr:spPr>
        <a:xfrm>
          <a:off x="38100" y="28575"/>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76251"/>
    <xdr:sp macro="" textlink="">
      <xdr:nvSpPr>
        <xdr:cNvPr id="2" name="Rectangle 1">
          <a:hlinkClick xmlns:r="http://schemas.openxmlformats.org/officeDocument/2006/relationships" r:id="rId1"/>
        </xdr:cNvPr>
        <xdr:cNvSpPr/>
      </xdr:nvSpPr>
      <xdr:spPr>
        <a:xfrm>
          <a:off x="28575" y="28574"/>
          <a:ext cx="946346" cy="4762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38100</xdr:colOff>
      <xdr:row>0</xdr:row>
      <xdr:rowOff>19050</xdr:rowOff>
    </xdr:from>
    <xdr:ext cx="984446" cy="466725"/>
    <xdr:sp macro="" textlink="">
      <xdr:nvSpPr>
        <xdr:cNvPr id="2" name="Rectangle 1">
          <a:hlinkClick xmlns:r="http://schemas.openxmlformats.org/officeDocument/2006/relationships" r:id="rId1"/>
        </xdr:cNvPr>
        <xdr:cNvSpPr/>
      </xdr:nvSpPr>
      <xdr:spPr>
        <a:xfrm>
          <a:off x="38100" y="19050"/>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76250"/>
    <xdr:sp macro="" textlink="">
      <xdr:nvSpPr>
        <xdr:cNvPr id="2" name="Rectangle 1">
          <a:hlinkClick xmlns:r="http://schemas.openxmlformats.org/officeDocument/2006/relationships" r:id="rId1"/>
        </xdr:cNvPr>
        <xdr:cNvSpPr/>
      </xdr:nvSpPr>
      <xdr:spPr>
        <a:xfrm>
          <a:off x="38100" y="28575"/>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38099</xdr:colOff>
      <xdr:row>0</xdr:row>
      <xdr:rowOff>28575</xdr:rowOff>
    </xdr:from>
    <xdr:ext cx="993971" cy="466725"/>
    <xdr:sp macro="" textlink="">
      <xdr:nvSpPr>
        <xdr:cNvPr id="2" name="Rectangle 1">
          <a:hlinkClick xmlns:r="http://schemas.openxmlformats.org/officeDocument/2006/relationships" r:id="rId1"/>
        </xdr:cNvPr>
        <xdr:cNvSpPr/>
      </xdr:nvSpPr>
      <xdr:spPr>
        <a:xfrm>
          <a:off x="38099" y="28575"/>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38150"/>
    <xdr:sp macro="" textlink="">
      <xdr:nvSpPr>
        <xdr:cNvPr id="2" name="Rectangle 1">
          <a:hlinkClick xmlns:r="http://schemas.openxmlformats.org/officeDocument/2006/relationships" r:id="rId1"/>
        </xdr:cNvPr>
        <xdr:cNvSpPr/>
      </xdr:nvSpPr>
      <xdr:spPr>
        <a:xfrm>
          <a:off x="38100" y="28575"/>
          <a:ext cx="984446"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38099</xdr:colOff>
      <xdr:row>0</xdr:row>
      <xdr:rowOff>38100</xdr:rowOff>
    </xdr:from>
    <xdr:ext cx="993971" cy="485775"/>
    <xdr:sp macro="" textlink="">
      <xdr:nvSpPr>
        <xdr:cNvPr id="2" name="Rectangle 1">
          <a:hlinkClick xmlns:r="http://schemas.openxmlformats.org/officeDocument/2006/relationships" r:id="rId1"/>
        </xdr:cNvPr>
        <xdr:cNvSpPr/>
      </xdr:nvSpPr>
      <xdr:spPr>
        <a:xfrm>
          <a:off x="3809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57149</xdr:colOff>
      <xdr:row>0</xdr:row>
      <xdr:rowOff>28575</xdr:rowOff>
    </xdr:from>
    <xdr:ext cx="974921" cy="476250"/>
    <xdr:sp macro="" textlink="">
      <xdr:nvSpPr>
        <xdr:cNvPr id="2" name="Rectangle 1">
          <a:hlinkClick xmlns:r="http://schemas.openxmlformats.org/officeDocument/2006/relationships" r:id="rId1"/>
        </xdr:cNvPr>
        <xdr:cNvSpPr/>
      </xdr:nvSpPr>
      <xdr:spPr>
        <a:xfrm>
          <a:off x="57149" y="28575"/>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5" cy="485775"/>
    <xdr:sp macro="" textlink="">
      <xdr:nvSpPr>
        <xdr:cNvPr id="2" name="Rectangle 1">
          <a:hlinkClick xmlns:r="http://schemas.openxmlformats.org/officeDocument/2006/relationships" r:id="rId1"/>
        </xdr:cNvPr>
        <xdr:cNvSpPr/>
      </xdr:nvSpPr>
      <xdr:spPr>
        <a:xfrm>
          <a:off x="38100" y="28575"/>
          <a:ext cx="965395"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0</xdr:col>
      <xdr:colOff>57149</xdr:colOff>
      <xdr:row>0</xdr:row>
      <xdr:rowOff>9525</xdr:rowOff>
    </xdr:from>
    <xdr:ext cx="1013021" cy="466725"/>
    <xdr:sp macro="" textlink="">
      <xdr:nvSpPr>
        <xdr:cNvPr id="2" name="Rectangle 1">
          <a:hlinkClick xmlns:r="http://schemas.openxmlformats.org/officeDocument/2006/relationships" r:id="rId1"/>
        </xdr:cNvPr>
        <xdr:cNvSpPr/>
      </xdr:nvSpPr>
      <xdr:spPr>
        <a:xfrm>
          <a:off x="57149" y="9525"/>
          <a:ext cx="10130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38099</xdr:colOff>
      <xdr:row>0</xdr:row>
      <xdr:rowOff>47625</xdr:rowOff>
    </xdr:from>
    <xdr:ext cx="993971" cy="476250"/>
    <xdr:sp macro="" textlink="">
      <xdr:nvSpPr>
        <xdr:cNvPr id="2" name="Rectangle 1">
          <a:hlinkClick xmlns:r="http://schemas.openxmlformats.org/officeDocument/2006/relationships" r:id="rId1"/>
        </xdr:cNvPr>
        <xdr:cNvSpPr/>
      </xdr:nvSpPr>
      <xdr:spPr>
        <a:xfrm>
          <a:off x="38099" y="47625"/>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57200"/>
    <xdr:sp macro="" textlink="">
      <xdr:nvSpPr>
        <xdr:cNvPr id="2" name="Rectangle 1">
          <a:hlinkClick xmlns:r="http://schemas.openxmlformats.org/officeDocument/2006/relationships" r:id="rId1"/>
        </xdr:cNvPr>
        <xdr:cNvSpPr/>
      </xdr:nvSpPr>
      <xdr:spPr>
        <a:xfrm>
          <a:off x="28575"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38099</xdr:colOff>
      <xdr:row>0</xdr:row>
      <xdr:rowOff>28575</xdr:rowOff>
    </xdr:from>
    <xdr:ext cx="974921" cy="466725"/>
    <xdr:sp macro="" textlink="">
      <xdr:nvSpPr>
        <xdr:cNvPr id="2" name="Rectangle 1">
          <a:hlinkClick xmlns:r="http://schemas.openxmlformats.org/officeDocument/2006/relationships" r:id="rId1"/>
        </xdr:cNvPr>
        <xdr:cNvSpPr/>
      </xdr:nvSpPr>
      <xdr:spPr>
        <a:xfrm>
          <a:off x="38099" y="28575"/>
          <a:ext cx="9749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47624</xdr:colOff>
      <xdr:row>0</xdr:row>
      <xdr:rowOff>38100</xdr:rowOff>
    </xdr:from>
    <xdr:ext cx="955871" cy="495300"/>
    <xdr:sp macro="" textlink="">
      <xdr:nvSpPr>
        <xdr:cNvPr id="2" name="Rectangle 1">
          <a:hlinkClick xmlns:r="http://schemas.openxmlformats.org/officeDocument/2006/relationships" r:id="rId1"/>
        </xdr:cNvPr>
        <xdr:cNvSpPr/>
      </xdr:nvSpPr>
      <xdr:spPr>
        <a:xfrm>
          <a:off x="47624" y="38100"/>
          <a:ext cx="9558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66725"/>
    <xdr:sp macro="" textlink="">
      <xdr:nvSpPr>
        <xdr:cNvPr id="2" name="Rectangle 1">
          <a:hlinkClick xmlns:r="http://schemas.openxmlformats.org/officeDocument/2006/relationships" r:id="rId1"/>
        </xdr:cNvPr>
        <xdr:cNvSpPr/>
      </xdr:nvSpPr>
      <xdr:spPr>
        <a:xfrm>
          <a:off x="38100"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28574</xdr:colOff>
      <xdr:row>0</xdr:row>
      <xdr:rowOff>28574</xdr:rowOff>
    </xdr:from>
    <xdr:ext cx="955871" cy="466725"/>
    <xdr:sp macro="" textlink="">
      <xdr:nvSpPr>
        <xdr:cNvPr id="2" name="Rectangle 1">
          <a:hlinkClick xmlns:r="http://schemas.openxmlformats.org/officeDocument/2006/relationships" r:id="rId1"/>
        </xdr:cNvPr>
        <xdr:cNvSpPr/>
      </xdr:nvSpPr>
      <xdr:spPr>
        <a:xfrm>
          <a:off x="28574" y="28574"/>
          <a:ext cx="9558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47675"/>
    <xdr:sp macro="" textlink="">
      <xdr:nvSpPr>
        <xdr:cNvPr id="2" name="Rectangle 1">
          <a:hlinkClick xmlns:r="http://schemas.openxmlformats.org/officeDocument/2006/relationships" r:id="rId1"/>
        </xdr:cNvPr>
        <xdr:cNvSpPr/>
      </xdr:nvSpPr>
      <xdr:spPr>
        <a:xfrm>
          <a:off x="38100" y="28575"/>
          <a:ext cx="9653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108276</xdr:colOff>
      <xdr:row>0</xdr:row>
      <xdr:rowOff>48164</xdr:rowOff>
    </xdr:from>
    <xdr:ext cx="1745606" cy="280205"/>
    <xdr:sp macro="" textlink="">
      <xdr:nvSpPr>
        <xdr:cNvPr id="4" name="Rectangle 3">
          <a:hlinkClick xmlns:r="http://schemas.openxmlformats.org/officeDocument/2006/relationships" r:id="rId1"/>
        </xdr:cNvPr>
        <xdr:cNvSpPr/>
      </xdr:nvSpPr>
      <xdr:spPr>
        <a:xfrm>
          <a:off x="108276" y="48164"/>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251243</xdr:colOff>
      <xdr:row>3</xdr:row>
      <xdr:rowOff>91026</xdr:rowOff>
    </xdr:from>
    <xdr:ext cx="1501358" cy="480473"/>
    <xdr:sp macro="" textlink="">
      <xdr:nvSpPr>
        <xdr:cNvPr id="3" name="Rectangle 2">
          <a:hlinkClick xmlns:r="http://schemas.openxmlformats.org/officeDocument/2006/relationships" r:id="rId2"/>
        </xdr:cNvPr>
        <xdr:cNvSpPr/>
      </xdr:nvSpPr>
      <xdr:spPr>
        <a:xfrm>
          <a:off x="251243" y="814926"/>
          <a:ext cx="1501358"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380271</xdr:colOff>
      <xdr:row>7</xdr:row>
      <xdr:rowOff>119602</xdr:rowOff>
    </xdr:from>
    <xdr:ext cx="1238979" cy="470948"/>
    <xdr:sp macro="" textlink="">
      <xdr:nvSpPr>
        <xdr:cNvPr id="5" name="Rectangle 4">
          <a:hlinkClick xmlns:r="http://schemas.openxmlformats.org/officeDocument/2006/relationships" r:id="rId3"/>
        </xdr:cNvPr>
        <xdr:cNvSpPr/>
      </xdr:nvSpPr>
      <xdr:spPr>
        <a:xfrm>
          <a:off x="380271" y="1519777"/>
          <a:ext cx="1238979" cy="470948"/>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41601</xdr:colOff>
      <xdr:row>0</xdr:row>
      <xdr:rowOff>38639</xdr:rowOff>
    </xdr:from>
    <xdr:ext cx="1745606" cy="280205"/>
    <xdr:sp macro="" textlink="">
      <xdr:nvSpPr>
        <xdr:cNvPr id="2" name="Rectangle 1">
          <a:hlinkClick xmlns:r="http://schemas.openxmlformats.org/officeDocument/2006/relationships" r:id="rId1"/>
        </xdr:cNvPr>
        <xdr:cNvSpPr/>
      </xdr:nvSpPr>
      <xdr:spPr>
        <a:xfrm>
          <a:off x="41601" y="38639"/>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274348</xdr:colOff>
      <xdr:row>3</xdr:row>
      <xdr:rowOff>24352</xdr:rowOff>
    </xdr:from>
    <xdr:ext cx="1335377" cy="480473"/>
    <xdr:sp macro="" textlink="">
      <xdr:nvSpPr>
        <xdr:cNvPr id="3" name="Rectangle 2">
          <a:hlinkClick xmlns:r="http://schemas.openxmlformats.org/officeDocument/2006/relationships" r:id="rId2"/>
        </xdr:cNvPr>
        <xdr:cNvSpPr/>
      </xdr:nvSpPr>
      <xdr:spPr>
        <a:xfrm>
          <a:off x="274348" y="757777"/>
          <a:ext cx="1335377"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361222</xdr:colOff>
      <xdr:row>7</xdr:row>
      <xdr:rowOff>29114</xdr:rowOff>
    </xdr:from>
    <xdr:ext cx="1153253" cy="447136"/>
    <xdr:sp macro="" textlink="">
      <xdr:nvSpPr>
        <xdr:cNvPr id="4" name="Rectangle 3">
          <a:hlinkClick xmlns:r="http://schemas.openxmlformats.org/officeDocument/2006/relationships" r:id="rId3"/>
        </xdr:cNvPr>
        <xdr:cNvSpPr/>
      </xdr:nvSpPr>
      <xdr:spPr>
        <a:xfrm>
          <a:off x="361222" y="1438814"/>
          <a:ext cx="1153253" cy="4471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38100</xdr:colOff>
      <xdr:row>0</xdr:row>
      <xdr:rowOff>28575</xdr:rowOff>
    </xdr:from>
    <xdr:ext cx="993971" cy="485775"/>
    <xdr:sp macro="" textlink="">
      <xdr:nvSpPr>
        <xdr:cNvPr id="2" name="Rectangle 1">
          <a:hlinkClick xmlns:r="http://schemas.openxmlformats.org/officeDocument/2006/relationships" r:id="rId1"/>
        </xdr:cNvPr>
        <xdr:cNvSpPr/>
      </xdr:nvSpPr>
      <xdr:spPr>
        <a:xfrm>
          <a:off x="38100" y="28575"/>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38100</xdr:colOff>
      <xdr:row>0</xdr:row>
      <xdr:rowOff>38100</xdr:rowOff>
    </xdr:from>
    <xdr:ext cx="993971" cy="476250"/>
    <xdr:sp macro="" textlink="">
      <xdr:nvSpPr>
        <xdr:cNvPr id="2" name="Rectangle 1">
          <a:hlinkClick xmlns:r="http://schemas.openxmlformats.org/officeDocument/2006/relationships" r:id="rId1"/>
        </xdr:cNvPr>
        <xdr:cNvSpPr/>
      </xdr:nvSpPr>
      <xdr:spPr>
        <a:xfrm>
          <a:off x="38100" y="38100"/>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2013%20Planning/Planning%20Teams/REM%20Planning%20Workbooks/REMProgramPlanner_Master_201107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lwyse/LOCALS~1/Temp/notes2CBB50/2012%20-%202013%20BEM%20Budget%20Template_5-31-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Breakout"/>
      <sheetName val="% Change"/>
      <sheetName val="18230612"/>
      <sheetName val="18230625"/>
      <sheetName val="18230626"/>
      <sheetName val="18230627"/>
      <sheetName val="18230628"/>
      <sheetName val="18230635"/>
      <sheetName val="18230636"/>
      <sheetName val="18230637"/>
      <sheetName val="18230638"/>
      <sheetName val="18230407"/>
      <sheetName val="18230486"/>
      <sheetName val="18230673"/>
      <sheetName val="18230736"/>
      <sheetName val="18230405"/>
      <sheetName val="18230433"/>
      <sheetName val="18230442"/>
      <sheetName val="18230684"/>
      <sheetName val="18230409"/>
      <sheetName val="18230432"/>
      <sheetName val="18230434"/>
      <sheetName val="18230435"/>
      <sheetName val="18230440"/>
      <sheetName val="18230468"/>
      <sheetName val="18230700"/>
      <sheetName val="18230461"/>
      <sheetName val="18230629"/>
      <sheetName val="18230639"/>
      <sheetName val="18230738"/>
      <sheetName val="18230611"/>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4">
          <cell r="I104" t="e">
            <v>#DIV/0!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ORDERNUM</v>
          </cell>
          <cell r="B1" t="str">
            <v>ORDERNAME</v>
          </cell>
          <cell r="C1" t="str">
            <v>TARIFFID</v>
          </cell>
          <cell r="D1" t="str">
            <v>TARIFFNAME</v>
          </cell>
          <cell r="E1" t="str">
            <v>CHANNELNAME</v>
          </cell>
          <cell r="F1" t="str">
            <v>PROGRAMMGR</v>
          </cell>
        </row>
        <row r="2">
          <cell r="A2">
            <v>18230021</v>
          </cell>
          <cell r="B2" t="str">
            <v>Multi-Family ARRA Electric</v>
          </cell>
          <cell r="C2" t="str">
            <v>E217</v>
          </cell>
          <cell r="D2" t="str">
            <v>Multi Family Existing</v>
          </cell>
          <cell r="E2" t="str">
            <v>Multi-Family</v>
          </cell>
          <cell r="F2" t="str">
            <v>John Forde</v>
          </cell>
        </row>
        <row r="3">
          <cell r="A3">
            <v>18230032</v>
          </cell>
          <cell r="B3" t="str">
            <v>Multi-Family ARRA Gas</v>
          </cell>
          <cell r="C3" t="str">
            <v>G217</v>
          </cell>
          <cell r="D3" t="str">
            <v>Multi Family Existing</v>
          </cell>
          <cell r="E3" t="str">
            <v>Multi-Family</v>
          </cell>
          <cell r="F3" t="str">
            <v>John Forde</v>
          </cell>
        </row>
        <row r="4">
          <cell r="A4">
            <v>18230405</v>
          </cell>
          <cell r="B4" t="str">
            <v>Single Family New Construction - Electric</v>
          </cell>
          <cell r="C4" t="str">
            <v>E215</v>
          </cell>
          <cell r="D4" t="str">
            <v>Single Family New Construction</v>
          </cell>
          <cell r="E4" t="str">
            <v>New Construction</v>
          </cell>
          <cell r="F4" t="str">
            <v>Megan Doyle</v>
          </cell>
        </row>
        <row r="5">
          <cell r="A5">
            <v>18230407</v>
          </cell>
          <cell r="B5" t="str">
            <v>Multi-Family Retrofit Elect</v>
          </cell>
          <cell r="C5" t="str">
            <v>E217</v>
          </cell>
          <cell r="D5" t="str">
            <v>Multi Family Existing</v>
          </cell>
          <cell r="E5" t="str">
            <v>Multi-Family</v>
          </cell>
          <cell r="F5" t="str">
            <v>John Forde</v>
          </cell>
        </row>
        <row r="6">
          <cell r="A6">
            <v>18230409</v>
          </cell>
          <cell r="B6" t="str">
            <v>Refrigerator Replacement Program</v>
          </cell>
          <cell r="C6" t="str">
            <v>E214</v>
          </cell>
          <cell r="D6" t="str">
            <v>Single Family Existing</v>
          </cell>
          <cell r="E6" t="str">
            <v>Retail Channel</v>
          </cell>
          <cell r="F6" t="str">
            <v>Laura Wilson</v>
          </cell>
        </row>
        <row r="7">
          <cell r="A7">
            <v>18230416</v>
          </cell>
          <cell r="B7" t="str">
            <v>2009 Home Energy Audits - Electric</v>
          </cell>
          <cell r="C7" t="str">
            <v>E214</v>
          </cell>
          <cell r="D7" t="str">
            <v>Single Family Existing</v>
          </cell>
          <cell r="E7" t="str">
            <v>Dealer Channel</v>
          </cell>
          <cell r="F7" t="str">
            <v>Malcolm McCulloch</v>
          </cell>
        </row>
        <row r="8">
          <cell r="A8">
            <v>18230432</v>
          </cell>
          <cell r="B8" t="str">
            <v xml:space="preserve">Refrigerator Decommissioning </v>
          </cell>
          <cell r="C8" t="str">
            <v>E214</v>
          </cell>
          <cell r="D8" t="str">
            <v>Single Family Existing</v>
          </cell>
          <cell r="E8" t="str">
            <v>Retail Channel</v>
          </cell>
          <cell r="F8" t="str">
            <v>Laura Wilson</v>
          </cell>
        </row>
        <row r="9">
          <cell r="A9">
            <v>18230433</v>
          </cell>
          <cell r="B9" t="str">
            <v>Energy Star Manufactured Home Elect</v>
          </cell>
          <cell r="C9" t="str">
            <v>E215</v>
          </cell>
          <cell r="D9" t="str">
            <v>Single Family New Construction</v>
          </cell>
          <cell r="E9" t="str">
            <v>New Construction</v>
          </cell>
          <cell r="F9" t="str">
            <v>Megan Doyle</v>
          </cell>
        </row>
        <row r="10">
          <cell r="A10">
            <v>18230434</v>
          </cell>
          <cell r="B10" t="str">
            <v>Energy Star Appliances</v>
          </cell>
          <cell r="C10" t="str">
            <v>E214</v>
          </cell>
          <cell r="D10" t="str">
            <v>Single Family Existing</v>
          </cell>
          <cell r="E10" t="str">
            <v>Retail Channel</v>
          </cell>
          <cell r="F10" t="str">
            <v>Laura Wilson</v>
          </cell>
        </row>
        <row r="11">
          <cell r="A11">
            <v>18230435</v>
          </cell>
          <cell r="B11" t="str">
            <v>Residential Showerheads Elect</v>
          </cell>
          <cell r="C11" t="str">
            <v>E214</v>
          </cell>
          <cell r="D11" t="str">
            <v>Single Family Existing</v>
          </cell>
          <cell r="E11" t="str">
            <v>Retail Channel</v>
          </cell>
          <cell r="F11" t="str">
            <v>Laura Wilson</v>
          </cell>
        </row>
        <row r="12">
          <cell r="A12">
            <v>18230440</v>
          </cell>
          <cell r="B12" t="str">
            <v>Energy Efficient Lighting Services</v>
          </cell>
          <cell r="C12" t="str">
            <v>E214</v>
          </cell>
          <cell r="D12" t="str">
            <v>Single Family Existing</v>
          </cell>
          <cell r="E12" t="str">
            <v>Retail Channel</v>
          </cell>
          <cell r="F12" t="str">
            <v>Laura Wilson</v>
          </cell>
        </row>
        <row r="13">
          <cell r="A13">
            <v>18230442</v>
          </cell>
          <cell r="B13" t="str">
            <v>Energy Star Manufactured Home Gas</v>
          </cell>
          <cell r="C13" t="str">
            <v>G215</v>
          </cell>
          <cell r="D13" t="str">
            <v>Single Family New Construction</v>
          </cell>
          <cell r="E13" t="str">
            <v>New Construction</v>
          </cell>
          <cell r="F13" t="str">
            <v>Megan Doyle</v>
          </cell>
        </row>
        <row r="14">
          <cell r="A14">
            <v>18230461</v>
          </cell>
          <cell r="B14" t="str">
            <v>Home Energy Reports E</v>
          </cell>
          <cell r="C14" t="str">
            <v>E249</v>
          </cell>
          <cell r="D14" t="str">
            <v>Pilots</v>
          </cell>
          <cell r="E14" t="str">
            <v>Pilots</v>
          </cell>
          <cell r="F14" t="str">
            <v>Laura Wilson</v>
          </cell>
        </row>
        <row r="15">
          <cell r="A15">
            <v>18230468</v>
          </cell>
          <cell r="B15" t="str">
            <v>NEEA Consumer Electronics</v>
          </cell>
          <cell r="C15" t="str">
            <v>E214</v>
          </cell>
          <cell r="D15" t="str">
            <v>Single Family Existing</v>
          </cell>
          <cell r="E15" t="str">
            <v>Retail Channel</v>
          </cell>
          <cell r="F15" t="str">
            <v>Laura Wilson</v>
          </cell>
        </row>
        <row r="16">
          <cell r="A16">
            <v>18230482</v>
          </cell>
          <cell r="B16" t="str">
            <v>Residential Brochures Elect</v>
          </cell>
          <cell r="C16" t="str">
            <v>E200</v>
          </cell>
          <cell r="D16" t="str">
            <v>Residential Information Services</v>
          </cell>
          <cell r="E16" t="str">
            <v>Consumer Channel</v>
          </cell>
          <cell r="F16" t="str">
            <v>Shar Kegley</v>
          </cell>
        </row>
        <row r="17">
          <cell r="A17">
            <v>18230483</v>
          </cell>
          <cell r="B17" t="str">
            <v>Residential E newsletter Elect</v>
          </cell>
          <cell r="C17" t="str">
            <v>E200</v>
          </cell>
          <cell r="D17" t="str">
            <v>Residential Information Services</v>
          </cell>
          <cell r="E17" t="str">
            <v>Consumer Channel</v>
          </cell>
          <cell r="F17" t="str">
            <v>Shar Kegley</v>
          </cell>
        </row>
        <row r="18">
          <cell r="A18">
            <v>18230486</v>
          </cell>
          <cell r="B18" t="str">
            <v>Multi-Family New Construction Elect</v>
          </cell>
          <cell r="C18" t="str">
            <v>E218</v>
          </cell>
          <cell r="D18" t="str">
            <v>Multi Family New Construction</v>
          </cell>
          <cell r="E18" t="str">
            <v>Multi-Family</v>
          </cell>
          <cell r="F18" t="str">
            <v>John Forde</v>
          </cell>
        </row>
        <row r="19">
          <cell r="A19">
            <v>18230487</v>
          </cell>
          <cell r="B19" t="str">
            <v>Information Svcs Outreach Elect</v>
          </cell>
          <cell r="C19" t="str">
            <v>E200</v>
          </cell>
          <cell r="D19" t="str">
            <v>Residential Information Services</v>
          </cell>
          <cell r="E19" t="str">
            <v>Consumer Channel</v>
          </cell>
          <cell r="F19" t="str">
            <v>Shar Kegley</v>
          </cell>
        </row>
        <row r="20">
          <cell r="A20">
            <v>18230498</v>
          </cell>
          <cell r="B20" t="str">
            <v>CMS Elect</v>
          </cell>
          <cell r="C20" t="str">
            <v>E200</v>
          </cell>
          <cell r="D20" t="str">
            <v>Residential Information Services</v>
          </cell>
          <cell r="E20" t="str">
            <v>Consumer Channel</v>
          </cell>
          <cell r="F20" t="str">
            <v>Kathy Repsumer</v>
          </cell>
        </row>
        <row r="21">
          <cell r="A21">
            <v>18230501</v>
          </cell>
          <cell r="B21" t="str">
            <v>SF Existing ARRA Wx - Electric</v>
          </cell>
          <cell r="C21" t="str">
            <v>E214</v>
          </cell>
          <cell r="D21" t="str">
            <v>Single Family Existing</v>
          </cell>
          <cell r="E21" t="str">
            <v>Dealer Channel</v>
          </cell>
          <cell r="F21" t="str">
            <v>Malcolm McCulloch</v>
          </cell>
        </row>
        <row r="22">
          <cell r="A22">
            <v>18230602</v>
          </cell>
          <cell r="B22" t="str">
            <v>Res Energy Efficiency Information Elect</v>
          </cell>
          <cell r="C22" t="str">
            <v>E200</v>
          </cell>
          <cell r="D22" t="str">
            <v>Residential Information Services</v>
          </cell>
          <cell r="E22" t="str">
            <v>Consumer Channel</v>
          </cell>
          <cell r="F22" t="str">
            <v>Shar Kegley</v>
          </cell>
        </row>
        <row r="23">
          <cell r="A23">
            <v>18230608</v>
          </cell>
          <cell r="B23" t="str">
            <v xml:space="preserve">Online Tools Elect </v>
          </cell>
          <cell r="C23" t="str">
            <v>E200</v>
          </cell>
          <cell r="D23" t="str">
            <v>Residential Information Services</v>
          </cell>
          <cell r="E23" t="str">
            <v>Consumer Channel</v>
          </cell>
          <cell r="F23" t="str">
            <v>Kathy Repsumer</v>
          </cell>
        </row>
        <row r="24">
          <cell r="A24">
            <v>18230610</v>
          </cell>
          <cell r="B24" t="str">
            <v xml:space="preserve">Energy Advisors Electric                </v>
          </cell>
          <cell r="C24" t="str">
            <v>E200</v>
          </cell>
          <cell r="D24" t="str">
            <v>Residential Information Services</v>
          </cell>
          <cell r="E24" t="str">
            <v>Consumer Channel</v>
          </cell>
          <cell r="F24" t="str">
            <v>Stacey Nyman</v>
          </cell>
        </row>
        <row r="25">
          <cell r="A25">
            <v>18230611</v>
          </cell>
          <cell r="B25" t="str">
            <v>Low Income Weatherization TE</v>
          </cell>
          <cell r="C25" t="str">
            <v>E201</v>
          </cell>
          <cell r="D25" t="str">
            <v>Low Income</v>
          </cell>
          <cell r="E25" t="str">
            <v>Low Income</v>
          </cell>
          <cell r="F25" t="str">
            <v>Sandy Sieg</v>
          </cell>
        </row>
        <row r="26">
          <cell r="A26">
            <v>18230612</v>
          </cell>
          <cell r="B26" t="str">
            <v>Fuel Conversion Rebate</v>
          </cell>
          <cell r="C26" t="str">
            <v>E216</v>
          </cell>
          <cell r="D26" t="str">
            <v>Single Family Fuel Conversion</v>
          </cell>
          <cell r="E26" t="str">
            <v>Dealer Channel</v>
          </cell>
          <cell r="F26" t="str">
            <v>Kyle Webley</v>
          </cell>
        </row>
        <row r="27">
          <cell r="A27">
            <v>18230621</v>
          </cell>
          <cell r="B27" t="str">
            <v xml:space="preserve">Powerful Choices  Elect                           </v>
          </cell>
          <cell r="C27" t="str">
            <v>E202</v>
          </cell>
          <cell r="D27" t="str">
            <v>Energy Education</v>
          </cell>
          <cell r="E27" t="str">
            <v>Consumer Channel</v>
          </cell>
          <cell r="F27" t="str">
            <v>Shar Kegley</v>
          </cell>
        </row>
        <row r="28">
          <cell r="A28">
            <v>18230625</v>
          </cell>
          <cell r="B28" t="str">
            <v>HomePrint - Electric</v>
          </cell>
          <cell r="C28" t="str">
            <v>E214</v>
          </cell>
          <cell r="D28" t="str">
            <v>Single Family Existing</v>
          </cell>
          <cell r="E28" t="str">
            <v>Dealer Channel</v>
          </cell>
          <cell r="F28" t="str">
            <v>Malcolm McCulloch</v>
          </cell>
        </row>
        <row r="29">
          <cell r="A29">
            <v>18230626</v>
          </cell>
          <cell r="B29" t="str">
            <v>SF Existing Water Heat - Electric</v>
          </cell>
          <cell r="C29" t="str">
            <v>E214</v>
          </cell>
          <cell r="D29" t="str">
            <v>Single Family Existing</v>
          </cell>
          <cell r="E29" t="str">
            <v>Dealer Channel</v>
          </cell>
          <cell r="F29" t="str">
            <v>Dennis Rominger</v>
          </cell>
        </row>
        <row r="30">
          <cell r="A30">
            <v>18230627</v>
          </cell>
          <cell r="B30" t="str">
            <v>SF Existing Wx - Electric</v>
          </cell>
          <cell r="C30" t="str">
            <v>E214</v>
          </cell>
          <cell r="D30" t="str">
            <v>Single Family Existing</v>
          </cell>
          <cell r="E30" t="str">
            <v>Dealer Channel</v>
          </cell>
          <cell r="F30" t="str">
            <v>Malcolm McCulloch</v>
          </cell>
        </row>
        <row r="31">
          <cell r="A31">
            <v>18230628</v>
          </cell>
          <cell r="B31" t="str">
            <v>SF Existing Space Heat - Electric</v>
          </cell>
          <cell r="C31" t="str">
            <v>E214</v>
          </cell>
          <cell r="D31" t="str">
            <v>Single Family Existing</v>
          </cell>
          <cell r="E31" t="str">
            <v>Dealer Channel</v>
          </cell>
          <cell r="F31" t="str">
            <v>Dennis Rominger</v>
          </cell>
        </row>
        <row r="32">
          <cell r="A32">
            <v>18230629</v>
          </cell>
          <cell r="B32" t="str">
            <v>SF Existing Pilots - Electric</v>
          </cell>
          <cell r="C32" t="str">
            <v>E249</v>
          </cell>
          <cell r="D32" t="str">
            <v>Pilots</v>
          </cell>
          <cell r="E32" t="str">
            <v>Pilots</v>
          </cell>
          <cell r="F32" t="str">
            <v>Joel Smith</v>
          </cell>
        </row>
        <row r="33">
          <cell r="A33">
            <v>18230635</v>
          </cell>
          <cell r="B33" t="str">
            <v>HomePrint - Gas</v>
          </cell>
          <cell r="C33" t="str">
            <v>G214</v>
          </cell>
          <cell r="D33" t="str">
            <v>Single Family Existing</v>
          </cell>
          <cell r="E33" t="str">
            <v>Dealer Channel</v>
          </cell>
          <cell r="F33" t="str">
            <v>Malcolm McCulloch</v>
          </cell>
        </row>
        <row r="34">
          <cell r="A34">
            <v>18230636</v>
          </cell>
          <cell r="B34" t="str">
            <v>SF Existing Water Heat - Gas</v>
          </cell>
          <cell r="C34" t="str">
            <v>G214</v>
          </cell>
          <cell r="D34" t="str">
            <v>Single Family Existing</v>
          </cell>
          <cell r="E34" t="str">
            <v>Dealer Channel</v>
          </cell>
          <cell r="F34" t="str">
            <v>Dennis Rominger</v>
          </cell>
        </row>
        <row r="35">
          <cell r="A35">
            <v>18230637</v>
          </cell>
          <cell r="B35" t="str">
            <v>SF Existing Wx - Gas</v>
          </cell>
          <cell r="C35" t="str">
            <v>G214</v>
          </cell>
          <cell r="D35" t="str">
            <v>Single Family Existing</v>
          </cell>
          <cell r="E35" t="str">
            <v>Dealer Channel</v>
          </cell>
          <cell r="F35" t="str">
            <v>Malcolm McCulloch</v>
          </cell>
        </row>
        <row r="36">
          <cell r="A36">
            <v>18230638</v>
          </cell>
          <cell r="B36" t="str">
            <v>SF Existing Space Heat - Gas</v>
          </cell>
          <cell r="C36" t="str">
            <v>G214</v>
          </cell>
          <cell r="D36" t="str">
            <v>Single Family Existing</v>
          </cell>
          <cell r="E36" t="str">
            <v>Dealer Channel</v>
          </cell>
          <cell r="F36" t="str">
            <v>Dennis Rominger</v>
          </cell>
        </row>
        <row r="37">
          <cell r="A37">
            <v>18230639</v>
          </cell>
          <cell r="B37" t="str">
            <v>SF Existing Pilots - Gas</v>
          </cell>
          <cell r="C37" t="str">
            <v>G249</v>
          </cell>
          <cell r="D37" t="str">
            <v>Pilots</v>
          </cell>
          <cell r="E37" t="str">
            <v>Pilots</v>
          </cell>
          <cell r="F37" t="str">
            <v>Joel Smith</v>
          </cell>
        </row>
        <row r="38">
          <cell r="A38">
            <v>18230653</v>
          </cell>
          <cell r="B38" t="str">
            <v>Res Energy Efficiency Information Gas</v>
          </cell>
          <cell r="C38" t="str">
            <v>G206</v>
          </cell>
          <cell r="D38" t="str">
            <v>Residential Information Services</v>
          </cell>
          <cell r="E38" t="str">
            <v>Consumer Channel</v>
          </cell>
          <cell r="F38" t="str">
            <v>Shar Kegley</v>
          </cell>
        </row>
        <row r="39">
          <cell r="A39">
            <v>18230655</v>
          </cell>
          <cell r="B39" t="str">
            <v>Online Tools Gas</v>
          </cell>
          <cell r="C39" t="str">
            <v>G206</v>
          </cell>
          <cell r="D39" t="str">
            <v>Residential Information Services</v>
          </cell>
          <cell r="E39" t="str">
            <v>Consumer Channel</v>
          </cell>
          <cell r="F39" t="str">
            <v>Kathy Repsumer</v>
          </cell>
        </row>
        <row r="40">
          <cell r="A40">
            <v>18230661</v>
          </cell>
          <cell r="B40" t="str">
            <v>Low Income Weatherization TG</v>
          </cell>
          <cell r="C40" t="str">
            <v>G203</v>
          </cell>
          <cell r="D40" t="str">
            <v>Low Income</v>
          </cell>
          <cell r="E40" t="str">
            <v>Low Income</v>
          </cell>
          <cell r="F40" t="str">
            <v>Sandy Sieg</v>
          </cell>
        </row>
        <row r="41">
          <cell r="A41">
            <v>18230671</v>
          </cell>
          <cell r="B41" t="str">
            <v>Powerful Choices Gas</v>
          </cell>
          <cell r="C41" t="str">
            <v>G207</v>
          </cell>
          <cell r="D41" t="str">
            <v>Energy Education</v>
          </cell>
          <cell r="E41" t="str">
            <v>Consumer Channel</v>
          </cell>
          <cell r="F41" t="str">
            <v>Shar Kegley</v>
          </cell>
        </row>
        <row r="42">
          <cell r="A42">
            <v>18230673</v>
          </cell>
          <cell r="B42" t="str">
            <v>Multi-Family New Construction Gas</v>
          </cell>
          <cell r="C42" t="str">
            <v>G218</v>
          </cell>
          <cell r="D42" t="str">
            <v>Multi Family New Construction</v>
          </cell>
          <cell r="E42" t="str">
            <v>Multi-Family</v>
          </cell>
          <cell r="F42" t="str">
            <v>John Forde</v>
          </cell>
        </row>
        <row r="43">
          <cell r="A43">
            <v>18230675</v>
          </cell>
          <cell r="B43" t="str">
            <v>Information Svcs Outreach Gas</v>
          </cell>
          <cell r="C43" t="str">
            <v>G206</v>
          </cell>
          <cell r="D43" t="str">
            <v>Residential Information Services</v>
          </cell>
          <cell r="E43" t="str">
            <v>Consumer Channel</v>
          </cell>
          <cell r="F43" t="str">
            <v>Shar Kegley</v>
          </cell>
        </row>
        <row r="44">
          <cell r="A44">
            <v>18230684</v>
          </cell>
          <cell r="B44" t="str">
            <v>Single Family New Construction - Gas</v>
          </cell>
          <cell r="C44" t="str">
            <v>G215</v>
          </cell>
          <cell r="D44" t="str">
            <v>Single Family New Construction</v>
          </cell>
          <cell r="E44" t="str">
            <v>New Construction</v>
          </cell>
          <cell r="F44" t="str">
            <v>Megan Doyle</v>
          </cell>
        </row>
        <row r="45">
          <cell r="A45">
            <v>18230685</v>
          </cell>
          <cell r="B45" t="str">
            <v>Residential Brochures Gas</v>
          </cell>
          <cell r="C45" t="str">
            <v>G206</v>
          </cell>
          <cell r="D45" t="str">
            <v>Residential Information Services</v>
          </cell>
          <cell r="E45" t="str">
            <v>Consumer Channel</v>
          </cell>
          <cell r="F45" t="str">
            <v>Shar Kegley</v>
          </cell>
        </row>
        <row r="46">
          <cell r="A46">
            <v>18230686</v>
          </cell>
          <cell r="B46" t="str">
            <v>Residential E newsletter Gas</v>
          </cell>
          <cell r="C46" t="str">
            <v>G206</v>
          </cell>
          <cell r="D46" t="str">
            <v>Residential Information Services</v>
          </cell>
          <cell r="E46" t="str">
            <v>Consumer Channel</v>
          </cell>
          <cell r="F46" t="str">
            <v>Shar Kegley</v>
          </cell>
        </row>
        <row r="47">
          <cell r="A47">
            <v>18230700</v>
          </cell>
          <cell r="B47" t="str">
            <v>Residential Showerheads Gas</v>
          </cell>
          <cell r="C47" t="str">
            <v>G214</v>
          </cell>
          <cell r="D47" t="str">
            <v>Single Family Existing</v>
          </cell>
          <cell r="E47" t="str">
            <v>Retail Channel</v>
          </cell>
          <cell r="F47" t="str">
            <v>Laura Wilson</v>
          </cell>
        </row>
        <row r="48">
          <cell r="A48">
            <v>18230704</v>
          </cell>
          <cell r="B48" t="str">
            <v xml:space="preserve">Energy Advisors Gas                </v>
          </cell>
          <cell r="C48" t="str">
            <v>G206</v>
          </cell>
          <cell r="D48" t="str">
            <v>Residential Information Services</v>
          </cell>
          <cell r="E48" t="str">
            <v>Consumer Channel</v>
          </cell>
          <cell r="F48" t="str">
            <v>Stacey Nyman</v>
          </cell>
        </row>
        <row r="49">
          <cell r="A49">
            <v>18230734</v>
          </cell>
          <cell r="B49" t="str">
            <v>SF Existing ARRA Wx - Gas</v>
          </cell>
          <cell r="C49" t="str">
            <v>G214</v>
          </cell>
          <cell r="D49" t="str">
            <v>Single Family Existing</v>
          </cell>
          <cell r="E49" t="str">
            <v>Dealer Channel</v>
          </cell>
          <cell r="F49" t="str">
            <v>Malcolm McCulloch</v>
          </cell>
        </row>
        <row r="50">
          <cell r="A50">
            <v>18230736</v>
          </cell>
          <cell r="B50" t="str">
            <v>Multi-Family Retrofit Gas</v>
          </cell>
          <cell r="C50" t="str">
            <v>G217</v>
          </cell>
          <cell r="D50" t="str">
            <v>Multi Family Existing</v>
          </cell>
          <cell r="E50" t="str">
            <v>Multi-Family</v>
          </cell>
          <cell r="F50" t="str">
            <v>John Forde</v>
          </cell>
        </row>
        <row r="51">
          <cell r="A51">
            <v>18230738</v>
          </cell>
          <cell r="B51" t="str">
            <v>Home Energy Reports G</v>
          </cell>
          <cell r="C51" t="str">
            <v>G249</v>
          </cell>
          <cell r="D51" t="str">
            <v>Pilots</v>
          </cell>
          <cell r="E51" t="str">
            <v>Pilots</v>
          </cell>
          <cell r="F51" t="str">
            <v>Laura Wilson</v>
          </cell>
        </row>
        <row r="52">
          <cell r="A52">
            <v>18230739</v>
          </cell>
          <cell r="B52" t="str">
            <v>CMS Gas</v>
          </cell>
          <cell r="C52" t="str">
            <v>G206</v>
          </cell>
          <cell r="D52" t="str">
            <v>Residential Information Services</v>
          </cell>
          <cell r="E52" t="str">
            <v>Consumer Channel</v>
          </cell>
          <cell r="F52" t="str">
            <v>Kathy Repsumer</v>
          </cell>
        </row>
        <row r="53">
          <cell r="A53">
            <v>90800008</v>
          </cell>
          <cell r="B53" t="str">
            <v>Attorney General - LIW Electric</v>
          </cell>
          <cell r="C53" t="str">
            <v>E201</v>
          </cell>
          <cell r="D53" t="str">
            <v>Low Income</v>
          </cell>
          <cell r="E53" t="str">
            <v>Low Income</v>
          </cell>
          <cell r="F53" t="str">
            <v>Sandy Sieg</v>
          </cell>
        </row>
        <row r="54">
          <cell r="A54">
            <v>90800135</v>
          </cell>
          <cell r="B54" t="str">
            <v>LIW REC Proceeds</v>
          </cell>
          <cell r="C54" t="str">
            <v>E201</v>
          </cell>
          <cell r="D54" t="str">
            <v>Low Income</v>
          </cell>
          <cell r="E54" t="str">
            <v>Low Income</v>
          </cell>
          <cell r="F54" t="str">
            <v>Sandy Sieg</v>
          </cell>
        </row>
        <row r="55">
          <cell r="A55">
            <v>90800308</v>
          </cell>
          <cell r="B55" t="str">
            <v>Attorney General - LIW Gas</v>
          </cell>
          <cell r="C55" t="str">
            <v>G203</v>
          </cell>
          <cell r="D55" t="str">
            <v>Low Income</v>
          </cell>
          <cell r="E55" t="str">
            <v>Low Income</v>
          </cell>
          <cell r="F55" t="str">
            <v>Sandy Sieg</v>
          </cell>
        </row>
      </sheetData>
      <sheetData sheetId="34" refreshError="1">
        <row r="8">
          <cell r="C8">
            <v>1</v>
          </cell>
          <cell r="D8">
            <v>108.24999999999999</v>
          </cell>
        </row>
        <row r="9">
          <cell r="C9">
            <v>2</v>
          </cell>
          <cell r="D9">
            <v>56.269207683073255</v>
          </cell>
        </row>
        <row r="10">
          <cell r="C10">
            <v>3</v>
          </cell>
          <cell r="D10">
            <v>38.978515486211542</v>
          </cell>
        </row>
        <row r="11">
          <cell r="C11">
            <v>4</v>
          </cell>
          <cell r="D11">
            <v>30.360263142982141</v>
          </cell>
        </row>
        <row r="12">
          <cell r="C12">
            <v>5</v>
          </cell>
          <cell r="D12">
            <v>25.210891770163958</v>
          </cell>
        </row>
        <row r="13">
          <cell r="C13">
            <v>6</v>
          </cell>
          <cell r="D13">
            <v>21.795859733430568</v>
          </cell>
        </row>
        <row r="14">
          <cell r="C14">
            <v>7</v>
          </cell>
          <cell r="D14">
            <v>19.371773566915831</v>
          </cell>
        </row>
        <row r="15">
          <cell r="C15">
            <v>8</v>
          </cell>
          <cell r="D15">
            <v>17.566920771627252</v>
          </cell>
        </row>
        <row r="16">
          <cell r="C16">
            <v>9</v>
          </cell>
          <cell r="D16">
            <v>16.174780806095363</v>
          </cell>
        </row>
        <row r="17">
          <cell r="C17">
            <v>10</v>
          </cell>
          <cell r="D17">
            <v>15.071429531528386</v>
          </cell>
        </row>
        <row r="18">
          <cell r="C18">
            <v>11</v>
          </cell>
          <cell r="D18">
            <v>14.177995819031155</v>
          </cell>
        </row>
        <row r="19">
          <cell r="C19">
            <v>12</v>
          </cell>
          <cell r="D19">
            <v>13.441889887808909</v>
          </cell>
        </row>
        <row r="20">
          <cell r="C20">
            <v>13</v>
          </cell>
          <cell r="D20">
            <v>12.826695516042225</v>
          </cell>
        </row>
        <row r="21">
          <cell r="C21">
            <v>14</v>
          </cell>
          <cell r="D21">
            <v>12.306394185001626</v>
          </cell>
        </row>
        <row r="22">
          <cell r="C22">
            <v>15</v>
          </cell>
          <cell r="D22">
            <v>11.861899584559318</v>
          </cell>
        </row>
        <row r="23">
          <cell r="C23">
            <v>16</v>
          </cell>
          <cell r="D23">
            <v>11.478891694109835</v>
          </cell>
        </row>
        <row r="24">
          <cell r="C24">
            <v>17</v>
          </cell>
          <cell r="D24">
            <v>11.146415316874233</v>
          </cell>
        </row>
        <row r="25">
          <cell r="C25">
            <v>18</v>
          </cell>
          <cell r="D25">
            <v>10.855945777573357</v>
          </cell>
        </row>
        <row r="26">
          <cell r="C26">
            <v>19</v>
          </cell>
          <cell r="D26">
            <v>10.600749668224429</v>
          </cell>
        </row>
        <row r="27">
          <cell r="C27">
            <v>20</v>
          </cell>
          <cell r="D27">
            <v>10.375437372961859</v>
          </cell>
        </row>
        <row r="28">
          <cell r="C28">
            <v>21</v>
          </cell>
          <cell r="D28">
            <v>10.175643443459203</v>
          </cell>
        </row>
        <row r="29">
          <cell r="C29">
            <v>22</v>
          </cell>
          <cell r="D29">
            <v>9.9977941433102853</v>
          </cell>
        </row>
        <row r="30">
          <cell r="C30">
            <v>23</v>
          </cell>
          <cell r="D30">
            <v>9.8389356299574313</v>
          </cell>
        </row>
        <row r="31">
          <cell r="C31">
            <v>24</v>
          </cell>
          <cell r="D31">
            <v>9.6966050866611511</v>
          </cell>
        </row>
        <row r="32">
          <cell r="C32">
            <v>25</v>
          </cell>
          <cell r="D32">
            <v>9.5687327771158674</v>
          </cell>
        </row>
        <row r="33">
          <cell r="C33">
            <v>26</v>
          </cell>
          <cell r="D33">
            <v>9.453566696165435</v>
          </cell>
        </row>
        <row r="34">
          <cell r="C34">
            <v>27</v>
          </cell>
          <cell r="D34">
            <v>9.3496139573107229</v>
          </cell>
        </row>
        <row r="35">
          <cell r="C35">
            <v>28</v>
          </cell>
          <cell r="D35">
            <v>9.2555947319027574</v>
          </cell>
        </row>
        <row r="36">
          <cell r="C36">
            <v>29</v>
          </cell>
          <cell r="D36">
            <v>9.1704057095385725</v>
          </cell>
        </row>
        <row r="37">
          <cell r="C37">
            <v>30</v>
          </cell>
          <cell r="D37">
            <v>9.0930908574137099</v>
          </cell>
        </row>
      </sheetData>
      <sheetData sheetId="35"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36"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37" refreshError="1">
        <row r="5">
          <cell r="B5" t="str">
            <v>Res Space Heat</v>
          </cell>
          <cell r="C5" t="str">
            <v>Res Water Heat</v>
          </cell>
          <cell r="D5" t="str">
            <v xml:space="preserve">Commercial Space Heat </v>
          </cell>
          <cell r="E5" t="str">
            <v xml:space="preserve">Commercial Cooking </v>
          </cell>
          <cell r="F5" t="str">
            <v xml:space="preserve">Commercial Water Heat </v>
          </cell>
          <cell r="G5" t="str">
            <v xml:space="preserve">Flat </v>
          </cell>
        </row>
        <row r="6">
          <cell r="A6">
            <v>1</v>
          </cell>
          <cell r="B6">
            <v>0.7157817673905732</v>
          </cell>
          <cell r="C6">
            <v>0.5612551638968577</v>
          </cell>
          <cell r="D6">
            <v>0.72127183675376305</v>
          </cell>
          <cell r="E6">
            <v>0.56601388373437245</v>
          </cell>
          <cell r="F6">
            <v>0.5635675097567443</v>
          </cell>
          <cell r="G6">
            <v>0.56153667584981615</v>
          </cell>
        </row>
        <row r="7">
          <cell r="A7">
            <v>2</v>
          </cell>
          <cell r="B7">
            <v>1.4073840856807196</v>
          </cell>
          <cell r="C7">
            <v>1.104086567103939</v>
          </cell>
          <cell r="D7">
            <v>1.4190648367929941</v>
          </cell>
          <cell r="E7">
            <v>1.1134443355534294</v>
          </cell>
          <cell r="F7">
            <v>1.1086398485059499</v>
          </cell>
          <cell r="G7">
            <v>1.1045553565679582</v>
          </cell>
        </row>
        <row r="8">
          <cell r="A8">
            <v>3</v>
          </cell>
          <cell r="B8">
            <v>2.0754640547598013</v>
          </cell>
          <cell r="C8">
            <v>1.6284386824133121</v>
          </cell>
          <cell r="D8">
            <v>2.0745242855074988</v>
          </cell>
          <cell r="E8">
            <v>1.6420980920781232</v>
          </cell>
          <cell r="F8">
            <v>1.6350894989554585</v>
          </cell>
          <cell r="G8">
            <v>1.6289415089447252</v>
          </cell>
        </row>
        <row r="9">
          <cell r="A9">
            <v>4</v>
          </cell>
          <cell r="B9">
            <v>2.7101827920776627</v>
          </cell>
          <cell r="C9">
            <v>2.1319528308175699</v>
          </cell>
          <cell r="D9">
            <v>2.716432461019747</v>
          </cell>
          <cell r="E9">
            <v>2.1495361699866109</v>
          </cell>
          <cell r="F9">
            <v>2.140514070824493</v>
          </cell>
          <cell r="G9">
            <v>2.1325652645796334</v>
          </cell>
        </row>
        <row r="10">
          <cell r="A10">
            <v>5</v>
          </cell>
          <cell r="B10">
            <v>3.4973129820754201</v>
          </cell>
          <cell r="C10">
            <v>2.6638410429419892</v>
          </cell>
          <cell r="D10">
            <v>3.5056112622913629</v>
          </cell>
          <cell r="E10">
            <v>2.6894284441495637</v>
          </cell>
          <cell r="F10">
            <v>2.6762183460061451</v>
          </cell>
          <cell r="G10">
            <v>2.6664671535547146</v>
          </cell>
        </row>
        <row r="11">
          <cell r="A11">
            <v>6</v>
          </cell>
          <cell r="B11">
            <v>4.2688994201398147</v>
          </cell>
          <cell r="C11">
            <v>3.1897250061879467</v>
          </cell>
          <cell r="D11">
            <v>4.2793825276633068</v>
          </cell>
          <cell r="E11">
            <v>3.2229539387097952</v>
          </cell>
          <cell r="F11">
            <v>3.2057473273385613</v>
          </cell>
          <cell r="G11">
            <v>3.194202524844969</v>
          </cell>
        </row>
        <row r="12">
          <cell r="A12">
            <v>7</v>
          </cell>
          <cell r="B12">
            <v>5.0160474099377428</v>
          </cell>
          <cell r="C12">
            <v>3.7062058546668224</v>
          </cell>
          <cell r="D12">
            <v>5.0290382299332297</v>
          </cell>
          <cell r="E12">
            <v>3.7465400614434259</v>
          </cell>
          <cell r="F12">
            <v>3.7256207694358254</v>
          </cell>
          <cell r="G12">
            <v>3.7122999375312014</v>
          </cell>
        </row>
        <row r="13">
          <cell r="A13">
            <v>8</v>
          </cell>
          <cell r="B13">
            <v>5.7219329141869055</v>
          </cell>
          <cell r="C13">
            <v>4.1974255736168704</v>
          </cell>
          <cell r="D13">
            <v>5.7374627951548103</v>
          </cell>
          <cell r="E13">
            <v>4.2443618826690344</v>
          </cell>
          <cell r="F13">
            <v>4.2199941920252764</v>
          </cell>
          <cell r="G13">
            <v>4.2049893359084489</v>
          </cell>
        </row>
        <row r="14">
          <cell r="A14">
            <v>9</v>
          </cell>
          <cell r="B14">
            <v>6.399992637615691</v>
          </cell>
          <cell r="C14">
            <v>4.6757127326836478</v>
          </cell>
          <cell r="D14">
            <v>6.4180801925042745</v>
          </cell>
          <cell r="E14">
            <v>4.7287833470810501</v>
          </cell>
          <cell r="F14">
            <v>4.7012128909757021</v>
          </cell>
          <cell r="G14">
            <v>4.6846112495092331</v>
          </cell>
        </row>
        <row r="15">
          <cell r="A15">
            <v>10</v>
          </cell>
          <cell r="B15">
            <v>7.0694016079106774</v>
          </cell>
          <cell r="C15">
            <v>5.1592228068628589</v>
          </cell>
          <cell r="D15">
            <v>7.0900546147198913</v>
          </cell>
          <cell r="E15">
            <v>5.2179924327897966</v>
          </cell>
          <cell r="F15">
            <v>5.1874477152002667</v>
          </cell>
          <cell r="G15">
            <v>5.1693320077604561</v>
          </cell>
        </row>
        <row r="16">
          <cell r="A16">
            <v>11</v>
          </cell>
          <cell r="B16">
            <v>7.7317371323353852</v>
          </cell>
          <cell r="C16">
            <v>5.6442468869782543</v>
          </cell>
          <cell r="D16">
            <v>7.7547811883100506</v>
          </cell>
          <cell r="E16">
            <v>5.7084550620336403</v>
          </cell>
          <cell r="F16">
            <v>5.6750716431116217</v>
          </cell>
          <cell r="G16">
            <v>5.6555203039350115</v>
          </cell>
        </row>
        <row r="17">
          <cell r="A17">
            <v>12</v>
          </cell>
          <cell r="B17">
            <v>8.347906899838808</v>
          </cell>
          <cell r="C17">
            <v>6.0953531853364105</v>
          </cell>
          <cell r="D17">
            <v>8.3733400228381463</v>
          </cell>
          <cell r="E17">
            <v>6.1646160653369986</v>
          </cell>
          <cell r="F17">
            <v>6.1285953835325051</v>
          </cell>
          <cell r="G17">
            <v>6.1076827840011951</v>
          </cell>
        </row>
        <row r="18">
          <cell r="A18">
            <v>13</v>
          </cell>
          <cell r="B18">
            <v>8.8752772932502726</v>
          </cell>
          <cell r="C18">
            <v>6.4690425929023814</v>
          </cell>
          <cell r="D18">
            <v>8.9030884099306959</v>
          </cell>
          <cell r="E18">
            <v>6.5430039193687248</v>
          </cell>
          <cell r="F18">
            <v>6.5045328763850296</v>
          </cell>
          <cell r="G18">
            <v>6.4807878679623414</v>
          </cell>
        </row>
        <row r="19">
          <cell r="A19">
            <v>14</v>
          </cell>
          <cell r="B19">
            <v>9.3781213284154745</v>
          </cell>
          <cell r="C19">
            <v>6.8288297690754103</v>
          </cell>
          <cell r="D19">
            <v>9.4082932259166903</v>
          </cell>
          <cell r="E19">
            <v>6.9071573641990884</v>
          </cell>
          <cell r="F19">
            <v>6.8664101832512383</v>
          </cell>
          <cell r="G19">
            <v>6.8414412989327955</v>
          </cell>
        </row>
        <row r="20">
          <cell r="A20">
            <v>15</v>
          </cell>
          <cell r="B20">
            <v>9.8588027588878688</v>
          </cell>
          <cell r="C20">
            <v>7.1763251163955486</v>
          </cell>
          <cell r="D20">
            <v>9.8913110378502829</v>
          </cell>
          <cell r="E20">
            <v>7.2587107778692728</v>
          </cell>
          <cell r="F20">
            <v>7.2158490523528318</v>
          </cell>
          <cell r="G20">
            <v>7.1897196935955581</v>
          </cell>
        </row>
        <row r="21">
          <cell r="A21">
            <v>16</v>
          </cell>
          <cell r="B21">
            <v>10.314707848987393</v>
          </cell>
          <cell r="C21">
            <v>7.505139409640174</v>
          </cell>
          <cell r="D21">
            <v>10.349399467389471</v>
          </cell>
          <cell r="E21">
            <v>7.5913997283779979</v>
          </cell>
          <cell r="F21">
            <v>7.5465187182758795</v>
          </cell>
          <cell r="G21">
            <v>7.5192890021729735</v>
          </cell>
        </row>
        <row r="22">
          <cell r="A22">
            <v>17</v>
          </cell>
          <cell r="B22">
            <v>10.752756532083197</v>
          </cell>
          <cell r="C22">
            <v>7.8248143313990992</v>
          </cell>
          <cell r="D22">
            <v>10.789603283256366</v>
          </cell>
          <cell r="E22">
            <v>7.9146774626057113</v>
          </cell>
          <cell r="F22">
            <v>7.867919655124803</v>
          </cell>
          <cell r="G22">
            <v>7.8396465843777232</v>
          </cell>
        </row>
        <row r="23">
          <cell r="A23">
            <v>18</v>
          </cell>
          <cell r="B23">
            <v>11.171040843284581</v>
          </cell>
          <cell r="C23">
            <v>8.1328229544024442</v>
          </cell>
          <cell r="D23">
            <v>11.210009320100712</v>
          </cell>
          <cell r="E23">
            <v>8.2260367165513628</v>
          </cell>
          <cell r="F23">
            <v>8.177534245217938</v>
          </cell>
          <cell r="G23">
            <v>8.1482718695971545</v>
          </cell>
        </row>
        <row r="24">
          <cell r="A24">
            <v>19</v>
          </cell>
          <cell r="B24">
            <v>11.577900083660399</v>
          </cell>
          <cell r="C24">
            <v>8.4363854698610332</v>
          </cell>
          <cell r="D24">
            <v>11.618930767060739</v>
          </cell>
          <cell r="E24">
            <v>8.5327340702154846</v>
          </cell>
          <cell r="F24">
            <v>8.4825998005006973</v>
          </cell>
          <cell r="G24">
            <v>8.4523993697241018</v>
          </cell>
        </row>
        <row r="25">
          <cell r="A25">
            <v>20</v>
          </cell>
          <cell r="B25">
            <v>11.962214379828326</v>
          </cell>
          <cell r="C25">
            <v>8.7239255856245936</v>
          </cell>
          <cell r="D25">
            <v>12.005247057831774</v>
          </cell>
          <cell r="E25">
            <v>8.823207573589201</v>
          </cell>
          <cell r="F25">
            <v>8.7715468393808713</v>
          </cell>
          <cell r="G25">
            <v>8.7404569483501504</v>
          </cell>
        </row>
        <row r="26">
          <cell r="A26">
            <v>21</v>
          </cell>
          <cell r="B26">
            <v>12.32794667910226</v>
          </cell>
          <cell r="C26">
            <v>8.9968133819024594</v>
          </cell>
          <cell r="D26">
            <v>12.372834515418337</v>
          </cell>
          <cell r="E26">
            <v>9.0989129240733391</v>
          </cell>
          <cell r="F26">
            <v>9.0457855603575776</v>
          </cell>
          <cell r="G26">
            <v>9.0138522865697084</v>
          </cell>
        </row>
        <row r="27">
          <cell r="A27">
            <v>22</v>
          </cell>
          <cell r="B27">
            <v>12.67341423551991</v>
          </cell>
          <cell r="C27">
            <v>9.2552986678466542</v>
          </cell>
          <cell r="D27">
            <v>12.72010301422427</v>
          </cell>
          <cell r="E27">
            <v>9.3600347125304602</v>
          </cell>
          <cell r="F27">
            <v>9.305535386419292</v>
          </cell>
          <cell r="G27">
            <v>9.2728024203778823</v>
          </cell>
        </row>
        <row r="28">
          <cell r="A28">
            <v>23</v>
          </cell>
          <cell r="B28">
            <v>12.999765629183878</v>
          </cell>
          <cell r="C28">
            <v>9.5001474706726761</v>
          </cell>
          <cell r="D28">
            <v>13.048200804217633</v>
          </cell>
          <cell r="E28">
            <v>9.6073509747804451</v>
          </cell>
          <cell r="F28">
            <v>9.5515680488080079</v>
          </cell>
          <cell r="G28">
            <v>9.5180768176788284</v>
          </cell>
        </row>
        <row r="29">
          <cell r="A29">
            <v>24</v>
          </cell>
          <cell r="B29">
            <v>13.308082537062182</v>
          </cell>
          <cell r="C29">
            <v>9.7320846417004887</v>
          </cell>
          <cell r="D29">
            <v>13.358209484521131</v>
          </cell>
          <cell r="E29">
            <v>9.8415977516309709</v>
          </cell>
          <cell r="F29">
            <v>9.7846137152920001</v>
          </cell>
          <cell r="G29">
            <v>9.750403500152677</v>
          </cell>
        </row>
        <row r="30">
          <cell r="A30">
            <v>25</v>
          </cell>
          <cell r="B30">
            <v>13.599383753483696</v>
          </cell>
          <cell r="C30">
            <v>9.9517961012755443</v>
          </cell>
          <cell r="D30">
            <v>13.651147993215307</v>
          </cell>
          <cell r="E30">
            <v>10.063471390995101</v>
          </cell>
          <cell r="F30">
            <v>10.005363262065075</v>
          </cell>
          <cell r="G30">
            <v>9.9704713090807964</v>
          </cell>
        </row>
        <row r="31">
          <cell r="A31">
            <v>26</v>
          </cell>
          <cell r="B31">
            <v>13.876538857447873</v>
          </cell>
          <cell r="C31">
            <v>10.160299296224675</v>
          </cell>
          <cell r="D31">
            <v>13.929824895835688</v>
          </cell>
          <cell r="E31">
            <v>10.274050454364522</v>
          </cell>
          <cell r="F31">
            <v>10.214862778258121</v>
          </cell>
          <cell r="G31">
            <v>10.179324404098006</v>
          </cell>
        </row>
        <row r="32">
          <cell r="A32">
            <v>27</v>
          </cell>
          <cell r="B32">
            <v>14.138398949805239</v>
          </cell>
          <cell r="C32">
            <v>10.357812591140688</v>
          </cell>
          <cell r="D32">
            <v>14.193157747595233</v>
          </cell>
          <cell r="E32">
            <v>10.473507118650154</v>
          </cell>
          <cell r="F32">
            <v>10.413309114551733</v>
          </cell>
          <cell r="G32">
            <v>10.377157806344226</v>
          </cell>
        </row>
        <row r="33">
          <cell r="A33">
            <v>28</v>
          </cell>
          <cell r="B33">
            <v>14.385826604081998</v>
          </cell>
          <cell r="C33">
            <v>10.544919439290387</v>
          </cell>
          <cell r="D33">
            <v>14.4420094298241</v>
          </cell>
          <cell r="E33">
            <v>10.662433571427716</v>
          </cell>
          <cell r="F33">
            <v>10.601289876537843</v>
          </cell>
          <cell r="G33">
            <v>10.564557386648023</v>
          </cell>
        </row>
        <row r="34">
          <cell r="A34">
            <v>29</v>
          </cell>
          <cell r="B34">
            <v>14.619634446579635</v>
          </cell>
          <cell r="C34">
            <v>10.722172009744124</v>
          </cell>
          <cell r="D34">
            <v>14.677193027973885</v>
          </cell>
          <cell r="E34">
            <v>10.841390123459345</v>
          </cell>
          <cell r="F34">
            <v>10.779361105002332</v>
          </cell>
          <cell r="G34">
            <v>10.742077540899405</v>
          </cell>
        </row>
        <row r="35">
          <cell r="A35">
            <v>30</v>
          </cell>
          <cell r="B35">
            <v>14.840588138162456</v>
          </cell>
          <cell r="C35">
            <v>10.890092887373999</v>
          </cell>
          <cell r="D35">
            <v>14.899474793029578</v>
          </cell>
          <cell r="E35">
            <v>11.010906949892908</v>
          </cell>
          <cell r="F35">
            <v>10.948048995368103</v>
          </cell>
          <cell r="G35">
            <v>10.910242904837393</v>
          </cell>
        </row>
      </sheetData>
      <sheetData sheetId="38" refreshError="1">
        <row r="5">
          <cell r="B5" t="str">
            <v>Res Space Heat</v>
          </cell>
          <cell r="C5" t="str">
            <v>Res WH</v>
          </cell>
          <cell r="D5" t="str">
            <v>Commercial SH</v>
          </cell>
          <cell r="E5" t="str">
            <v>Commercial Ck</v>
          </cell>
          <cell r="F5" t="str">
            <v>Commercial WH</v>
          </cell>
          <cell r="G5" t="str">
            <v xml:space="preserve">Flat </v>
          </cell>
        </row>
        <row r="6">
          <cell r="A6">
            <v>1</v>
          </cell>
          <cell r="B6">
            <v>0.67333813423547728</v>
          </cell>
          <cell r="C6">
            <v>0.57183626323469838</v>
          </cell>
          <cell r="D6">
            <v>0.70500290377775132</v>
          </cell>
          <cell r="E6">
            <v>0.57803593647223761</v>
          </cell>
          <cell r="F6">
            <v>0.57488617269156317</v>
          </cell>
          <cell r="G6">
            <v>0.5726021949560326</v>
          </cell>
        </row>
        <row r="7">
          <cell r="A7">
            <v>2</v>
          </cell>
          <cell r="B7">
            <v>1.3318154925115802</v>
          </cell>
          <cell r="C7">
            <v>1.1273757871950765</v>
          </cell>
          <cell r="D7">
            <v>1.3959823943097487</v>
          </cell>
          <cell r="E7">
            <v>1.1399116325391441</v>
          </cell>
          <cell r="F7">
            <v>1.1335437493117737</v>
          </cell>
          <cell r="G7">
            <v>1.1289485203800893</v>
          </cell>
        </row>
        <row r="8">
          <cell r="A8">
            <v>3</v>
          </cell>
          <cell r="B8">
            <v>1.9689727616633366</v>
          </cell>
          <cell r="C8">
            <v>1.6634298318229501</v>
          </cell>
          <cell r="D8">
            <v>2.0448680486800472</v>
          </cell>
          <cell r="E8">
            <v>1.6818667482665066</v>
          </cell>
          <cell r="F8">
            <v>1.6725032038723378</v>
          </cell>
          <cell r="G8">
            <v>1.665606185318337</v>
          </cell>
        </row>
        <row r="9">
          <cell r="A9">
            <v>4</v>
          </cell>
          <cell r="B9">
            <v>2.5752201512114601</v>
          </cell>
          <cell r="C9">
            <v>2.1777949764956928</v>
          </cell>
          <cell r="D9">
            <v>2.680824989498654</v>
          </cell>
          <cell r="E9">
            <v>2.2016390199760316</v>
          </cell>
          <cell r="F9">
            <v>2.189527801358703</v>
          </cell>
          <cell r="G9">
            <v>2.1806095303545034</v>
          </cell>
        </row>
        <row r="10">
          <cell r="A10">
            <v>5</v>
          </cell>
          <cell r="B10">
            <v>3.1746854031946641</v>
          </cell>
          <cell r="C10">
            <v>2.6886080552881442</v>
          </cell>
          <cell r="D10">
            <v>3.3083537769876843</v>
          </cell>
          <cell r="E10">
            <v>2.7174868645373635</v>
          </cell>
          <cell r="F10">
            <v>2.7028207348635762</v>
          </cell>
          <cell r="G10">
            <v>2.6918961588590293</v>
          </cell>
        </row>
        <row r="11">
          <cell r="A11">
            <v>6</v>
          </cell>
          <cell r="B11">
            <v>3.7649810619061581</v>
          </cell>
          <cell r="C11">
            <v>3.1935134317952651</v>
          </cell>
          <cell r="D11">
            <v>3.925146822222529</v>
          </cell>
          <cell r="E11">
            <v>3.2270800892231732</v>
          </cell>
          <cell r="F11">
            <v>3.2100383510181194</v>
          </cell>
          <cell r="G11">
            <v>3.1971315259392399</v>
          </cell>
        </row>
        <row r="12">
          <cell r="A12">
            <v>7</v>
          </cell>
          <cell r="B12">
            <v>4.3456542967805998</v>
          </cell>
          <cell r="C12">
            <v>3.6911486112482166</v>
          </cell>
          <cell r="D12">
            <v>4.531206595547201</v>
          </cell>
          <cell r="E12">
            <v>3.7291658458360453</v>
          </cell>
          <cell r="F12">
            <v>3.7098706156264889</v>
          </cell>
          <cell r="G12">
            <v>3.6950088943391903</v>
          </cell>
        </row>
        <row r="13">
          <cell r="A13">
            <v>8</v>
          </cell>
          <cell r="B13">
            <v>4.8987091406129526</v>
          </cell>
          <cell r="C13">
            <v>4.1654670935899771</v>
          </cell>
          <cell r="D13">
            <v>5.1083328565369852</v>
          </cell>
          <cell r="E13">
            <v>4.2077043481741097</v>
          </cell>
          <cell r="F13">
            <v>4.1862723655763014</v>
          </cell>
          <cell r="G13">
            <v>4.1695570192744666</v>
          </cell>
        </row>
        <row r="14">
          <cell r="A14">
            <v>9</v>
          </cell>
          <cell r="B14">
            <v>5.4365295660323607</v>
          </cell>
          <cell r="C14">
            <v>4.628630007135059</v>
          </cell>
          <cell r="D14">
            <v>5.6689777063579445</v>
          </cell>
          <cell r="E14">
            <v>4.6748686684182328</v>
          </cell>
          <cell r="F14">
            <v>4.6514106253732352</v>
          </cell>
          <cell r="G14">
            <v>4.6329376788999355</v>
          </cell>
        </row>
        <row r="15">
          <cell r="A15">
            <v>10</v>
          </cell>
          <cell r="B15">
            <v>5.9773310301200295</v>
          </cell>
          <cell r="C15">
            <v>5.0986415089366623</v>
          </cell>
          <cell r="D15">
            <v>6.2314212013906083</v>
          </cell>
          <cell r="E15">
            <v>5.1486742888140267</v>
          </cell>
          <cell r="F15">
            <v>5.1232951428160494</v>
          </cell>
          <cell r="G15">
            <v>5.1031556463801673</v>
          </cell>
        </row>
        <row r="16">
          <cell r="A16">
            <v>11</v>
          </cell>
          <cell r="B16">
            <v>6.5164294105681506</v>
          </cell>
          <cell r="C16">
            <v>5.5706171225320125</v>
          </cell>
          <cell r="D16">
            <v>6.79104047184242</v>
          </cell>
          <cell r="E16">
            <v>5.6242474711825938</v>
          </cell>
          <cell r="F16">
            <v>5.5970467425651851</v>
          </cell>
          <cell r="G16">
            <v>5.5753270296663491</v>
          </cell>
        </row>
        <row r="17">
          <cell r="A17">
            <v>12</v>
          </cell>
          <cell r="B17">
            <v>7.0195405110954665</v>
          </cell>
          <cell r="C17">
            <v>6.0100826762152249</v>
          </cell>
          <cell r="D17">
            <v>7.3136094004357828</v>
          </cell>
          <cell r="E17">
            <v>6.0671242255186826</v>
          </cell>
          <cell r="F17">
            <v>6.038196279419191</v>
          </cell>
          <cell r="G17">
            <v>6.0149782114900709</v>
          </cell>
        </row>
        <row r="18">
          <cell r="A18">
            <v>13</v>
          </cell>
          <cell r="B18">
            <v>7.443217236961976</v>
          </cell>
          <cell r="C18">
            <v>6.3734109411425983</v>
          </cell>
          <cell r="D18">
            <v>7.7557359625721345</v>
          </cell>
          <cell r="E18">
            <v>6.4336869771181826</v>
          </cell>
          <cell r="F18">
            <v>6.4031212906463466</v>
          </cell>
          <cell r="G18">
            <v>6.3769408211871115</v>
          </cell>
        </row>
        <row r="19">
          <cell r="A19">
            <v>14</v>
          </cell>
          <cell r="B19">
            <v>7.8510384513479297</v>
          </cell>
          <cell r="C19">
            <v>6.7240099794180725</v>
          </cell>
          <cell r="D19">
            <v>8.1810512401068145</v>
          </cell>
          <cell r="E19">
            <v>6.7873529431504362</v>
          </cell>
          <cell r="F19">
            <v>6.7552343575594493</v>
          </cell>
          <cell r="G19">
            <v>6.7277067536894677</v>
          </cell>
        </row>
        <row r="20">
          <cell r="A20">
            <v>15</v>
          </cell>
          <cell r="B20">
            <v>8.2446672446397109</v>
          </cell>
          <cell r="C20">
            <v>7.0633809277384474</v>
          </cell>
          <cell r="D20">
            <v>8.5912678361984085</v>
          </cell>
          <cell r="E20">
            <v>7.129631940523474</v>
          </cell>
          <cell r="F20">
            <v>7.0960409019515804</v>
          </cell>
          <cell r="G20">
            <v>7.0672359503977491</v>
          </cell>
        </row>
        <row r="21">
          <cell r="A21">
            <v>16</v>
          </cell>
          <cell r="B21">
            <v>8.6170329213525552</v>
          </cell>
          <cell r="C21">
            <v>7.3842995266457567</v>
          </cell>
          <cell r="D21">
            <v>8.9793620030664023</v>
          </cell>
          <cell r="E21">
            <v>7.4533079402354119</v>
          </cell>
          <cell r="F21">
            <v>7.41832072747642</v>
          </cell>
          <cell r="G21">
            <v>7.3883045998201169</v>
          </cell>
        </row>
        <row r="22">
          <cell r="A22">
            <v>17</v>
          </cell>
          <cell r="B22">
            <v>8.9785128074121552</v>
          </cell>
          <cell r="C22">
            <v>7.6969974935280847</v>
          </cell>
          <cell r="D22">
            <v>9.3557555824923941</v>
          </cell>
          <cell r="E22">
            <v>7.7686204639316374</v>
          </cell>
          <cell r="F22">
            <v>7.7323094041487295</v>
          </cell>
          <cell r="G22">
            <v>7.7011448439335792</v>
          </cell>
        </row>
        <row r="23">
          <cell r="A23">
            <v>18</v>
          </cell>
          <cell r="B23">
            <v>9.3266304519945802</v>
          </cell>
          <cell r="C23">
            <v>7.9988603119495449</v>
          </cell>
          <cell r="D23">
            <v>9.718014333251741</v>
          </cell>
          <cell r="E23">
            <v>8.0729623950195553</v>
          </cell>
          <cell r="F23">
            <v>8.0353960685782653</v>
          </cell>
          <cell r="G23">
            <v>8.0031425690189781</v>
          </cell>
        </row>
        <row r="24">
          <cell r="A24">
            <v>19</v>
          </cell>
          <cell r="B24">
            <v>9.6685267419942811</v>
          </cell>
          <cell r="C24">
            <v>8.2968979556528257</v>
          </cell>
          <cell r="D24">
            <v>10.073319165342008</v>
          </cell>
          <cell r="E24">
            <v>8.3733507238394012</v>
          </cell>
          <cell r="F24">
            <v>8.334594158311404</v>
          </cell>
          <cell r="G24">
            <v>8.3013081305785459</v>
          </cell>
        </row>
        <row r="25">
          <cell r="A25">
            <v>20</v>
          </cell>
          <cell r="B25">
            <v>9.9926946793819234</v>
          </cell>
          <cell r="C25">
            <v>8.5794792950258216</v>
          </cell>
          <cell r="D25">
            <v>10.410201030243831</v>
          </cell>
          <cell r="E25">
            <v>8.6581609737068295</v>
          </cell>
          <cell r="F25">
            <v>8.6182758281012433</v>
          </cell>
          <cell r="G25">
            <v>8.584010761165878</v>
          </cell>
        </row>
        <row r="26">
          <cell r="A26">
            <v>21</v>
          </cell>
          <cell r="B26">
            <v>10.30005392026904</v>
          </cell>
          <cell r="C26">
            <v>8.8474062852515019</v>
          </cell>
          <cell r="D26">
            <v>10.729615567802583</v>
          </cell>
          <cell r="E26">
            <v>8.9282014082033641</v>
          </cell>
          <cell r="F26">
            <v>8.8872461473530695</v>
          </cell>
          <cell r="G26">
            <v>8.8520527592497409</v>
          </cell>
        </row>
        <row r="27">
          <cell r="A27">
            <v>22</v>
          </cell>
          <cell r="B27">
            <v>10.591476384702293</v>
          </cell>
          <cell r="C27">
            <v>9.1014392428133668</v>
          </cell>
          <cell r="D27">
            <v>11.032468817701538</v>
          </cell>
          <cell r="E27">
            <v>9.1842383254115045</v>
          </cell>
          <cell r="F27">
            <v>9.142268385443888</v>
          </cell>
          <cell r="G27">
            <v>9.1061947668158929</v>
          </cell>
        </row>
        <row r="28">
          <cell r="A28">
            <v>23</v>
          </cell>
          <cell r="B28">
            <v>10.867788736643449</v>
          </cell>
          <cell r="C28">
            <v>9.3422990096081993</v>
          </cell>
          <cell r="D28">
            <v>11.319619796009341</v>
          </cell>
          <cell r="E28">
            <v>9.4269982389569709</v>
          </cell>
          <cell r="F28">
            <v>9.3840661841926316</v>
          </cell>
          <cell r="G28">
            <v>9.3471579344010998</v>
          </cell>
        </row>
        <row r="29">
          <cell r="A29">
            <v>24</v>
          </cell>
          <cell r="B29">
            <v>11.129774734947262</v>
          </cell>
          <cell r="C29">
            <v>9.5706690044198943</v>
          </cell>
          <cell r="D29">
            <v>11.591882937722788</v>
          </cell>
          <cell r="E29">
            <v>9.6571699455349922</v>
          </cell>
          <cell r="F29">
            <v>9.6133256172584982</v>
          </cell>
          <cell r="G29">
            <v>9.575625973440486</v>
          </cell>
        </row>
        <row r="30">
          <cell r="A30">
            <v>25</v>
          </cell>
          <cell r="B30">
            <v>11.378177462059771</v>
          </cell>
          <cell r="C30">
            <v>9.7871971676291452</v>
          </cell>
          <cell r="D30">
            <v>11.850030412286614</v>
          </cell>
          <cell r="E30">
            <v>9.875406484840898</v>
          </cell>
          <cell r="F30">
            <v>9.8306971423646274</v>
          </cell>
          <cell r="G30">
            <v>9.7922471018055042</v>
          </cell>
        </row>
        <row r="31">
          <cell r="A31">
            <v>26</v>
          </cell>
          <cell r="B31">
            <v>11.613701436808245</v>
          </cell>
          <cell r="C31">
            <v>9.9924978047265203</v>
          </cell>
          <cell r="D31">
            <v>12.094794318707244</v>
          </cell>
          <cell r="E31">
            <v>10.082326997515581</v>
          </cell>
          <cell r="F31">
            <v>10.036797451935914</v>
          </cell>
          <cell r="G31">
            <v>9.9976358881023799</v>
          </cell>
        </row>
        <row r="32">
          <cell r="A32">
            <v>27</v>
          </cell>
          <cell r="B32">
            <v>11.837014617321248</v>
          </cell>
          <cell r="C32">
            <v>10.187153333905226</v>
          </cell>
          <cell r="D32">
            <v>12.326868766531959</v>
          </cell>
          <cell r="E32">
            <v>10.278518486423001</v>
          </cell>
          <cell r="F32">
            <v>10.232211227447424</v>
          </cell>
          <cell r="G32">
            <v>10.192375000009566</v>
          </cell>
        </row>
        <row r="33">
          <cell r="A33">
            <v>28</v>
          </cell>
          <cell r="B33">
            <v>12.048750299801918</v>
          </cell>
          <cell r="C33">
            <v>10.371715942734038</v>
          </cell>
          <cell r="D33">
            <v>12.546911848637516</v>
          </cell>
          <cell r="E33">
            <v>10.464537486298932</v>
          </cell>
          <cell r="F33">
            <v>10.417492802502993</v>
          </cell>
          <cell r="G33">
            <v>10.377016861656783</v>
          </cell>
        </row>
        <row r="34">
          <cell r="A34">
            <v>29</v>
          </cell>
          <cell r="B34">
            <v>12.249508918578702</v>
          </cell>
          <cell r="C34">
            <v>10.54670915864944</v>
          </cell>
          <cell r="D34">
            <v>12.755547511461948</v>
          </cell>
          <cell r="E34">
            <v>10.640911646546709</v>
          </cell>
          <cell r="F34">
            <v>10.593167739401213</v>
          </cell>
          <cell r="G34">
            <v>10.552085224786676</v>
          </cell>
        </row>
        <row r="35">
          <cell r="A35">
            <v>30</v>
          </cell>
          <cell r="B35">
            <v>12.439859752574669</v>
          </cell>
          <cell r="C35">
            <v>10.712629337758347</v>
          </cell>
          <cell r="D35">
            <v>12.953367328019288</v>
          </cell>
          <cell r="E35">
            <v>10.808141231706198</v>
          </cell>
          <cell r="F35">
            <v>10.759734323697341</v>
          </cell>
          <cell r="G35">
            <v>10.718076658192391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250"/>
      <sheetName val="E251"/>
      <sheetName val="E253"/>
      <sheetName val="E255"/>
      <sheetName val="E258"/>
      <sheetName val="E261"/>
      <sheetName val="E262"/>
      <sheetName val="G205"/>
      <sheetName val="G208"/>
      <sheetName val="G251"/>
      <sheetName val="G261"/>
      <sheetName val="G262"/>
      <sheetName val="Gen&amp;T&amp;D"/>
      <sheetName val="InHouseProgs"/>
      <sheetName val="ContractProgs"/>
      <sheetName val="Labor-EG"/>
      <sheetName val="Emp Exp-E"/>
      <sheetName val="Emp Exp-G"/>
      <sheetName val="Out Svc-EG"/>
      <sheetName val="Matls-E"/>
      <sheetName val="Matls-G"/>
      <sheetName val="Misc-E"/>
      <sheetName val="Misc-G"/>
      <sheetName val="Mktg-Non-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5">
          <cell r="AC75">
            <v>1755000</v>
          </cell>
        </row>
      </sheetData>
      <sheetData sheetId="17"/>
      <sheetData sheetId="18"/>
      <sheetData sheetId="19"/>
      <sheetData sheetId="20"/>
      <sheetData sheetId="21"/>
      <sheetData sheetId="22"/>
      <sheetData sheetId="23"/>
      <sheetData sheetId="24">
        <row r="31">
          <cell r="N31">
            <v>42000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hyperlink" Target="../Local%20Settings/Application%20Data/Microsoft/Excel/CostEffectivenessSupplement_LIWElectric%2020122013.xls" TargetMode="External"/><Relationship Id="rId7" Type="http://schemas.openxmlformats.org/officeDocument/2006/relationships/comments" Target="../comments7.xml"/><Relationship Id="rId2" Type="http://schemas.openxmlformats.org/officeDocument/2006/relationships/hyperlink" Target="../Local%20Settings/Application%20Data/Microsoft/Excel/LIWLaborWorksheet.xls" TargetMode="External"/><Relationship Id="rId1" Type="http://schemas.openxmlformats.org/officeDocument/2006/relationships/printerSettings" Target="../printerSettings/printerSettings43.bin"/><Relationship Id="rId6" Type="http://schemas.openxmlformats.org/officeDocument/2006/relationships/vmlDrawing" Target="../drawings/vmlDrawing7.vml"/><Relationship Id="rId5" Type="http://schemas.openxmlformats.org/officeDocument/2006/relationships/drawing" Target="../drawings/drawing21.xml"/><Relationship Id="rId4"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Sestdpt1.puget.com/sopscci/Budget%20&amp;%20Administration/WUTC_Filing_Program_Planning/2012_2013%20Program%20Planning/2012-2013%20BCP/Exhibit%201_Budgets/Exhibit%201%20details_ANDY%20ONLY%20ACCESS!/Exhibit%201%20complete%20for%20BCP_MASTER_07222011.xlsx" TargetMode="External"/><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6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7"/>
  <sheetViews>
    <sheetView tabSelected="1" workbookViewId="0">
      <selection activeCell="G8" sqref="G8"/>
    </sheetView>
  </sheetViews>
  <sheetFormatPr defaultRowHeight="13.2" x14ac:dyDescent="0.25"/>
  <cols>
    <col min="1" max="1" width="2.6640625" customWidth="1"/>
    <col min="2" max="2" width="20.6640625" customWidth="1"/>
    <col min="3" max="3" width="99.5546875" style="2591" customWidth="1"/>
  </cols>
  <sheetData>
    <row r="1" spans="2:4" ht="17.399999999999999" x14ac:dyDescent="0.3">
      <c r="B1" s="2599" t="s">
        <v>1034</v>
      </c>
      <c r="C1" s="2597"/>
      <c r="D1" s="2598"/>
    </row>
    <row r="2" spans="2:4" ht="17.399999999999999" x14ac:dyDescent="0.3">
      <c r="B2" s="2599"/>
      <c r="C2" s="2597"/>
      <c r="D2" s="2598"/>
    </row>
    <row r="3" spans="2:4" x14ac:dyDescent="0.25">
      <c r="B3" s="4751" t="s">
        <v>1035</v>
      </c>
      <c r="C3" s="4751"/>
      <c r="D3" s="2601"/>
    </row>
    <row r="4" spans="2:4" ht="13.8" x14ac:dyDescent="0.3">
      <c r="B4" s="2600"/>
      <c r="C4" s="2596"/>
      <c r="D4" s="2598"/>
    </row>
    <row r="5" spans="2:4" ht="63" customHeight="1" x14ac:dyDescent="0.25">
      <c r="B5" s="2602" t="s">
        <v>1036</v>
      </c>
      <c r="C5" s="2595" t="s">
        <v>1037</v>
      </c>
      <c r="D5" s="2601"/>
    </row>
    <row r="6" spans="2:4" x14ac:dyDescent="0.25">
      <c r="B6" s="2600"/>
      <c r="C6" s="2596"/>
      <c r="D6" s="2601"/>
    </row>
    <row r="7" spans="2:4" ht="64.5" customHeight="1" x14ac:dyDescent="0.25">
      <c r="B7" s="2603" t="s">
        <v>1038</v>
      </c>
      <c r="C7" s="2594" t="s">
        <v>1039</v>
      </c>
      <c r="D7" s="2601"/>
    </row>
    <row r="8" spans="2:4" ht="54" customHeight="1" x14ac:dyDescent="0.25">
      <c r="B8" s="2603" t="s">
        <v>1040</v>
      </c>
      <c r="C8" s="2593" t="s">
        <v>1044</v>
      </c>
      <c r="D8" s="2601"/>
    </row>
    <row r="9" spans="2:4" ht="36" customHeight="1" x14ac:dyDescent="0.25">
      <c r="B9" s="2603" t="s">
        <v>10</v>
      </c>
      <c r="C9" s="2593" t="s">
        <v>1045</v>
      </c>
      <c r="D9" s="2601"/>
    </row>
    <row r="10" spans="2:4" ht="43.5" customHeight="1" x14ac:dyDescent="0.25">
      <c r="B10" s="2603" t="s">
        <v>701</v>
      </c>
      <c r="C10" s="2592" t="s">
        <v>1026</v>
      </c>
      <c r="D10" s="2601"/>
    </row>
    <row r="11" spans="2:4" ht="42.75" customHeight="1" x14ac:dyDescent="0.25">
      <c r="B11" s="2603" t="s">
        <v>12</v>
      </c>
      <c r="C11" s="2593" t="s">
        <v>1027</v>
      </c>
      <c r="D11" s="2601"/>
    </row>
    <row r="12" spans="2:4" ht="52.5" customHeight="1" x14ac:dyDescent="0.25">
      <c r="B12" s="2604" t="s">
        <v>13</v>
      </c>
      <c r="C12" s="2594" t="s">
        <v>1046</v>
      </c>
      <c r="D12" s="2601"/>
    </row>
    <row r="13" spans="2:4" ht="54.75" customHeight="1" x14ac:dyDescent="0.25">
      <c r="B13" s="2603" t="s">
        <v>14</v>
      </c>
      <c r="C13" s="2593" t="s">
        <v>1041</v>
      </c>
      <c r="D13" s="2601"/>
    </row>
    <row r="14" spans="2:4" ht="36.75" customHeight="1" x14ac:dyDescent="0.25">
      <c r="B14" s="2603" t="s">
        <v>15</v>
      </c>
      <c r="C14" s="2593" t="s">
        <v>1042</v>
      </c>
      <c r="D14" s="2601"/>
    </row>
    <row r="15" spans="2:4" ht="69" customHeight="1" x14ac:dyDescent="0.25">
      <c r="B15" s="2603" t="s">
        <v>16</v>
      </c>
      <c r="C15" s="2593" t="s">
        <v>1047</v>
      </c>
      <c r="D15" s="2601"/>
    </row>
    <row r="16" spans="2:4" ht="32.25" customHeight="1" x14ac:dyDescent="0.25">
      <c r="B16" s="2603" t="s">
        <v>17</v>
      </c>
      <c r="C16" s="2593" t="s">
        <v>1032</v>
      </c>
      <c r="D16" s="2601"/>
    </row>
    <row r="17" spans="2:3" ht="36.75" customHeight="1" x14ac:dyDescent="0.25">
      <c r="B17" s="2603" t="s">
        <v>1043</v>
      </c>
      <c r="C17" s="2593" t="s">
        <v>1033</v>
      </c>
    </row>
  </sheetData>
  <mergeCells count="1">
    <mergeCell ref="B3:C3"/>
  </mergeCells>
  <pageMargins left="0.26" right="0.17" top="0.75" bottom="0.75" header="0.3" footer="0.3"/>
  <pageSetup scale="8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B32" activePane="bottomRight" state="frozen"/>
      <selection pane="topRight" activeCell="B1" sqref="B1"/>
      <selection pane="bottomLeft" activeCell="A2" sqref="A2"/>
      <selection pane="bottomRight" activeCell="A3" sqref="A3"/>
    </sheetView>
  </sheetViews>
  <sheetFormatPr defaultRowHeight="13.2" x14ac:dyDescent="0.25"/>
  <cols>
    <col min="1" max="1" width="16.33203125" style="3369" customWidth="1"/>
    <col min="2" max="2" width="19.44140625" customWidth="1"/>
    <col min="3" max="3" width="32.5546875" customWidth="1"/>
    <col min="4" max="4" width="16" style="19" customWidth="1"/>
    <col min="5" max="5" width="16" customWidth="1"/>
    <col min="6" max="6" width="17"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6"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6"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6"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6"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6"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6"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6"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6"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6"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6"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6"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6"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6"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6"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6"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6"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6"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6"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6"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6"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6"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6"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6"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6"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6"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6"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6"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6"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6"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6"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6"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6"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6"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6"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6"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6"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6"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6"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6"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6"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6"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6"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6"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6"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6"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6"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6"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6"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6"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6"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6"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6"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6"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6"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6"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6"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6"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6"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6"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6"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6"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6"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6"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3.5" customHeight="1" thickBot="1" x14ac:dyDescent="0.35">
      <c r="B1" s="3881"/>
      <c r="F1" s="202"/>
      <c r="G1" s="202">
        <f>C3</f>
        <v>18230627</v>
      </c>
      <c r="H1" s="202" t="str">
        <f>C4</f>
        <v>SF Existing Wx - Electric</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18230627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398</v>
      </c>
      <c r="F4" s="202">
        <v>2011</v>
      </c>
      <c r="G4" s="210">
        <f>B12</f>
        <v>48426</v>
      </c>
      <c r="H4" s="211">
        <f>B17</f>
        <v>6918</v>
      </c>
      <c r="I4" s="211">
        <f>B22</f>
        <v>34867</v>
      </c>
      <c r="J4" s="211">
        <f>B27</f>
        <v>48000</v>
      </c>
      <c r="K4" s="211">
        <f>B32</f>
        <v>3540</v>
      </c>
      <c r="L4" s="211">
        <f>B37</f>
        <v>444579</v>
      </c>
      <c r="M4" s="211">
        <f>B42</f>
        <v>2880</v>
      </c>
      <c r="N4" s="211">
        <f>B47</f>
        <v>127800</v>
      </c>
      <c r="O4" s="211">
        <f>B52</f>
        <v>451494</v>
      </c>
      <c r="P4" s="211">
        <f>B53</f>
        <v>0</v>
      </c>
      <c r="Q4" s="213">
        <f>B54</f>
        <v>1168504</v>
      </c>
      <c r="R4" s="214">
        <f>T54</f>
        <v>5465796</v>
      </c>
      <c r="S4" s="331">
        <f>O4/Q4</f>
        <v>0.38638635383361974</v>
      </c>
      <c r="T4" s="331">
        <f>(J4+(H4*1.63))/Q4</f>
        <v>5.0728401443212855E-2</v>
      </c>
      <c r="U4" s="331">
        <f>L4/Q4</f>
        <v>0.38046853070250508</v>
      </c>
      <c r="V4" s="216">
        <f>Q4/R4</f>
        <v>0.21378478084436375</v>
      </c>
    </row>
    <row r="5" spans="2:22" ht="16.2" thickBot="1" x14ac:dyDescent="0.35">
      <c r="B5" s="202" t="s">
        <v>34</v>
      </c>
      <c r="F5" s="202">
        <v>2012</v>
      </c>
      <c r="G5" s="217">
        <f>D12</f>
        <v>152856</v>
      </c>
      <c r="H5" s="218">
        <f>D17</f>
        <v>18000</v>
      </c>
      <c r="I5" s="218">
        <f>D22</f>
        <v>107639.28</v>
      </c>
      <c r="J5" s="218">
        <f>D27</f>
        <v>48000</v>
      </c>
      <c r="K5" s="218">
        <f>D32</f>
        <v>3540</v>
      </c>
      <c r="L5" s="218">
        <f>D37</f>
        <v>1542625</v>
      </c>
      <c r="M5" s="218">
        <f>D42</f>
        <v>3000</v>
      </c>
      <c r="N5" s="218">
        <f>D47</f>
        <v>5000</v>
      </c>
      <c r="O5" s="218">
        <f>D52</f>
        <v>2439231.06</v>
      </c>
      <c r="P5" s="218">
        <f>D53</f>
        <v>0</v>
      </c>
      <c r="Q5" s="219">
        <f>SUM(G5:P5)</f>
        <v>4319891.34</v>
      </c>
      <c r="R5" s="220">
        <f>P54</f>
        <v>10255725.960000001</v>
      </c>
      <c r="S5" s="332">
        <f>O5/Q5</f>
        <v>0.56465102198612249</v>
      </c>
      <c r="T5" s="332">
        <f>(J5+(H5*1.63))/Q5</f>
        <v>1.7903228093695524E-2</v>
      </c>
      <c r="U5" s="332">
        <f>L5/Q5</f>
        <v>0.35709810237958439</v>
      </c>
      <c r="V5" s="222">
        <f>Q5/R5</f>
        <v>0.42121750881884906</v>
      </c>
    </row>
    <row r="6" spans="2:22" ht="16.2" thickBot="1" x14ac:dyDescent="0.35">
      <c r="C6" s="202" t="s">
        <v>254</v>
      </c>
      <c r="F6" s="202">
        <v>2013</v>
      </c>
      <c r="G6" s="223">
        <f>E12</f>
        <v>157441.63</v>
      </c>
      <c r="H6" s="224">
        <f>E17</f>
        <v>18450</v>
      </c>
      <c r="I6" s="224">
        <f>E22</f>
        <v>110811.72690000001</v>
      </c>
      <c r="J6" s="224">
        <f>E27</f>
        <v>48000</v>
      </c>
      <c r="K6" s="224">
        <f>E32</f>
        <v>3540</v>
      </c>
      <c r="L6" s="224">
        <f>E37</f>
        <v>1542625</v>
      </c>
      <c r="M6" s="224">
        <f>E42</f>
        <v>3000</v>
      </c>
      <c r="N6" s="224">
        <f>E47</f>
        <v>5000</v>
      </c>
      <c r="O6" s="224">
        <f>E52</f>
        <v>2446731.06</v>
      </c>
      <c r="P6" s="224">
        <f>E53</f>
        <v>0</v>
      </c>
      <c r="Q6" s="225">
        <f>SUM(G6:P6)</f>
        <v>4335599.4168999996</v>
      </c>
      <c r="R6" s="226">
        <f>Q54</f>
        <v>10268682.960000001</v>
      </c>
      <c r="S6" s="332">
        <f>O6/Q6</f>
        <v>0.56433512986987144</v>
      </c>
      <c r="T6" s="332">
        <f>(J6+(H6*1.63))/Q6</f>
        <v>1.8007544630546931E-2</v>
      </c>
      <c r="U6" s="332">
        <f>L6/Q6</f>
        <v>0.3558043194643184</v>
      </c>
      <c r="V6" s="222">
        <f>Q6/R6</f>
        <v>0.42221572462492302</v>
      </c>
    </row>
    <row r="7" spans="2:22" ht="16.2" thickBot="1" x14ac:dyDescent="0.35">
      <c r="C7" s="227" t="s">
        <v>255</v>
      </c>
      <c r="F7" s="228" t="s">
        <v>140</v>
      </c>
      <c r="G7" s="229">
        <f>SUM(G5:G6)</f>
        <v>310297.63</v>
      </c>
      <c r="H7" s="229">
        <f t="shared" ref="H7:P7" si="0">SUM(H5:H6)</f>
        <v>36450</v>
      </c>
      <c r="I7" s="229">
        <f t="shared" si="0"/>
        <v>218451.00690000001</v>
      </c>
      <c r="J7" s="229">
        <f t="shared" si="0"/>
        <v>96000</v>
      </c>
      <c r="K7" s="229">
        <f t="shared" si="0"/>
        <v>7080</v>
      </c>
      <c r="L7" s="229">
        <f t="shared" si="0"/>
        <v>3085250</v>
      </c>
      <c r="M7" s="229">
        <f t="shared" si="0"/>
        <v>6000</v>
      </c>
      <c r="N7" s="229">
        <f t="shared" si="0"/>
        <v>10000</v>
      </c>
      <c r="O7" s="229">
        <f t="shared" si="0"/>
        <v>4885962.12</v>
      </c>
      <c r="P7" s="229">
        <f t="shared" si="0"/>
        <v>0</v>
      </c>
      <c r="Q7" s="230">
        <f>SUM(G7:P7)</f>
        <v>8655490.7569000013</v>
      </c>
      <c r="R7" s="231">
        <f>R54</f>
        <v>20524408.920000002</v>
      </c>
      <c r="S7" s="332">
        <f>O7/Q7</f>
        <v>0.56449278928580671</v>
      </c>
      <c r="T7" s="332">
        <f>(J7+(H7*1.63))/Q7</f>
        <v>1.7955481019502811E-2</v>
      </c>
      <c r="U7" s="332">
        <f>L7/Q7</f>
        <v>0.35645003693643762</v>
      </c>
      <c r="V7" s="222">
        <f>Q7/R7</f>
        <v>0.42171693180726205</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43">
        <v>48426</v>
      </c>
      <c r="C12" s="244" t="s">
        <v>161</v>
      </c>
      <c r="D12" s="245">
        <f>SUM(D13:D16)</f>
        <v>152856</v>
      </c>
      <c r="E12" s="245">
        <f>SUM(E13:E16)</f>
        <v>157441.63</v>
      </c>
      <c r="F12" s="246">
        <f>D12+E12</f>
        <v>310297.63</v>
      </c>
      <c r="H12" s="135"/>
      <c r="I12" s="247" t="str">
        <f t="shared" ref="I12:I53" si="1">C62</f>
        <v>Attic Insulation R-0 to R-49 - Average</v>
      </c>
      <c r="J12" s="248"/>
      <c r="K12" s="249"/>
      <c r="L12" s="250">
        <f t="shared" ref="L12:L53" si="2">D62</f>
        <v>2.2400000000000002</v>
      </c>
      <c r="M12" s="3504">
        <v>255000</v>
      </c>
      <c r="N12" s="3505">
        <v>255000</v>
      </c>
      <c r="O12" s="252">
        <f>M12+N12</f>
        <v>510000</v>
      </c>
      <c r="P12" s="253">
        <f t="shared" ref="P12:R27" si="3">M12*$D62</f>
        <v>571200</v>
      </c>
      <c r="Q12" s="253">
        <f t="shared" si="3"/>
        <v>571200</v>
      </c>
      <c r="R12" s="254">
        <f t="shared" si="3"/>
        <v>1142400</v>
      </c>
      <c r="T12" s="255">
        <v>108540</v>
      </c>
    </row>
    <row r="13" spans="2:22" ht="13.8" x14ac:dyDescent="0.3">
      <c r="B13" s="256"/>
      <c r="C13" s="257" t="s">
        <v>162</v>
      </c>
      <c r="D13" s="258">
        <v>152856</v>
      </c>
      <c r="E13" s="258">
        <v>157441.63</v>
      </c>
      <c r="F13" s="258">
        <f>SUM(D13:E13)</f>
        <v>310297.63</v>
      </c>
      <c r="H13" s="135"/>
      <c r="I13" s="259" t="str">
        <f t="shared" si="1"/>
        <v>Floor Insulation R-0 to R-30 - Average</v>
      </c>
      <c r="J13" s="260"/>
      <c r="K13" s="261"/>
      <c r="L13" s="250">
        <f t="shared" si="2"/>
        <v>1.29</v>
      </c>
      <c r="M13" s="3507">
        <v>337000</v>
      </c>
      <c r="N13" s="3508">
        <v>337000</v>
      </c>
      <c r="O13" s="252">
        <f t="shared" ref="O13:O53" si="4">M13+N13</f>
        <v>674000</v>
      </c>
      <c r="P13" s="253">
        <f t="shared" si="3"/>
        <v>434730</v>
      </c>
      <c r="Q13" s="253">
        <f t="shared" si="3"/>
        <v>434730</v>
      </c>
      <c r="R13" s="254">
        <f t="shared" si="3"/>
        <v>869460</v>
      </c>
      <c r="T13" s="333">
        <v>575750</v>
      </c>
    </row>
    <row r="14" spans="2:22" ht="13.8" x14ac:dyDescent="0.3">
      <c r="B14" s="264"/>
      <c r="C14" s="265" t="s">
        <v>163</v>
      </c>
      <c r="D14" s="266">
        <v>0</v>
      </c>
      <c r="E14" s="266"/>
      <c r="F14" s="258">
        <f t="shared" ref="F14:F24" si="5">SUM(D14:E14)</f>
        <v>0</v>
      </c>
      <c r="H14" s="135"/>
      <c r="I14" s="259" t="str">
        <f t="shared" si="1"/>
        <v>Wall Insulation R-0 to R-11 - Average</v>
      </c>
      <c r="J14" s="260"/>
      <c r="K14" s="261"/>
      <c r="L14" s="250">
        <f t="shared" si="2"/>
        <v>1.52</v>
      </c>
      <c r="M14" s="3504">
        <v>48300</v>
      </c>
      <c r="N14" s="3505">
        <v>48300</v>
      </c>
      <c r="O14" s="252">
        <f t="shared" si="4"/>
        <v>96600</v>
      </c>
      <c r="P14" s="253">
        <f t="shared" si="3"/>
        <v>73416</v>
      </c>
      <c r="Q14" s="253">
        <f t="shared" si="3"/>
        <v>73416</v>
      </c>
      <c r="R14" s="254">
        <f t="shared" si="3"/>
        <v>146832</v>
      </c>
      <c r="T14" s="333">
        <v>30457</v>
      </c>
    </row>
    <row r="15" spans="2:22" ht="13.8" x14ac:dyDescent="0.3">
      <c r="B15" s="264"/>
      <c r="C15" s="265" t="s">
        <v>164</v>
      </c>
      <c r="D15" s="268">
        <v>0</v>
      </c>
      <c r="E15" s="268"/>
      <c r="F15" s="258">
        <f t="shared" si="5"/>
        <v>0</v>
      </c>
      <c r="H15" s="135"/>
      <c r="I15" s="259" t="str">
        <f t="shared" si="1"/>
        <v>Duct Insulation R-2 to R-11</v>
      </c>
      <c r="J15" s="260"/>
      <c r="K15" s="261"/>
      <c r="L15" s="250">
        <f t="shared" si="2"/>
        <v>790</v>
      </c>
      <c r="M15" s="3504">
        <v>0</v>
      </c>
      <c r="N15" s="3505">
        <v>0</v>
      </c>
      <c r="O15" s="252">
        <f t="shared" si="4"/>
        <v>0</v>
      </c>
      <c r="P15" s="253">
        <f t="shared" si="3"/>
        <v>0</v>
      </c>
      <c r="Q15" s="253">
        <f t="shared" si="3"/>
        <v>0</v>
      </c>
      <c r="R15" s="254">
        <f t="shared" si="3"/>
        <v>0</v>
      </c>
      <c r="T15" s="333">
        <v>77748</v>
      </c>
    </row>
    <row r="16" spans="2:22" ht="14.4" thickBot="1" x14ac:dyDescent="0.35">
      <c r="B16" s="264"/>
      <c r="C16" s="265" t="s">
        <v>165</v>
      </c>
      <c r="D16" s="268">
        <v>0</v>
      </c>
      <c r="E16" s="268"/>
      <c r="F16" s="258">
        <f t="shared" si="5"/>
        <v>0</v>
      </c>
      <c r="H16" s="135"/>
      <c r="I16" s="259" t="str">
        <f t="shared" si="1"/>
        <v>PTCS Duct Sealing</v>
      </c>
      <c r="J16" s="260"/>
      <c r="K16" s="261"/>
      <c r="L16" s="250">
        <f t="shared" si="2"/>
        <v>1244</v>
      </c>
      <c r="M16" s="3504">
        <v>0</v>
      </c>
      <c r="N16" s="3505">
        <v>0</v>
      </c>
      <c r="O16" s="252">
        <f t="shared" si="4"/>
        <v>0</v>
      </c>
      <c r="P16" s="253">
        <f t="shared" si="3"/>
        <v>0</v>
      </c>
      <c r="Q16" s="253">
        <f t="shared" si="3"/>
        <v>0</v>
      </c>
      <c r="R16" s="254">
        <f t="shared" si="3"/>
        <v>0</v>
      </c>
      <c r="T16" s="333">
        <v>68780</v>
      </c>
    </row>
    <row r="17" spans="2:20" ht="14.4" thickBot="1" x14ac:dyDescent="0.35">
      <c r="B17" s="243">
        <v>6918</v>
      </c>
      <c r="C17" s="244" t="s">
        <v>166</v>
      </c>
      <c r="D17" s="245">
        <f>SUM(D18:D21)</f>
        <v>18000</v>
      </c>
      <c r="E17" s="245">
        <f>SUM(E18:E21)</f>
        <v>18450</v>
      </c>
      <c r="F17" s="246">
        <f>D17+E17</f>
        <v>36450</v>
      </c>
      <c r="G17" t="s">
        <v>7</v>
      </c>
      <c r="H17" s="135"/>
      <c r="I17" s="259" t="str">
        <f t="shared" si="1"/>
        <v>Air Sealing- Average</v>
      </c>
      <c r="J17" s="260"/>
      <c r="K17" s="261"/>
      <c r="L17" s="250">
        <f t="shared" si="2"/>
        <v>0.46</v>
      </c>
      <c r="M17" s="3504">
        <v>266046</v>
      </c>
      <c r="N17" s="3505">
        <v>266046</v>
      </c>
      <c r="O17" s="252">
        <f t="shared" si="4"/>
        <v>532092</v>
      </c>
      <c r="P17" s="253">
        <f t="shared" si="3"/>
        <v>122381.16</v>
      </c>
      <c r="Q17" s="253">
        <f t="shared" si="3"/>
        <v>122381.16</v>
      </c>
      <c r="R17" s="254">
        <f t="shared" si="3"/>
        <v>244762.32</v>
      </c>
      <c r="T17" s="333">
        <v>195880</v>
      </c>
    </row>
    <row r="18" spans="2:20" ht="13.8" x14ac:dyDescent="0.3">
      <c r="B18" s="256"/>
      <c r="C18" s="257" t="s">
        <v>162</v>
      </c>
      <c r="D18" s="258">
        <v>18000</v>
      </c>
      <c r="E18" s="258">
        <v>18450</v>
      </c>
      <c r="F18" s="258">
        <f t="shared" si="5"/>
        <v>36450</v>
      </c>
      <c r="H18" s="135"/>
      <c r="I18" s="259" t="str">
        <f t="shared" si="1"/>
        <v>Windows- Single Pane to U.30- Average</v>
      </c>
      <c r="J18" s="260"/>
      <c r="K18" s="261"/>
      <c r="L18" s="250">
        <f t="shared" si="2"/>
        <v>20.84</v>
      </c>
      <c r="M18" s="3504">
        <v>168480</v>
      </c>
      <c r="N18" s="3505">
        <v>168480</v>
      </c>
      <c r="O18" s="252">
        <f t="shared" si="4"/>
        <v>336960</v>
      </c>
      <c r="P18" s="253">
        <f t="shared" si="3"/>
        <v>3511123.2</v>
      </c>
      <c r="Q18" s="253">
        <f t="shared" si="3"/>
        <v>3511123.2</v>
      </c>
      <c r="R18" s="254">
        <f t="shared" si="3"/>
        <v>7022246.4000000004</v>
      </c>
      <c r="T18" s="333">
        <v>25560</v>
      </c>
    </row>
    <row r="19" spans="2:20" ht="13.8" x14ac:dyDescent="0.3">
      <c r="B19" s="264"/>
      <c r="C19" s="265" t="s">
        <v>163</v>
      </c>
      <c r="D19" s="266">
        <v>0</v>
      </c>
      <c r="E19" s="266"/>
      <c r="F19" s="258">
        <f t="shared" si="5"/>
        <v>0</v>
      </c>
      <c r="H19" s="135"/>
      <c r="I19" s="259" t="str">
        <f t="shared" si="1"/>
        <v>Windows- Double Pane to U.30- Average</v>
      </c>
      <c r="J19" s="260"/>
      <c r="K19" s="261"/>
      <c r="L19" s="250">
        <f t="shared" si="2"/>
        <v>11.53</v>
      </c>
      <c r="M19" s="3504">
        <v>56520</v>
      </c>
      <c r="N19" s="3505">
        <v>56520</v>
      </c>
      <c r="O19" s="252">
        <f t="shared" si="4"/>
        <v>113040</v>
      </c>
      <c r="P19" s="253">
        <f t="shared" si="3"/>
        <v>651675.6</v>
      </c>
      <c r="Q19" s="253">
        <f t="shared" si="3"/>
        <v>651675.6</v>
      </c>
      <c r="R19" s="254">
        <f t="shared" si="3"/>
        <v>1303351.2</v>
      </c>
      <c r="T19" s="333">
        <v>72504</v>
      </c>
    </row>
    <row r="20" spans="2:20" ht="13.8" x14ac:dyDescent="0.3">
      <c r="B20" s="264"/>
      <c r="C20" s="265" t="s">
        <v>164</v>
      </c>
      <c r="D20" s="268">
        <v>0</v>
      </c>
      <c r="E20" s="268"/>
      <c r="F20" s="258">
        <f t="shared" si="5"/>
        <v>0</v>
      </c>
      <c r="H20" s="135"/>
      <c r="I20" s="259" t="str">
        <f t="shared" si="1"/>
        <v>MH Duct Sealing L1</v>
      </c>
      <c r="J20" s="260"/>
      <c r="K20" s="261"/>
      <c r="L20" s="250">
        <f t="shared" si="2"/>
        <v>600</v>
      </c>
      <c r="M20" s="3504">
        <v>1200</v>
      </c>
      <c r="N20" s="3505">
        <v>1200</v>
      </c>
      <c r="O20" s="252">
        <f t="shared" si="4"/>
        <v>2400</v>
      </c>
      <c r="P20" s="253">
        <f t="shared" si="3"/>
        <v>720000</v>
      </c>
      <c r="Q20" s="253">
        <f t="shared" si="3"/>
        <v>720000</v>
      </c>
      <c r="R20" s="254">
        <f t="shared" si="3"/>
        <v>1440000</v>
      </c>
      <c r="T20" s="333">
        <v>55020</v>
      </c>
    </row>
    <row r="21" spans="2:20" ht="14.4" thickBot="1" x14ac:dyDescent="0.35">
      <c r="B21" s="264"/>
      <c r="C21" s="265" t="s">
        <v>165</v>
      </c>
      <c r="D21" s="268">
        <v>0</v>
      </c>
      <c r="E21" s="268"/>
      <c r="F21" s="258">
        <f t="shared" si="5"/>
        <v>0</v>
      </c>
      <c r="H21" s="135"/>
      <c r="I21" s="259" t="str">
        <f t="shared" si="1"/>
        <v>MH Duct Sealing L2</v>
      </c>
      <c r="J21" s="260"/>
      <c r="K21" s="261"/>
      <c r="L21" s="250">
        <f t="shared" si="2"/>
        <v>800</v>
      </c>
      <c r="M21" s="3504">
        <v>2000</v>
      </c>
      <c r="N21" s="3505">
        <v>2000</v>
      </c>
      <c r="O21" s="252">
        <f t="shared" si="4"/>
        <v>4000</v>
      </c>
      <c r="P21" s="253">
        <f t="shared" si="3"/>
        <v>1600000</v>
      </c>
      <c r="Q21" s="253">
        <f t="shared" si="3"/>
        <v>1600000</v>
      </c>
      <c r="R21" s="254">
        <f t="shared" si="3"/>
        <v>3200000</v>
      </c>
      <c r="T21" s="333">
        <v>86800</v>
      </c>
    </row>
    <row r="22" spans="2:20" ht="14.4" thickBot="1" x14ac:dyDescent="0.35">
      <c r="B22" s="243">
        <v>34867</v>
      </c>
      <c r="C22" s="244" t="s">
        <v>167</v>
      </c>
      <c r="D22" s="245">
        <f>SUM(D23:D26)</f>
        <v>107639.28</v>
      </c>
      <c r="E22" s="245">
        <f>SUM(E23:E26)</f>
        <v>110811.72690000001</v>
      </c>
      <c r="F22" s="246">
        <f>D22+E22</f>
        <v>218451.00690000001</v>
      </c>
      <c r="G22" s="55"/>
      <c r="H22" s="135"/>
      <c r="I22" s="259" t="str">
        <f t="shared" si="1"/>
        <v>MH Duct Sealing L3</v>
      </c>
      <c r="J22" s="260"/>
      <c r="K22" s="261"/>
      <c r="L22" s="250">
        <f t="shared" si="2"/>
        <v>1000</v>
      </c>
      <c r="M22" s="3504">
        <v>600</v>
      </c>
      <c r="N22" s="3505">
        <v>600</v>
      </c>
      <c r="O22" s="252">
        <f t="shared" si="4"/>
        <v>1200</v>
      </c>
      <c r="P22" s="253">
        <f t="shared" si="3"/>
        <v>600000</v>
      </c>
      <c r="Q22" s="253">
        <f t="shared" si="3"/>
        <v>600000</v>
      </c>
      <c r="R22" s="254">
        <f t="shared" si="3"/>
        <v>1200000</v>
      </c>
      <c r="T22" s="333">
        <v>5780</v>
      </c>
    </row>
    <row r="23" spans="2:20" ht="13.8" x14ac:dyDescent="0.3">
      <c r="B23" s="269"/>
      <c r="C23" s="257" t="s">
        <v>168</v>
      </c>
      <c r="D23" s="258">
        <f>0.63*D12</f>
        <v>96299.28</v>
      </c>
      <c r="E23" s="258">
        <f>0.63*E12</f>
        <v>99188.226900000009</v>
      </c>
      <c r="F23" s="258">
        <f t="shared" si="5"/>
        <v>195487.50690000001</v>
      </c>
      <c r="H23" s="135"/>
      <c r="I23" s="259" t="str">
        <f t="shared" si="1"/>
        <v>MH CFL (DI )</v>
      </c>
      <c r="J23" s="260"/>
      <c r="K23" s="261"/>
      <c r="L23" s="250">
        <f t="shared" si="2"/>
        <v>23</v>
      </c>
      <c r="M23" s="3504">
        <v>22800</v>
      </c>
      <c r="N23" s="3505">
        <v>22800</v>
      </c>
      <c r="O23" s="252">
        <f t="shared" si="4"/>
        <v>45600</v>
      </c>
      <c r="P23" s="253">
        <f t="shared" si="3"/>
        <v>524400</v>
      </c>
      <c r="Q23" s="253">
        <f t="shared" si="3"/>
        <v>524400</v>
      </c>
      <c r="R23" s="254">
        <f t="shared" si="3"/>
        <v>1048800</v>
      </c>
      <c r="T23" s="333">
        <v>26095</v>
      </c>
    </row>
    <row r="24" spans="2:20" ht="13.8" x14ac:dyDescent="0.3">
      <c r="B24" s="256"/>
      <c r="C24" s="257" t="s">
        <v>169</v>
      </c>
      <c r="D24" s="266">
        <f>0.63*D17</f>
        <v>11340</v>
      </c>
      <c r="E24" s="266">
        <f>0.63*E17</f>
        <v>11623.5</v>
      </c>
      <c r="F24" s="258">
        <f t="shared" si="5"/>
        <v>22963.5</v>
      </c>
      <c r="H24" s="135"/>
      <c r="I24" s="259" t="str">
        <f t="shared" si="1"/>
        <v>MH Showerheads (Leave Behind)</v>
      </c>
      <c r="J24" s="260"/>
      <c r="K24" s="261"/>
      <c r="L24" s="250">
        <f t="shared" si="2"/>
        <v>123</v>
      </c>
      <c r="M24" s="3504">
        <v>3800</v>
      </c>
      <c r="N24" s="3505">
        <v>3800</v>
      </c>
      <c r="O24" s="252">
        <f t="shared" si="4"/>
        <v>7600</v>
      </c>
      <c r="P24" s="253">
        <f t="shared" si="3"/>
        <v>467400</v>
      </c>
      <c r="Q24" s="253">
        <f t="shared" si="3"/>
        <v>467400</v>
      </c>
      <c r="R24" s="254">
        <f t="shared" si="3"/>
        <v>934800</v>
      </c>
      <c r="T24" s="333">
        <v>76786</v>
      </c>
    </row>
    <row r="25" spans="2:20" ht="13.8" x14ac:dyDescent="0.3">
      <c r="B25" s="264"/>
      <c r="C25" s="265"/>
      <c r="D25" s="268"/>
      <c r="E25" s="268"/>
      <c r="F25" s="268"/>
      <c r="H25" s="135"/>
      <c r="I25" s="259" t="str">
        <f t="shared" si="1"/>
        <v>Home Performance with Energy Star</v>
      </c>
      <c r="J25" s="260"/>
      <c r="K25" s="261"/>
      <c r="L25" s="250">
        <f t="shared" si="2"/>
        <v>0</v>
      </c>
      <c r="M25" s="3504">
        <v>30</v>
      </c>
      <c r="N25" s="3505">
        <v>40</v>
      </c>
      <c r="O25" s="252">
        <f t="shared" si="4"/>
        <v>70</v>
      </c>
      <c r="P25" s="253">
        <f t="shared" si="3"/>
        <v>0</v>
      </c>
      <c r="Q25" s="253">
        <f t="shared" si="3"/>
        <v>0</v>
      </c>
      <c r="R25" s="254">
        <f t="shared" si="3"/>
        <v>0</v>
      </c>
      <c r="T25" s="333">
        <v>508830</v>
      </c>
    </row>
    <row r="26" spans="2:20" ht="14.4" thickBot="1" x14ac:dyDescent="0.35">
      <c r="B26" s="264"/>
      <c r="C26" s="265"/>
      <c r="D26" s="268"/>
      <c r="E26" s="268"/>
      <c r="F26" s="268"/>
      <c r="H26" s="135"/>
      <c r="I26" s="259" t="str">
        <f t="shared" si="1"/>
        <v>Attic Insulation R-19 to R-49 - Average</v>
      </c>
      <c r="J26" s="260"/>
      <c r="K26" s="261"/>
      <c r="L26" s="250">
        <f t="shared" si="2"/>
        <v>0.77</v>
      </c>
      <c r="M26" s="3504">
        <v>70000</v>
      </c>
      <c r="N26" s="3506">
        <v>70000</v>
      </c>
      <c r="O26" s="252">
        <f t="shared" si="4"/>
        <v>140000</v>
      </c>
      <c r="P26" s="253">
        <f t="shared" si="3"/>
        <v>53900</v>
      </c>
      <c r="Q26" s="253">
        <f t="shared" si="3"/>
        <v>53900</v>
      </c>
      <c r="R26" s="254">
        <f t="shared" si="3"/>
        <v>107800</v>
      </c>
      <c r="T26" s="333">
        <v>139392</v>
      </c>
    </row>
    <row r="27" spans="2:20" ht="14.4" thickBot="1" x14ac:dyDescent="0.35">
      <c r="B27" s="243">
        <v>48000</v>
      </c>
      <c r="C27" s="244" t="s">
        <v>170</v>
      </c>
      <c r="D27" s="245">
        <f>SUM(D28:D31)</f>
        <v>48000</v>
      </c>
      <c r="E27" s="245">
        <f>SUM(E28:E31)</f>
        <v>48000</v>
      </c>
      <c r="F27" s="246">
        <f>D27+E27</f>
        <v>96000</v>
      </c>
      <c r="H27" s="135"/>
      <c r="I27" s="259" t="str">
        <f t="shared" si="1"/>
        <v>Prescriptive Duct Sealing and Insulation - Electric</v>
      </c>
      <c r="J27" s="260"/>
      <c r="K27" s="261"/>
      <c r="L27" s="250">
        <f t="shared" si="2"/>
        <v>1851</v>
      </c>
      <c r="M27" s="3507">
        <v>500</v>
      </c>
      <c r="N27" s="3507">
        <v>507</v>
      </c>
      <c r="O27" s="252">
        <f t="shared" si="4"/>
        <v>1007</v>
      </c>
      <c r="P27" s="253">
        <f t="shared" si="3"/>
        <v>925500</v>
      </c>
      <c r="Q27" s="253">
        <f t="shared" si="3"/>
        <v>938457</v>
      </c>
      <c r="R27" s="254">
        <f t="shared" si="3"/>
        <v>1863957</v>
      </c>
      <c r="T27" s="333">
        <v>0</v>
      </c>
    </row>
    <row r="28" spans="2:20" ht="13.8" x14ac:dyDescent="0.3">
      <c r="B28" s="256"/>
      <c r="C28" s="257" t="s">
        <v>162</v>
      </c>
      <c r="D28" s="258">
        <v>48000</v>
      </c>
      <c r="E28" s="258">
        <v>48000</v>
      </c>
      <c r="F28" s="258">
        <f t="shared" ref="F28:F36" si="6">SUM(D28:E28)</f>
        <v>96000</v>
      </c>
      <c r="H28" s="135"/>
      <c r="I28" s="259" t="str">
        <f t="shared" si="1"/>
        <v>Measure 17</v>
      </c>
      <c r="J28" s="260"/>
      <c r="K28" s="261"/>
      <c r="L28" s="250">
        <f t="shared" si="2"/>
        <v>0</v>
      </c>
      <c r="M28" s="329">
        <v>0</v>
      </c>
      <c r="N28" s="329">
        <v>0</v>
      </c>
      <c r="O28" s="252">
        <f t="shared" si="4"/>
        <v>0</v>
      </c>
      <c r="P28" s="253">
        <f t="shared" ref="P28:R43" si="7">M28*$D78</f>
        <v>0</v>
      </c>
      <c r="Q28" s="253">
        <f t="shared" si="7"/>
        <v>0</v>
      </c>
      <c r="R28" s="254">
        <f t="shared" si="7"/>
        <v>0</v>
      </c>
      <c r="T28" s="333">
        <v>136074</v>
      </c>
    </row>
    <row r="29" spans="2:20" ht="13.8" x14ac:dyDescent="0.3">
      <c r="B29" s="264"/>
      <c r="C29" s="265" t="s">
        <v>163</v>
      </c>
      <c r="D29" s="266">
        <v>0</v>
      </c>
      <c r="E29" s="266"/>
      <c r="F29" s="258">
        <f t="shared" si="6"/>
        <v>0</v>
      </c>
      <c r="H29" s="135"/>
      <c r="I29" s="259" t="str">
        <f t="shared" si="1"/>
        <v>Measure 18</v>
      </c>
      <c r="J29" s="260"/>
      <c r="K29" s="261"/>
      <c r="L29" s="250">
        <f t="shared" si="2"/>
        <v>0</v>
      </c>
      <c r="M29" s="329">
        <v>0</v>
      </c>
      <c r="N29" s="329">
        <v>0</v>
      </c>
      <c r="O29" s="252">
        <f t="shared" si="4"/>
        <v>0</v>
      </c>
      <c r="P29" s="253">
        <f t="shared" si="7"/>
        <v>0</v>
      </c>
      <c r="Q29" s="253">
        <f t="shared" si="7"/>
        <v>0</v>
      </c>
      <c r="R29" s="254">
        <f t="shared" si="7"/>
        <v>0</v>
      </c>
      <c r="T29" s="333"/>
    </row>
    <row r="30" spans="2:20" ht="13.8" x14ac:dyDescent="0.3">
      <c r="B30" s="264"/>
      <c r="C30" s="265" t="s">
        <v>164</v>
      </c>
      <c r="D30" s="266">
        <v>0</v>
      </c>
      <c r="E30" s="266"/>
      <c r="F30" s="258">
        <f t="shared" si="6"/>
        <v>0</v>
      </c>
      <c r="H30" s="135"/>
      <c r="I30" s="259" t="str">
        <f t="shared" si="1"/>
        <v>Measure 19</v>
      </c>
      <c r="J30" s="260"/>
      <c r="K30" s="261"/>
      <c r="L30" s="250">
        <f t="shared" si="2"/>
        <v>0</v>
      </c>
      <c r="M30" s="329">
        <v>0</v>
      </c>
      <c r="N30" s="329">
        <v>0</v>
      </c>
      <c r="O30" s="252">
        <f t="shared" si="4"/>
        <v>0</v>
      </c>
      <c r="P30" s="253">
        <f t="shared" si="7"/>
        <v>0</v>
      </c>
      <c r="Q30" s="253">
        <f t="shared" si="7"/>
        <v>0</v>
      </c>
      <c r="R30" s="254">
        <f t="shared" si="7"/>
        <v>0</v>
      </c>
      <c r="T30" s="333"/>
    </row>
    <row r="31" spans="2:20" ht="14.4" thickBot="1" x14ac:dyDescent="0.35">
      <c r="B31" s="264"/>
      <c r="C31" s="265" t="s">
        <v>165</v>
      </c>
      <c r="D31" s="266">
        <v>0</v>
      </c>
      <c r="E31" s="266"/>
      <c r="F31" s="258">
        <f t="shared" si="6"/>
        <v>0</v>
      </c>
      <c r="H31" s="135"/>
      <c r="I31" s="259" t="str">
        <f t="shared" si="1"/>
        <v>Measure 20</v>
      </c>
      <c r="J31" s="260"/>
      <c r="K31" s="261"/>
      <c r="L31" s="250">
        <f t="shared" si="2"/>
        <v>0</v>
      </c>
      <c r="M31" s="329">
        <v>0</v>
      </c>
      <c r="N31" s="329">
        <v>0</v>
      </c>
      <c r="O31" s="252">
        <f t="shared" si="4"/>
        <v>0</v>
      </c>
      <c r="P31" s="253">
        <f t="shared" si="7"/>
        <v>0</v>
      </c>
      <c r="Q31" s="253">
        <f t="shared" si="7"/>
        <v>0</v>
      </c>
      <c r="R31" s="254">
        <f t="shared" si="7"/>
        <v>0</v>
      </c>
      <c r="T31" s="333"/>
    </row>
    <row r="32" spans="2:20" ht="14.4" thickBot="1" x14ac:dyDescent="0.35">
      <c r="B32" s="243">
        <v>3540</v>
      </c>
      <c r="C32" s="244" t="s">
        <v>171</v>
      </c>
      <c r="D32" s="245">
        <f>SUM(D33:D36)</f>
        <v>3540</v>
      </c>
      <c r="E32" s="245">
        <f>SUM(E33:E36)</f>
        <v>3540</v>
      </c>
      <c r="F32" s="246">
        <f>D32+E32</f>
        <v>7080</v>
      </c>
      <c r="H32" s="135"/>
      <c r="I32" s="259" t="str">
        <f t="shared" si="1"/>
        <v>Measure 21</v>
      </c>
      <c r="J32" s="260"/>
      <c r="K32" s="261"/>
      <c r="L32" s="250">
        <f t="shared" si="2"/>
        <v>0</v>
      </c>
      <c r="M32" s="329">
        <v>0</v>
      </c>
      <c r="N32" s="329">
        <v>0</v>
      </c>
      <c r="O32" s="252">
        <f t="shared" si="4"/>
        <v>0</v>
      </c>
      <c r="P32" s="253">
        <f t="shared" si="7"/>
        <v>0</v>
      </c>
      <c r="Q32" s="253">
        <f t="shared" si="7"/>
        <v>0</v>
      </c>
      <c r="R32" s="254">
        <f t="shared" si="7"/>
        <v>0</v>
      </c>
      <c r="T32" s="333"/>
    </row>
    <row r="33" spans="2:20" ht="13.8" x14ac:dyDescent="0.3">
      <c r="B33" s="264"/>
      <c r="C33" s="265" t="s">
        <v>162</v>
      </c>
      <c r="D33" s="266">
        <v>3540</v>
      </c>
      <c r="E33" s="266">
        <v>3540</v>
      </c>
      <c r="F33" s="258">
        <f t="shared" si="6"/>
        <v>7080</v>
      </c>
      <c r="H33" s="135"/>
      <c r="I33" s="259" t="str">
        <f t="shared" si="1"/>
        <v>Measure 22</v>
      </c>
      <c r="J33" s="260"/>
      <c r="K33" s="261"/>
      <c r="L33" s="250">
        <f t="shared" si="2"/>
        <v>0</v>
      </c>
      <c r="M33" s="329">
        <v>0</v>
      </c>
      <c r="N33" s="329">
        <v>0</v>
      </c>
      <c r="O33" s="252">
        <f t="shared" si="4"/>
        <v>0</v>
      </c>
      <c r="P33" s="253">
        <f t="shared" si="7"/>
        <v>0</v>
      </c>
      <c r="Q33" s="253">
        <f t="shared" si="7"/>
        <v>0</v>
      </c>
      <c r="R33" s="254">
        <f t="shared" si="7"/>
        <v>0</v>
      </c>
      <c r="T33" s="333"/>
    </row>
    <row r="34" spans="2:20" ht="13.8" x14ac:dyDescent="0.3">
      <c r="B34" s="264"/>
      <c r="C34" s="265" t="s">
        <v>163</v>
      </c>
      <c r="D34" s="266">
        <v>0</v>
      </c>
      <c r="E34" s="266"/>
      <c r="F34" s="258">
        <f t="shared" si="6"/>
        <v>0</v>
      </c>
      <c r="H34" s="135"/>
      <c r="I34" s="259" t="str">
        <f t="shared" si="1"/>
        <v>Measure 23</v>
      </c>
      <c r="J34" s="260"/>
      <c r="K34" s="261"/>
      <c r="L34" s="250">
        <f t="shared" si="2"/>
        <v>0</v>
      </c>
      <c r="M34" s="329">
        <v>0</v>
      </c>
      <c r="N34" s="329">
        <v>0</v>
      </c>
      <c r="O34" s="252">
        <f t="shared" si="4"/>
        <v>0</v>
      </c>
      <c r="P34" s="253">
        <f t="shared" si="7"/>
        <v>0</v>
      </c>
      <c r="Q34" s="253">
        <f t="shared" si="7"/>
        <v>0</v>
      </c>
      <c r="R34" s="254">
        <f t="shared" si="7"/>
        <v>0</v>
      </c>
      <c r="T34" s="333"/>
    </row>
    <row r="35" spans="2:20" ht="13.8" x14ac:dyDescent="0.3">
      <c r="B35" s="264"/>
      <c r="C35" s="265" t="s">
        <v>164</v>
      </c>
      <c r="D35" s="266">
        <v>0</v>
      </c>
      <c r="E35" s="266"/>
      <c r="F35" s="258">
        <f t="shared" si="6"/>
        <v>0</v>
      </c>
      <c r="H35" s="135"/>
      <c r="I35" s="259" t="str">
        <f t="shared" si="1"/>
        <v>Measure 24</v>
      </c>
      <c r="J35" s="260"/>
      <c r="K35" s="261"/>
      <c r="L35" s="250">
        <f t="shared" si="2"/>
        <v>0</v>
      </c>
      <c r="M35" s="329">
        <v>0</v>
      </c>
      <c r="N35" s="329">
        <v>0</v>
      </c>
      <c r="O35" s="252">
        <f t="shared" si="4"/>
        <v>0</v>
      </c>
      <c r="P35" s="253">
        <f t="shared" si="7"/>
        <v>0</v>
      </c>
      <c r="Q35" s="253">
        <f t="shared" si="7"/>
        <v>0</v>
      </c>
      <c r="R35" s="254">
        <f t="shared" si="7"/>
        <v>0</v>
      </c>
      <c r="T35" s="333"/>
    </row>
    <row r="36" spans="2:20" ht="14.4" thickBot="1" x14ac:dyDescent="0.35">
      <c r="B36" s="264"/>
      <c r="C36" s="265" t="s">
        <v>165</v>
      </c>
      <c r="D36" s="266">
        <v>0</v>
      </c>
      <c r="E36" s="266"/>
      <c r="F36" s="258">
        <f t="shared" si="6"/>
        <v>0</v>
      </c>
      <c r="H36" s="135"/>
      <c r="I36" s="259" t="str">
        <f t="shared" si="1"/>
        <v>Measure 25</v>
      </c>
      <c r="J36" s="260"/>
      <c r="K36" s="261"/>
      <c r="L36" s="250">
        <f t="shared" si="2"/>
        <v>0</v>
      </c>
      <c r="M36" s="329">
        <v>0</v>
      </c>
      <c r="N36" s="329">
        <v>0</v>
      </c>
      <c r="O36" s="252">
        <f t="shared" si="4"/>
        <v>0</v>
      </c>
      <c r="P36" s="253">
        <f t="shared" si="7"/>
        <v>0</v>
      </c>
      <c r="Q36" s="253">
        <f t="shared" si="7"/>
        <v>0</v>
      </c>
      <c r="R36" s="254">
        <f>O36*$D86</f>
        <v>0</v>
      </c>
      <c r="T36" s="333"/>
    </row>
    <row r="37" spans="2:20" ht="14.4" thickBot="1" x14ac:dyDescent="0.35">
      <c r="B37" s="243">
        <v>444579</v>
      </c>
      <c r="C37" s="244" t="s">
        <v>172</v>
      </c>
      <c r="D37" s="245">
        <f>SUM(D38:D41)</f>
        <v>1542625</v>
      </c>
      <c r="E37" s="245">
        <f>SUM(E38:E41)</f>
        <v>1542625</v>
      </c>
      <c r="F37" s="246">
        <f>D37+E37</f>
        <v>3085250</v>
      </c>
      <c r="H37" s="135"/>
      <c r="I37" s="259" t="str">
        <f t="shared" si="1"/>
        <v>Measure 26</v>
      </c>
      <c r="J37" s="260"/>
      <c r="K37" s="270"/>
      <c r="L37" s="250">
        <f t="shared" si="2"/>
        <v>0</v>
      </c>
      <c r="M37" s="329">
        <v>0</v>
      </c>
      <c r="N37" s="329">
        <v>0</v>
      </c>
      <c r="O37" s="252">
        <f t="shared" si="4"/>
        <v>0</v>
      </c>
      <c r="P37" s="253">
        <f t="shared" si="7"/>
        <v>0</v>
      </c>
      <c r="Q37" s="253">
        <f t="shared" si="7"/>
        <v>0</v>
      </c>
      <c r="R37" s="254">
        <f t="shared" si="7"/>
        <v>0</v>
      </c>
      <c r="T37" s="333"/>
    </row>
    <row r="38" spans="2:20" ht="13.8" x14ac:dyDescent="0.3">
      <c r="B38" s="264"/>
      <c r="C38" s="265" t="s">
        <v>162</v>
      </c>
      <c r="D38" s="334">
        <v>1425000</v>
      </c>
      <c r="E38" s="334">
        <v>1425000</v>
      </c>
      <c r="F38" s="258">
        <f t="shared" ref="F38:F51" si="8">SUM(D38:E38)</f>
        <v>2850000</v>
      </c>
      <c r="H38" s="135"/>
      <c r="I38" s="259" t="str">
        <f t="shared" si="1"/>
        <v>Measure 27</v>
      </c>
      <c r="J38" s="260"/>
      <c r="K38" s="270"/>
      <c r="L38" s="250">
        <f t="shared" si="2"/>
        <v>0</v>
      </c>
      <c r="M38" s="329">
        <v>0</v>
      </c>
      <c r="N38" s="329">
        <v>0</v>
      </c>
      <c r="O38" s="252">
        <f t="shared" si="4"/>
        <v>0</v>
      </c>
      <c r="P38" s="253">
        <f t="shared" si="7"/>
        <v>0</v>
      </c>
      <c r="Q38" s="253">
        <f t="shared" si="7"/>
        <v>0</v>
      </c>
      <c r="R38" s="254">
        <f t="shared" si="7"/>
        <v>0</v>
      </c>
      <c r="T38" s="333"/>
    </row>
    <row r="39" spans="2:20" ht="13.8" x14ac:dyDescent="0.3">
      <c r="B39" s="264"/>
      <c r="C39" s="265" t="s">
        <v>163</v>
      </c>
      <c r="D39" s="4029">
        <v>117625</v>
      </c>
      <c r="E39" s="4029">
        <v>117625</v>
      </c>
      <c r="F39" s="258">
        <f t="shared" si="8"/>
        <v>235250</v>
      </c>
      <c r="H39" s="135"/>
      <c r="I39" s="259" t="str">
        <f t="shared" si="1"/>
        <v>Measure 28</v>
      </c>
      <c r="J39" s="260"/>
      <c r="K39" s="270"/>
      <c r="L39" s="250">
        <f t="shared" si="2"/>
        <v>0</v>
      </c>
      <c r="M39" s="251">
        <v>0</v>
      </c>
      <c r="N39" s="251">
        <v>0</v>
      </c>
      <c r="O39" s="252">
        <f t="shared" si="4"/>
        <v>0</v>
      </c>
      <c r="P39" s="253">
        <f t="shared" si="7"/>
        <v>0</v>
      </c>
      <c r="Q39" s="253">
        <f t="shared" si="7"/>
        <v>0</v>
      </c>
      <c r="R39" s="254">
        <f t="shared" si="7"/>
        <v>0</v>
      </c>
      <c r="T39" s="333"/>
    </row>
    <row r="40" spans="2:20" ht="13.8" x14ac:dyDescent="0.3">
      <c r="B40" s="264"/>
      <c r="C40" s="265" t="s">
        <v>164</v>
      </c>
      <c r="D40" s="266">
        <v>0</v>
      </c>
      <c r="E40" s="266"/>
      <c r="F40" s="258">
        <f t="shared" si="8"/>
        <v>0</v>
      </c>
      <c r="H40" s="135"/>
      <c r="I40" s="259" t="str">
        <f t="shared" si="1"/>
        <v>Measure 29</v>
      </c>
      <c r="J40" s="260"/>
      <c r="K40" s="270"/>
      <c r="L40" s="250">
        <f t="shared" si="2"/>
        <v>0</v>
      </c>
      <c r="M40" s="251">
        <v>0</v>
      </c>
      <c r="N40" s="251">
        <v>0</v>
      </c>
      <c r="O40" s="252">
        <f t="shared" si="4"/>
        <v>0</v>
      </c>
      <c r="P40" s="253">
        <f t="shared" si="7"/>
        <v>0</v>
      </c>
      <c r="Q40" s="253">
        <f t="shared" si="7"/>
        <v>0</v>
      </c>
      <c r="R40" s="254">
        <f t="shared" si="7"/>
        <v>0</v>
      </c>
      <c r="T40" s="333">
        <v>980400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987200</v>
      </c>
    </row>
    <row r="42" spans="2:20" ht="14.4" thickBot="1" x14ac:dyDescent="0.35">
      <c r="B42" s="243">
        <v>2880</v>
      </c>
      <c r="C42" s="244" t="s">
        <v>173</v>
      </c>
      <c r="D42" s="245">
        <f>SUM(D43:D46)</f>
        <v>3000</v>
      </c>
      <c r="E42" s="245">
        <f>SUM(E43:E46)</f>
        <v>3000</v>
      </c>
      <c r="F42" s="246">
        <f>D42+E42</f>
        <v>6000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216000</v>
      </c>
    </row>
    <row r="43" spans="2:20" ht="13.8" x14ac:dyDescent="0.3">
      <c r="B43" s="264"/>
      <c r="C43" s="265" t="s">
        <v>162</v>
      </c>
      <c r="D43" s="266">
        <v>3000</v>
      </c>
      <c r="E43" s="266">
        <v>3000</v>
      </c>
      <c r="F43" s="258">
        <f t="shared" si="8"/>
        <v>6000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705960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386240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43">
        <v>127800</v>
      </c>
      <c r="C47" s="244" t="s">
        <v>174</v>
      </c>
      <c r="D47" s="245">
        <f>SUM(D48:D51)</f>
        <v>5000</v>
      </c>
      <c r="E47" s="245">
        <f>SUM(E48:E51)</f>
        <v>5000</v>
      </c>
      <c r="F47" s="246">
        <f>D47+E47</f>
        <v>10000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5000</v>
      </c>
      <c r="E48" s="266">
        <v>5000</v>
      </c>
      <c r="F48" s="258">
        <f t="shared" si="8"/>
        <v>10000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43">
        <v>451494</v>
      </c>
      <c r="C52" s="244" t="s">
        <v>175</v>
      </c>
      <c r="D52" s="245">
        <f>S104</f>
        <v>2439231.06</v>
      </c>
      <c r="E52" s="245">
        <f>T104</f>
        <v>2446731.06</v>
      </c>
      <c r="F52" s="246">
        <f>U104</f>
        <v>4885962.12</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1168504</v>
      </c>
      <c r="C54" s="274" t="s">
        <v>178</v>
      </c>
      <c r="D54" s="273">
        <f>D12+D17+D22+D27+D32+D37+D42+D47+D52+D53</f>
        <v>4319891.34</v>
      </c>
      <c r="E54" s="273">
        <f>E12+E17+E22+E27+E32+E37+E42+E47+E52+E53</f>
        <v>4335599.4168999996</v>
      </c>
      <c r="F54" s="273">
        <f>F12+F17+F22+F27+F32+F37+F42+F47+F52+F53</f>
        <v>8655490.7569000013</v>
      </c>
      <c r="P54" s="275">
        <f>SUM(P12:P53)</f>
        <v>10255725.960000001</v>
      </c>
      <c r="Q54" s="275">
        <f>SUM(Q12:Q53)</f>
        <v>10268682.960000001</v>
      </c>
      <c r="R54" s="275">
        <f>SUM(R12:R53)</f>
        <v>20524408.920000002</v>
      </c>
      <c r="T54" s="275">
        <f>SUM(T12:T53)</f>
        <v>5465796</v>
      </c>
    </row>
    <row r="55" spans="2:24" ht="13.8" x14ac:dyDescent="0.3">
      <c r="C55" s="274"/>
      <c r="D55" s="273"/>
      <c r="E55" s="273"/>
      <c r="F55" s="273"/>
    </row>
    <row r="56" spans="2:24" ht="13.8" x14ac:dyDescent="0.3">
      <c r="C56" s="274" t="s">
        <v>179</v>
      </c>
      <c r="D56" s="273">
        <f>D54-D52</f>
        <v>1880660.2799999998</v>
      </c>
      <c r="E56" s="273">
        <f>E54-E52</f>
        <v>1888868.3568999995</v>
      </c>
      <c r="F56" s="273">
        <f>F54-F52</f>
        <v>3769528.6369000012</v>
      </c>
    </row>
    <row r="57" spans="2:24" ht="13.8" x14ac:dyDescent="0.3">
      <c r="C57" s="274" t="s">
        <v>180</v>
      </c>
      <c r="D57" s="276">
        <f>D52</f>
        <v>2439231.06</v>
      </c>
      <c r="E57" s="276">
        <f>E52</f>
        <v>2446731.06</v>
      </c>
      <c r="F57" s="276">
        <f>F52</f>
        <v>4885962.12</v>
      </c>
      <c r="G57" s="335">
        <f>F57/(F56+F57)</f>
        <v>0.56449278928580671</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51"/>
      <c r="C62" s="3498" t="s">
        <v>384</v>
      </c>
      <c r="D62" s="3498">
        <v>2.2400000000000002</v>
      </c>
      <c r="E62" s="3498" t="s">
        <v>206</v>
      </c>
      <c r="F62" s="3498" t="s">
        <v>295</v>
      </c>
      <c r="G62" s="3500">
        <v>1.08</v>
      </c>
      <c r="H62" s="3500">
        <v>0.22</v>
      </c>
      <c r="I62" s="3497">
        <v>5.5660555412477129E-2</v>
      </c>
      <c r="J62" s="3498">
        <v>30</v>
      </c>
      <c r="K62" s="3498" t="s">
        <v>298</v>
      </c>
      <c r="L62" s="3495">
        <v>9.3645038985522699</v>
      </c>
      <c r="M62" s="3495">
        <v>4.2569700695288626</v>
      </c>
      <c r="N62" s="3496">
        <v>285772.35144524206</v>
      </c>
      <c r="O62" s="3496">
        <v>691507.78160250385</v>
      </c>
      <c r="P62" s="3496">
        <v>2676116.2992074187</v>
      </c>
      <c r="Q62" s="3496">
        <v>2943727.9291281602</v>
      </c>
      <c r="R62" s="3494">
        <v>1.081</v>
      </c>
      <c r="S62" s="3493">
        <v>56100</v>
      </c>
      <c r="T62" s="3493">
        <v>56100</v>
      </c>
      <c r="U62" s="3493">
        <v>112200</v>
      </c>
      <c r="V62" s="338">
        <f>U62/(U62+(I62*F$56))</f>
        <v>0.34843199345274678</v>
      </c>
      <c r="W62" s="338">
        <f t="shared" ref="W62:W80" si="10">(I62*((F$17*1.63)+F$27))/(U62+(I62*F$56))</f>
        <v>2.6863428863298972E-2</v>
      </c>
      <c r="X62" s="338">
        <f>(I62*F$37)/(U62+(I62*F$56))</f>
        <v>0.53328953984366323</v>
      </c>
    </row>
    <row r="63" spans="2:24" ht="13.8" x14ac:dyDescent="0.3">
      <c r="B63" s="339"/>
      <c r="C63" s="3499" t="s">
        <v>385</v>
      </c>
      <c r="D63" s="3499">
        <v>1.29</v>
      </c>
      <c r="E63" s="3499" t="s">
        <v>206</v>
      </c>
      <c r="F63" s="3499" t="s">
        <v>295</v>
      </c>
      <c r="G63" s="3500">
        <v>1.37</v>
      </c>
      <c r="H63" s="3500">
        <v>0.22</v>
      </c>
      <c r="I63" s="3497">
        <v>4.2362243092552841E-2</v>
      </c>
      <c r="J63" s="3498">
        <v>30</v>
      </c>
      <c r="K63" s="3498" t="s">
        <v>298</v>
      </c>
      <c r="L63" s="3495">
        <v>7.3883229068962004</v>
      </c>
      <c r="M63" s="3495">
        <v>2.2569118230472403</v>
      </c>
      <c r="N63" s="3496">
        <v>275670.6482638059</v>
      </c>
      <c r="O63" s="3496">
        <v>992691.92485955067</v>
      </c>
      <c r="P63" s="3496">
        <v>2036743.7653264024</v>
      </c>
      <c r="Q63" s="3496">
        <v>2240418.1418590425</v>
      </c>
      <c r="R63" s="3494">
        <v>1.081</v>
      </c>
      <c r="S63" s="3493">
        <v>74140</v>
      </c>
      <c r="T63" s="3493">
        <v>74140</v>
      </c>
      <c r="U63" s="3493">
        <v>148280</v>
      </c>
      <c r="V63" s="338">
        <f t="shared" ref="V63:V80" si="11">U63/(U63+(I63*F$56))</f>
        <v>0.48148220907707906</v>
      </c>
      <c r="W63" s="338">
        <f t="shared" si="10"/>
        <v>2.1377915506664222E-2</v>
      </c>
      <c r="X63" s="338">
        <f t="shared" ref="X63:X80" si="12">(I63*F$37)/(U63+(I63*F$56))</f>
        <v>0.42439179232779511</v>
      </c>
    </row>
    <row r="64" spans="2:24" ht="13.8" x14ac:dyDescent="0.3">
      <c r="B64" s="339"/>
      <c r="C64" s="3499" t="s">
        <v>386</v>
      </c>
      <c r="D64" s="3499">
        <v>1.52</v>
      </c>
      <c r="E64" s="3499" t="s">
        <v>206</v>
      </c>
      <c r="F64" s="3499" t="s">
        <v>295</v>
      </c>
      <c r="G64" s="3500">
        <v>0.97</v>
      </c>
      <c r="H64" s="3500">
        <v>0.22</v>
      </c>
      <c r="I64" s="3497">
        <v>7.1540184456625015E-3</v>
      </c>
      <c r="J64" s="3498">
        <v>30</v>
      </c>
      <c r="K64" s="3498" t="s">
        <v>298</v>
      </c>
      <c r="L64" s="3495">
        <v>7.9899009840925457</v>
      </c>
      <c r="M64" s="3495">
        <v>3.4373910523573685</v>
      </c>
      <c r="N64" s="3496">
        <v>43049.301166043973</v>
      </c>
      <c r="O64" s="3496">
        <v>110070.57776178865</v>
      </c>
      <c r="P64" s="3496">
        <v>343959.65375107114</v>
      </c>
      <c r="Q64" s="3496">
        <v>378355.61912617827</v>
      </c>
      <c r="R64" s="3494">
        <v>1.081</v>
      </c>
      <c r="S64" s="3493">
        <v>10626</v>
      </c>
      <c r="T64" s="3493">
        <v>10626</v>
      </c>
      <c r="U64" s="3493">
        <v>21252</v>
      </c>
      <c r="V64" s="338">
        <f t="shared" si="11"/>
        <v>0.44073659220933165</v>
      </c>
      <c r="W64" s="338">
        <f t="shared" si="10"/>
        <v>2.3057812262212773E-2</v>
      </c>
      <c r="X64" s="338">
        <f t="shared" si="12"/>
        <v>0.45774089948422725</v>
      </c>
    </row>
    <row r="65" spans="2:24" ht="13.8" x14ac:dyDescent="0.3">
      <c r="B65" s="339">
        <v>535</v>
      </c>
      <c r="C65" s="3499" t="s">
        <v>387</v>
      </c>
      <c r="D65" s="3499">
        <v>790</v>
      </c>
      <c r="E65" s="3499" t="s">
        <v>206</v>
      </c>
      <c r="F65" s="3499" t="s">
        <v>258</v>
      </c>
      <c r="G65" s="3500">
        <v>734.7</v>
      </c>
      <c r="H65" s="3500">
        <v>200</v>
      </c>
      <c r="I65" s="3497">
        <v>0</v>
      </c>
      <c r="J65" s="3498">
        <v>30</v>
      </c>
      <c r="K65" s="3498" t="s">
        <v>298</v>
      </c>
      <c r="L65" s="3495" t="e">
        <v>#DIV/0!</v>
      </c>
      <c r="M65" s="3495" t="e">
        <v>#DIV/0!</v>
      </c>
      <c r="N65" s="3496">
        <v>0</v>
      </c>
      <c r="O65" s="3496">
        <v>0</v>
      </c>
      <c r="P65" s="3496">
        <v>0</v>
      </c>
      <c r="Q65" s="3496">
        <v>0</v>
      </c>
      <c r="R65" s="3494">
        <v>1.081</v>
      </c>
      <c r="S65" s="3493">
        <v>0</v>
      </c>
      <c r="T65" s="3493">
        <v>0</v>
      </c>
      <c r="U65" s="3493">
        <v>0</v>
      </c>
      <c r="V65" s="338" t="e">
        <f t="shared" si="11"/>
        <v>#DIV/0!</v>
      </c>
      <c r="W65" s="338" t="e">
        <f t="shared" si="10"/>
        <v>#DIV/0!</v>
      </c>
      <c r="X65" s="338" t="e">
        <f t="shared" si="12"/>
        <v>#DIV/0!</v>
      </c>
    </row>
    <row r="66" spans="2:24" ht="13.8" x14ac:dyDescent="0.3">
      <c r="B66" s="339"/>
      <c r="C66" s="3499" t="s">
        <v>388</v>
      </c>
      <c r="D66" s="3499">
        <v>1244</v>
      </c>
      <c r="E66" s="3499" t="s">
        <v>206</v>
      </c>
      <c r="F66" s="3499" t="s">
        <v>258</v>
      </c>
      <c r="G66" s="3500">
        <v>538</v>
      </c>
      <c r="H66" s="3500">
        <v>300</v>
      </c>
      <c r="I66" s="3497">
        <v>0</v>
      </c>
      <c r="J66" s="3498">
        <v>30</v>
      </c>
      <c r="K66" s="3498" t="s">
        <v>298</v>
      </c>
      <c r="L66" s="3495" t="e">
        <v>#DIV/0!</v>
      </c>
      <c r="M66" s="3495" t="e">
        <v>#DIV/0!</v>
      </c>
      <c r="N66" s="3496">
        <v>0</v>
      </c>
      <c r="O66" s="3496">
        <v>0</v>
      </c>
      <c r="P66" s="3496">
        <v>0</v>
      </c>
      <c r="Q66" s="3496">
        <v>0</v>
      </c>
      <c r="R66" s="3494">
        <v>1.081</v>
      </c>
      <c r="S66" s="3493">
        <v>0</v>
      </c>
      <c r="T66" s="3493">
        <v>0</v>
      </c>
      <c r="U66" s="3493">
        <v>0</v>
      </c>
      <c r="V66" s="338" t="e">
        <f t="shared" si="11"/>
        <v>#DIV/0!</v>
      </c>
      <c r="W66" s="338" t="e">
        <f t="shared" si="10"/>
        <v>#DIV/0!</v>
      </c>
      <c r="X66" s="338" t="e">
        <f t="shared" si="12"/>
        <v>#DIV/0!</v>
      </c>
    </row>
    <row r="67" spans="2:24" ht="13.8" x14ac:dyDescent="0.3">
      <c r="B67" s="339"/>
      <c r="C67" s="3499" t="s">
        <v>389</v>
      </c>
      <c r="D67" s="3501">
        <v>0.46</v>
      </c>
      <c r="E67" s="3499" t="s">
        <v>206</v>
      </c>
      <c r="F67" s="3499" t="s">
        <v>295</v>
      </c>
      <c r="G67" s="3500">
        <v>0.18</v>
      </c>
      <c r="H67" s="3500">
        <v>0.11</v>
      </c>
      <c r="I67" s="3497">
        <v>1.192542601124515E-2</v>
      </c>
      <c r="J67" s="3498">
        <v>30</v>
      </c>
      <c r="K67" s="3498" t="s">
        <v>298</v>
      </c>
      <c r="L67" s="3495">
        <v>6.1563443322253635</v>
      </c>
      <c r="M67" s="3495">
        <v>4.9432072540709493</v>
      </c>
      <c r="N67" s="3496">
        <v>93134.041061494296</v>
      </c>
      <c r="O67" s="3496">
        <v>127589.5822270817</v>
      </c>
      <c r="P67" s="3496">
        <v>573365.22582617472</v>
      </c>
      <c r="Q67" s="3496">
        <v>630701.74840879207</v>
      </c>
      <c r="R67" s="3494">
        <v>1.081</v>
      </c>
      <c r="S67" s="3493">
        <v>29265.06</v>
      </c>
      <c r="T67" s="3493">
        <v>29265.06</v>
      </c>
      <c r="U67" s="3493">
        <v>58530.12</v>
      </c>
      <c r="V67" s="338">
        <f t="shared" si="11"/>
        <v>0.56559936698124269</v>
      </c>
      <c r="W67" s="338">
        <f t="shared" si="10"/>
        <v>1.7909858043997029E-2</v>
      </c>
      <c r="X67" s="338">
        <f t="shared" si="12"/>
        <v>0.35554433514618639</v>
      </c>
    </row>
    <row r="68" spans="2:24" ht="13.8" x14ac:dyDescent="0.3">
      <c r="B68" s="339"/>
      <c r="C68" s="3499" t="s">
        <v>390</v>
      </c>
      <c r="D68" s="3501">
        <v>20.84</v>
      </c>
      <c r="E68" s="3499" t="s">
        <v>206</v>
      </c>
      <c r="F68" s="3499" t="s">
        <v>295</v>
      </c>
      <c r="G68" s="3500">
        <v>20.61</v>
      </c>
      <c r="H68" s="3500">
        <v>2.08</v>
      </c>
      <c r="I68" s="3497">
        <v>0.34214122449865902</v>
      </c>
      <c r="J68" s="3498">
        <v>30</v>
      </c>
      <c r="K68" s="3498" t="s">
        <v>298</v>
      </c>
      <c r="L68" s="3495">
        <v>9.3096342581293552</v>
      </c>
      <c r="M68" s="3495">
        <v>2.398900462296945</v>
      </c>
      <c r="N68" s="3496">
        <v>1766974.3020799425</v>
      </c>
      <c r="O68" s="3496">
        <v>7542986.1429680092</v>
      </c>
      <c r="P68" s="3496">
        <v>16449884.495877642</v>
      </c>
      <c r="Q68" s="3496">
        <v>18094872.945465408</v>
      </c>
      <c r="R68" s="3494">
        <v>1.081</v>
      </c>
      <c r="S68" s="3493">
        <v>350438.40000000002</v>
      </c>
      <c r="T68" s="3493">
        <v>350438.40000000002</v>
      </c>
      <c r="U68" s="3493">
        <v>700876.80000000005</v>
      </c>
      <c r="V68" s="338">
        <f t="shared" si="11"/>
        <v>0.35209537074173547</v>
      </c>
      <c r="W68" s="338">
        <f t="shared" si="10"/>
        <v>2.6712391866065693E-2</v>
      </c>
      <c r="X68" s="338">
        <f t="shared" si="12"/>
        <v>0.53029117164711681</v>
      </c>
    </row>
    <row r="69" spans="2:24" ht="13.8" x14ac:dyDescent="0.3">
      <c r="B69" s="339"/>
      <c r="C69" s="3499" t="s">
        <v>391</v>
      </c>
      <c r="D69" s="3499">
        <v>11.53</v>
      </c>
      <c r="E69" s="3499" t="s">
        <v>206</v>
      </c>
      <c r="F69" s="3499" t="s">
        <v>295</v>
      </c>
      <c r="G69" s="3500">
        <v>20.61</v>
      </c>
      <c r="H69" s="3500">
        <v>2.08</v>
      </c>
      <c r="I69" s="3497">
        <v>6.3502496226819471E-2</v>
      </c>
      <c r="J69" s="3498">
        <v>30</v>
      </c>
      <c r="K69" s="3498" t="s">
        <v>298</v>
      </c>
      <c r="L69" s="3495">
        <v>7.1817937987110092</v>
      </c>
      <c r="M69" s="3495">
        <v>1.4213905968281126</v>
      </c>
      <c r="N69" s="3496">
        <v>425123.69639618037</v>
      </c>
      <c r="O69" s="3496">
        <v>2362802.8823351255</v>
      </c>
      <c r="P69" s="3496">
        <v>3053150.7264631898</v>
      </c>
      <c r="Q69" s="3496">
        <v>3358465.7991095087</v>
      </c>
      <c r="R69" s="3494">
        <v>1.081</v>
      </c>
      <c r="S69" s="3493">
        <v>117561.60000000001</v>
      </c>
      <c r="T69" s="3493">
        <v>117561.60000000001</v>
      </c>
      <c r="U69" s="3493">
        <v>235123.20000000001</v>
      </c>
      <c r="V69" s="338">
        <f t="shared" si="11"/>
        <v>0.49552023303973125</v>
      </c>
      <c r="W69" s="338">
        <f t="shared" si="10"/>
        <v>2.0799143292079363E-2</v>
      </c>
      <c r="X69" s="338">
        <f t="shared" si="12"/>
        <v>0.4129020763439975</v>
      </c>
    </row>
    <row r="70" spans="2:24" ht="13.8" x14ac:dyDescent="0.3">
      <c r="B70" s="339"/>
      <c r="C70" s="3499" t="s">
        <v>392</v>
      </c>
      <c r="D70" s="3502">
        <v>600</v>
      </c>
      <c r="E70" s="3499" t="s">
        <v>206</v>
      </c>
      <c r="F70" s="3499" t="s">
        <v>258</v>
      </c>
      <c r="G70" s="3500">
        <v>375</v>
      </c>
      <c r="H70" s="3500">
        <v>375</v>
      </c>
      <c r="I70" s="3497">
        <v>7.016036396530731E-2</v>
      </c>
      <c r="J70" s="3498">
        <v>30</v>
      </c>
      <c r="K70" s="3498" t="s">
        <v>298</v>
      </c>
      <c r="L70" s="3495">
        <v>3.176477950689383</v>
      </c>
      <c r="M70" s="3495">
        <v>3.4941257457583212</v>
      </c>
      <c r="N70" s="3496">
        <v>1061948.45098956</v>
      </c>
      <c r="O70" s="3496">
        <v>1061948.45098956</v>
      </c>
      <c r="P70" s="3496">
        <v>3373255.8393370821</v>
      </c>
      <c r="Q70" s="3496">
        <v>3710581.4232707904</v>
      </c>
      <c r="R70" s="3494">
        <v>1.081</v>
      </c>
      <c r="S70" s="3493">
        <v>450000</v>
      </c>
      <c r="T70" s="3493">
        <v>450000</v>
      </c>
      <c r="U70" s="3493">
        <v>900000</v>
      </c>
      <c r="V70" s="338">
        <f t="shared" si="11"/>
        <v>0.7728828048749502</v>
      </c>
      <c r="W70" s="338">
        <f t="shared" si="10"/>
        <v>9.3637909681977289E-3</v>
      </c>
      <c r="X70" s="338">
        <f t="shared" si="12"/>
        <v>0.18588884546472503</v>
      </c>
    </row>
    <row r="71" spans="2:24" ht="13.8" x14ac:dyDescent="0.3">
      <c r="B71" s="339"/>
      <c r="C71" s="3499" t="s">
        <v>393</v>
      </c>
      <c r="D71" s="3499">
        <v>800</v>
      </c>
      <c r="E71" s="3499" t="s">
        <v>206</v>
      </c>
      <c r="F71" s="3499" t="s">
        <v>258</v>
      </c>
      <c r="G71" s="3500">
        <v>375</v>
      </c>
      <c r="H71" s="3500">
        <v>375</v>
      </c>
      <c r="I71" s="3497">
        <v>0.15591191992290512</v>
      </c>
      <c r="J71" s="3498">
        <v>30</v>
      </c>
      <c r="K71" s="3498" t="s">
        <v>298</v>
      </c>
      <c r="L71" s="3495">
        <v>3.9508372722178597</v>
      </c>
      <c r="M71" s="3495">
        <v>4.3459209994396462</v>
      </c>
      <c r="N71" s="3496">
        <v>1897350.7565417089</v>
      </c>
      <c r="O71" s="3496">
        <v>1897350.7565417089</v>
      </c>
      <c r="P71" s="3496">
        <v>7496124.087415738</v>
      </c>
      <c r="Q71" s="3496">
        <v>8245736.4961573118</v>
      </c>
      <c r="R71" s="3494">
        <v>1.081</v>
      </c>
      <c r="S71" s="3493">
        <v>750000</v>
      </c>
      <c r="T71" s="3493">
        <v>750000</v>
      </c>
      <c r="U71" s="3493">
        <v>1500000</v>
      </c>
      <c r="V71" s="338">
        <f t="shared" si="11"/>
        <v>0.7184890645209443</v>
      </c>
      <c r="W71" s="338">
        <f t="shared" si="10"/>
        <v>1.1606384772567747E-2</v>
      </c>
      <c r="X71" s="338">
        <f t="shared" si="12"/>
        <v>0.23040854635900127</v>
      </c>
    </row>
    <row r="72" spans="2:24" ht="13.8" x14ac:dyDescent="0.3">
      <c r="B72" s="339"/>
      <c r="C72" s="3499" t="s">
        <v>394</v>
      </c>
      <c r="D72" s="3499">
        <v>1000</v>
      </c>
      <c r="E72" s="3499" t="s">
        <v>206</v>
      </c>
      <c r="F72" s="3499" t="s">
        <v>258</v>
      </c>
      <c r="G72" s="3500">
        <v>375</v>
      </c>
      <c r="H72" s="3500">
        <v>375</v>
      </c>
      <c r="I72" s="3497">
        <v>5.8466969971089425E-2</v>
      </c>
      <c r="J72" s="3498">
        <v>30</v>
      </c>
      <c r="K72" s="3498" t="s">
        <v>298</v>
      </c>
      <c r="L72" s="3495">
        <v>4.62772288054878</v>
      </c>
      <c r="M72" s="3495">
        <v>5.0904951686036579</v>
      </c>
      <c r="N72" s="3496">
        <v>607436.22843024542</v>
      </c>
      <c r="O72" s="3496">
        <v>607436.22843024542</v>
      </c>
      <c r="P72" s="3496">
        <v>2811046.532780902</v>
      </c>
      <c r="Q72" s="3496">
        <v>3092151.1860589921</v>
      </c>
      <c r="R72" s="3494">
        <v>1.081</v>
      </c>
      <c r="S72" s="3493">
        <v>225000</v>
      </c>
      <c r="T72" s="3493">
        <v>225000</v>
      </c>
      <c r="U72" s="3493">
        <v>450000</v>
      </c>
      <c r="V72" s="338">
        <f t="shared" si="11"/>
        <v>0.67124814146065281</v>
      </c>
      <c r="W72" s="338">
        <f t="shared" si="10"/>
        <v>1.3554075824483577E-2</v>
      </c>
      <c r="X72" s="338">
        <f t="shared" si="12"/>
        <v>0.26907387348903383</v>
      </c>
    </row>
    <row r="73" spans="2:24" ht="13.8" x14ac:dyDescent="0.3">
      <c r="B73" s="339" t="s">
        <v>7</v>
      </c>
      <c r="C73" s="3499" t="s">
        <v>395</v>
      </c>
      <c r="D73" s="3499">
        <v>23</v>
      </c>
      <c r="E73" s="3499" t="s">
        <v>206</v>
      </c>
      <c r="F73" s="3499" t="s">
        <v>211</v>
      </c>
      <c r="G73" s="3500">
        <v>3</v>
      </c>
      <c r="H73" s="3500">
        <v>3</v>
      </c>
      <c r="I73" s="3497">
        <v>5.1100131754732159E-2</v>
      </c>
      <c r="J73" s="3498">
        <v>5</v>
      </c>
      <c r="K73" s="3499" t="s">
        <v>208</v>
      </c>
      <c r="L73" s="3495">
        <v>1.4474602894701174</v>
      </c>
      <c r="M73" s="3495">
        <v>1.5922063184171291</v>
      </c>
      <c r="N73" s="3496">
        <v>293618.96762583277</v>
      </c>
      <c r="O73" s="3496">
        <v>293618.96762583277</v>
      </c>
      <c r="P73" s="3496">
        <v>425001.79587360495</v>
      </c>
      <c r="Q73" s="3496">
        <v>467501.97546096542</v>
      </c>
      <c r="R73" s="3494">
        <v>1.081</v>
      </c>
      <c r="S73" s="3493">
        <v>68400</v>
      </c>
      <c r="T73" s="3493">
        <v>68400</v>
      </c>
      <c r="U73" s="3493">
        <v>136800</v>
      </c>
      <c r="V73" s="338">
        <f t="shared" si="11"/>
        <v>0.41527103371459706</v>
      </c>
      <c r="W73" s="338">
        <f t="shared" si="10"/>
        <v>2.410772909700731E-2</v>
      </c>
      <c r="X73" s="338">
        <f t="shared" si="12"/>
        <v>0.4785837214691247</v>
      </c>
    </row>
    <row r="74" spans="2:24" ht="13.8" x14ac:dyDescent="0.3">
      <c r="B74" s="339"/>
      <c r="C74" s="3499" t="s">
        <v>396</v>
      </c>
      <c r="D74" s="3499">
        <v>123</v>
      </c>
      <c r="E74" s="3499" t="s">
        <v>206</v>
      </c>
      <c r="F74" s="3499" t="s">
        <v>211</v>
      </c>
      <c r="G74" s="3503">
        <v>10</v>
      </c>
      <c r="H74" s="3503">
        <v>10</v>
      </c>
      <c r="I74" s="3497">
        <v>4.5545769607478657E-2</v>
      </c>
      <c r="J74" s="3498">
        <v>10</v>
      </c>
      <c r="K74" s="3499" t="s">
        <v>259</v>
      </c>
      <c r="L74" s="3495">
        <v>2.9946280532004277</v>
      </c>
      <c r="M74" s="3495">
        <v>3.2940908585204705</v>
      </c>
      <c r="N74" s="3496">
        <v>219215.02361228602</v>
      </c>
      <c r="O74" s="3496">
        <v>219215.02361228602</v>
      </c>
      <c r="P74" s="3496">
        <v>656467.45939234586</v>
      </c>
      <c r="Q74" s="3496">
        <v>722114.20533158048</v>
      </c>
      <c r="R74" s="3494">
        <v>1.081</v>
      </c>
      <c r="S74" s="3493">
        <v>38000</v>
      </c>
      <c r="T74" s="3493">
        <v>38000</v>
      </c>
      <c r="U74" s="3493">
        <v>76000</v>
      </c>
      <c r="V74" s="338">
        <f t="shared" si="11"/>
        <v>0.30684000947152351</v>
      </c>
      <c r="W74" s="338">
        <f t="shared" si="10"/>
        <v>2.8578220399617344E-2</v>
      </c>
      <c r="X74" s="338">
        <f t="shared" si="12"/>
        <v>0.56733137396635047</v>
      </c>
    </row>
    <row r="75" spans="2:24" ht="13.8" x14ac:dyDescent="0.3">
      <c r="B75" s="339"/>
      <c r="C75" s="3499" t="s">
        <v>397</v>
      </c>
      <c r="D75" s="3499">
        <v>0</v>
      </c>
      <c r="E75" s="3499" t="s">
        <v>206</v>
      </c>
      <c r="F75" s="3499" t="s">
        <v>258</v>
      </c>
      <c r="G75" s="3503">
        <v>600</v>
      </c>
      <c r="H75" s="3503">
        <v>400</v>
      </c>
      <c r="I75" s="3497">
        <v>0</v>
      </c>
      <c r="J75" s="3498"/>
      <c r="K75" s="3498"/>
      <c r="L75" s="3495">
        <v>0</v>
      </c>
      <c r="M75" s="3495">
        <v>0</v>
      </c>
      <c r="N75" s="3496">
        <v>25901.942645698429</v>
      </c>
      <c r="O75" s="3496">
        <v>38852.91396854764</v>
      </c>
      <c r="P75" s="3496">
        <v>0</v>
      </c>
      <c r="Q75" s="3496">
        <v>0</v>
      </c>
      <c r="R75" s="3494">
        <v>1.081</v>
      </c>
      <c r="S75" s="3493">
        <v>12000</v>
      </c>
      <c r="T75" s="3493">
        <v>16000</v>
      </c>
      <c r="U75" s="3493">
        <v>28000</v>
      </c>
      <c r="V75" s="338">
        <f t="shared" si="11"/>
        <v>1</v>
      </c>
      <c r="W75" s="338">
        <f t="shared" si="10"/>
        <v>0</v>
      </c>
      <c r="X75" s="338">
        <f t="shared" si="12"/>
        <v>0</v>
      </c>
    </row>
    <row r="76" spans="2:24" ht="13.8" x14ac:dyDescent="0.3">
      <c r="B76" s="339"/>
      <c r="C76" s="3492" t="s">
        <v>1096</v>
      </c>
      <c r="D76" s="3499">
        <v>0.77</v>
      </c>
      <c r="E76" s="3499" t="s">
        <v>206</v>
      </c>
      <c r="F76" s="3499" t="s">
        <v>295</v>
      </c>
      <c r="G76" s="3500">
        <v>0.66</v>
      </c>
      <c r="H76" s="3500">
        <v>0.11</v>
      </c>
      <c r="I76" s="3497">
        <v>5.2522828024028669E-3</v>
      </c>
      <c r="J76" s="3498">
        <v>30</v>
      </c>
      <c r="K76" s="3498" t="s">
        <v>298</v>
      </c>
      <c r="L76" s="3495">
        <v>8.0375706475168869</v>
      </c>
      <c r="M76" s="3495">
        <v>2.7061110702791202</v>
      </c>
      <c r="N76" s="3496">
        <v>31418.159947724074</v>
      </c>
      <c r="O76" s="3496">
        <v>102648.50222339475</v>
      </c>
      <c r="P76" s="3496">
        <v>252525.68019481769</v>
      </c>
      <c r="Q76" s="3496">
        <v>277778.24821429944</v>
      </c>
      <c r="R76" s="3494">
        <v>1.081</v>
      </c>
      <c r="S76" s="3493">
        <v>7700</v>
      </c>
      <c r="T76" s="3493">
        <v>7700</v>
      </c>
      <c r="U76" s="3493">
        <v>15400</v>
      </c>
      <c r="V76" s="338">
        <f t="shared" si="11"/>
        <v>0.43751702298249445</v>
      </c>
      <c r="W76" s="338">
        <f t="shared" si="10"/>
        <v>2.3190551543495041E-2</v>
      </c>
      <c r="X76" s="338">
        <f t="shared" si="12"/>
        <v>0.46037602363738067</v>
      </c>
    </row>
    <row r="77" spans="2:24" ht="13.8" x14ac:dyDescent="0.3">
      <c r="B77" s="339"/>
      <c r="C77" s="3492" t="s">
        <v>1097</v>
      </c>
      <c r="D77" s="3499">
        <v>1851</v>
      </c>
      <c r="E77" s="3499" t="s">
        <v>206</v>
      </c>
      <c r="F77" s="3499" t="s">
        <v>295</v>
      </c>
      <c r="G77" s="3500">
        <v>1000</v>
      </c>
      <c r="H77" s="3500">
        <v>500</v>
      </c>
      <c r="I77" s="3497">
        <v>9.0816598288668268E-2</v>
      </c>
      <c r="J77" s="3498">
        <v>30</v>
      </c>
      <c r="K77" s="3498" t="s">
        <v>298</v>
      </c>
      <c r="L77" s="3495">
        <v>5.7249658667029051</v>
      </c>
      <c r="M77" s="3495">
        <v>3.9097808281075159</v>
      </c>
      <c r="N77" s="3496">
        <v>762693.02794409753</v>
      </c>
      <c r="O77" s="3496">
        <v>1228465.4608765675</v>
      </c>
      <c r="P77" s="3496">
        <v>4366391.5517522432</v>
      </c>
      <c r="Q77" s="3496">
        <v>4803030.7069274671</v>
      </c>
      <c r="R77" s="3494">
        <v>1.081</v>
      </c>
      <c r="S77" s="3493">
        <v>250000</v>
      </c>
      <c r="T77" s="3493">
        <v>253500</v>
      </c>
      <c r="U77" s="3493">
        <v>503500</v>
      </c>
      <c r="V77" s="338">
        <f t="shared" si="11"/>
        <v>0.59526922255527015</v>
      </c>
      <c r="W77" s="338">
        <f t="shared" si="10"/>
        <v>1.6686602686784464E-2</v>
      </c>
      <c r="X77" s="338">
        <f t="shared" si="12"/>
        <v>0.33126041778482412</v>
      </c>
    </row>
    <row r="78" spans="2:24" ht="13.8" x14ac:dyDescent="0.3">
      <c r="B78" s="339"/>
      <c r="C78" s="296" t="s">
        <v>226</v>
      </c>
      <c r="D78" s="339">
        <v>0</v>
      </c>
      <c r="E78" s="339" t="s">
        <v>206</v>
      </c>
      <c r="F78" s="339" t="s">
        <v>295</v>
      </c>
      <c r="G78" s="336">
        <v>0</v>
      </c>
      <c r="H78" s="336">
        <v>0</v>
      </c>
      <c r="I78" s="337">
        <f t="shared" ref="I78:I97" si="13">R28/R$7</f>
        <v>0</v>
      </c>
      <c r="J78" s="251"/>
      <c r="K78" s="251"/>
      <c r="L78" s="291" t="e">
        <f t="shared" ref="L78:M103" si="14">P78/N78</f>
        <v>#DIV/0!</v>
      </c>
      <c r="M78" s="291" t="e">
        <f t="shared" si="14"/>
        <v>#DIV/0!</v>
      </c>
      <c r="N78" s="218">
        <f t="shared" ref="N78:N103" si="15">(($I78*$F$56)+$U78)/$R78</f>
        <v>0</v>
      </c>
      <c r="O78" s="218">
        <f t="shared" ref="O78:O103" si="16">(($I78*$F$56)+($G78*$O28))/$R78</f>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1"/>
        <v>#DIV/0!</v>
      </c>
      <c r="W78" s="338" t="e">
        <f t="shared" si="10"/>
        <v>#DIV/0!</v>
      </c>
      <c r="X78" s="338" t="e">
        <f t="shared" si="12"/>
        <v>#DIV/0!</v>
      </c>
    </row>
    <row r="79" spans="2:24" ht="13.8" x14ac:dyDescent="0.3">
      <c r="B79" s="339"/>
      <c r="C79" s="296" t="s">
        <v>227</v>
      </c>
      <c r="D79" s="340">
        <v>0</v>
      </c>
      <c r="E79" s="339" t="s">
        <v>206</v>
      </c>
      <c r="F79" s="339" t="s">
        <v>295</v>
      </c>
      <c r="G79" s="336">
        <v>0</v>
      </c>
      <c r="H79" s="336">
        <v>0</v>
      </c>
      <c r="I79" s="337">
        <f t="shared" si="13"/>
        <v>0</v>
      </c>
      <c r="J79" s="251"/>
      <c r="K79" s="251"/>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1"/>
        <v>#DIV/0!</v>
      </c>
      <c r="W79" s="338" t="e">
        <f t="shared" si="10"/>
        <v>#DIV/0!</v>
      </c>
      <c r="X79" s="338" t="e">
        <f t="shared" si="12"/>
        <v>#DIV/0!</v>
      </c>
    </row>
    <row r="80" spans="2:24" ht="13.8" x14ac:dyDescent="0.3">
      <c r="B80" s="339"/>
      <c r="C80" s="296" t="s">
        <v>228</v>
      </c>
      <c r="D80" s="340">
        <v>0</v>
      </c>
      <c r="E80" s="339" t="s">
        <v>206</v>
      </c>
      <c r="F80" s="339" t="s">
        <v>295</v>
      </c>
      <c r="G80" s="336">
        <v>0</v>
      </c>
      <c r="H80" s="336">
        <v>0</v>
      </c>
      <c r="I80" s="337">
        <f t="shared" si="13"/>
        <v>0</v>
      </c>
      <c r="J80" s="251"/>
      <c r="K80" s="251"/>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1"/>
        <v>#DIV/0!</v>
      </c>
      <c r="W80" s="338" t="e">
        <f t="shared" si="10"/>
        <v>#DIV/0!</v>
      </c>
      <c r="X80" s="338" t="e">
        <f t="shared" si="12"/>
        <v>#DIV/0!</v>
      </c>
    </row>
    <row r="81" spans="2:21" ht="13.8" x14ac:dyDescent="0.3">
      <c r="B81" s="339"/>
      <c r="C81" s="296" t="s">
        <v>229</v>
      </c>
      <c r="D81" s="340">
        <v>0</v>
      </c>
      <c r="E81" s="339" t="s">
        <v>206</v>
      </c>
      <c r="F81" s="339" t="s">
        <v>295</v>
      </c>
      <c r="G81" s="336">
        <v>0</v>
      </c>
      <c r="H81" s="336">
        <v>0</v>
      </c>
      <c r="I81" s="337">
        <f t="shared" si="13"/>
        <v>0</v>
      </c>
      <c r="J81" s="251"/>
      <c r="K81" s="251"/>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339"/>
      <c r="C82" s="296" t="s">
        <v>230</v>
      </c>
      <c r="D82" s="340">
        <v>0</v>
      </c>
      <c r="E82" s="339" t="s">
        <v>206</v>
      </c>
      <c r="F82" s="339" t="s">
        <v>295</v>
      </c>
      <c r="G82" s="336">
        <v>0</v>
      </c>
      <c r="H82" s="336">
        <v>0</v>
      </c>
      <c r="I82" s="337">
        <f t="shared" si="13"/>
        <v>0</v>
      </c>
      <c r="J82" s="251"/>
      <c r="K82" s="251"/>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339"/>
      <c r="C83" s="296" t="s">
        <v>231</v>
      </c>
      <c r="D83" s="340">
        <v>0</v>
      </c>
      <c r="E83" s="339" t="s">
        <v>206</v>
      </c>
      <c r="F83" s="339" t="s">
        <v>295</v>
      </c>
      <c r="G83" s="336">
        <v>0</v>
      </c>
      <c r="H83" s="336">
        <v>0</v>
      </c>
      <c r="I83" s="337">
        <f t="shared" si="13"/>
        <v>0</v>
      </c>
      <c r="J83" s="251"/>
      <c r="K83" s="251"/>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339"/>
      <c r="C84" s="296" t="s">
        <v>232</v>
      </c>
      <c r="D84" s="340">
        <v>0</v>
      </c>
      <c r="E84" s="339" t="s">
        <v>206</v>
      </c>
      <c r="F84" s="339" t="s">
        <v>295</v>
      </c>
      <c r="G84" s="336">
        <v>0</v>
      </c>
      <c r="H84" s="336">
        <v>0</v>
      </c>
      <c r="I84" s="337">
        <f t="shared" si="13"/>
        <v>0</v>
      </c>
      <c r="J84" s="251"/>
      <c r="K84" s="251"/>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339"/>
      <c r="C85" s="296" t="s">
        <v>233</v>
      </c>
      <c r="D85" s="340">
        <v>0</v>
      </c>
      <c r="E85" s="339" t="s">
        <v>206</v>
      </c>
      <c r="F85" s="339" t="s">
        <v>295</v>
      </c>
      <c r="G85" s="336">
        <v>0</v>
      </c>
      <c r="H85" s="336">
        <v>0</v>
      </c>
      <c r="I85" s="337">
        <f t="shared" si="13"/>
        <v>0</v>
      </c>
      <c r="J85" s="251"/>
      <c r="K85" s="251"/>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339"/>
      <c r="C86" s="296" t="s">
        <v>234</v>
      </c>
      <c r="D86" s="340">
        <v>0</v>
      </c>
      <c r="E86" s="339" t="s">
        <v>206</v>
      </c>
      <c r="F86" s="339" t="s">
        <v>295</v>
      </c>
      <c r="G86" s="336">
        <v>0</v>
      </c>
      <c r="H86" s="336">
        <v>0</v>
      </c>
      <c r="I86" s="337">
        <f t="shared" si="13"/>
        <v>0</v>
      </c>
      <c r="J86" s="251"/>
      <c r="K86" s="251"/>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339"/>
      <c r="C87" s="296" t="s">
        <v>235</v>
      </c>
      <c r="D87" s="340">
        <v>0</v>
      </c>
      <c r="E87" s="339" t="s">
        <v>206</v>
      </c>
      <c r="F87" s="339" t="s">
        <v>295</v>
      </c>
      <c r="G87" s="336">
        <v>0</v>
      </c>
      <c r="H87" s="336">
        <v>0</v>
      </c>
      <c r="I87" s="337">
        <f t="shared" si="13"/>
        <v>0</v>
      </c>
      <c r="J87" s="251"/>
      <c r="K87" s="251"/>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339"/>
      <c r="C88" s="296" t="s">
        <v>236</v>
      </c>
      <c r="D88" s="340">
        <v>0</v>
      </c>
      <c r="E88" s="339" t="s">
        <v>206</v>
      </c>
      <c r="F88" s="339" t="s">
        <v>295</v>
      </c>
      <c r="G88" s="336">
        <v>0</v>
      </c>
      <c r="H88" s="336">
        <v>0</v>
      </c>
      <c r="I88" s="337">
        <f t="shared" si="13"/>
        <v>0</v>
      </c>
      <c r="J88" s="251"/>
      <c r="K88" s="251"/>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339"/>
      <c r="C89" s="296" t="s">
        <v>237</v>
      </c>
      <c r="D89" s="340">
        <v>0</v>
      </c>
      <c r="E89" s="339" t="s">
        <v>206</v>
      </c>
      <c r="F89" s="339" t="s">
        <v>211</v>
      </c>
      <c r="G89" s="336">
        <v>0</v>
      </c>
      <c r="H89" s="336">
        <v>0</v>
      </c>
      <c r="I89" s="337">
        <f t="shared" si="13"/>
        <v>0</v>
      </c>
      <c r="J89" s="251"/>
      <c r="K89" s="251"/>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339" t="s">
        <v>7</v>
      </c>
      <c r="C90" s="296" t="s">
        <v>238</v>
      </c>
      <c r="D90" s="341">
        <v>0</v>
      </c>
      <c r="E90" s="251" t="s">
        <v>206</v>
      </c>
      <c r="F90" s="251" t="s">
        <v>258</v>
      </c>
      <c r="G90" s="336">
        <v>0</v>
      </c>
      <c r="H90" s="336">
        <v>0</v>
      </c>
      <c r="I90" s="337">
        <f t="shared" si="13"/>
        <v>0</v>
      </c>
      <c r="J90" s="251"/>
      <c r="K90" s="251"/>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339" t="s">
        <v>7</v>
      </c>
      <c r="C91" s="296" t="s">
        <v>239</v>
      </c>
      <c r="D91" s="339">
        <v>0</v>
      </c>
      <c r="E91" s="339" t="s">
        <v>206</v>
      </c>
      <c r="F91" s="339" t="s">
        <v>258</v>
      </c>
      <c r="G91" s="336">
        <v>0</v>
      </c>
      <c r="H91" s="336">
        <v>0</v>
      </c>
      <c r="I91" s="337">
        <f t="shared" si="13"/>
        <v>0</v>
      </c>
      <c r="J91" s="339"/>
      <c r="K91" s="251"/>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339" t="s">
        <v>7</v>
      </c>
      <c r="C92" s="296" t="s">
        <v>240</v>
      </c>
      <c r="D92" s="339">
        <v>0</v>
      </c>
      <c r="E92" s="339" t="s">
        <v>206</v>
      </c>
      <c r="F92" s="339" t="s">
        <v>258</v>
      </c>
      <c r="G92" s="342">
        <v>0</v>
      </c>
      <c r="H92" s="342">
        <v>0</v>
      </c>
      <c r="I92" s="337">
        <f t="shared" si="13"/>
        <v>0</v>
      </c>
      <c r="J92" s="339"/>
      <c r="K92" s="251"/>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339" t="s">
        <v>7</v>
      </c>
      <c r="C93" s="296" t="s">
        <v>241</v>
      </c>
      <c r="D93" s="339">
        <v>0</v>
      </c>
      <c r="E93" s="339" t="s">
        <v>206</v>
      </c>
      <c r="F93" s="339" t="s">
        <v>211</v>
      </c>
      <c r="G93" s="342">
        <v>0</v>
      </c>
      <c r="H93" s="342">
        <v>0</v>
      </c>
      <c r="I93" s="337">
        <f t="shared" si="13"/>
        <v>0</v>
      </c>
      <c r="J93" s="339"/>
      <c r="K93" s="339"/>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339" t="s">
        <v>7</v>
      </c>
      <c r="C94" s="296" t="s">
        <v>242</v>
      </c>
      <c r="D94" s="339">
        <v>0</v>
      </c>
      <c r="E94" s="339" t="s">
        <v>206</v>
      </c>
      <c r="F94" s="339" t="s">
        <v>207</v>
      </c>
      <c r="G94" s="342">
        <v>0</v>
      </c>
      <c r="H94" s="342">
        <v>0</v>
      </c>
      <c r="I94" s="337">
        <f t="shared" si="13"/>
        <v>0</v>
      </c>
      <c r="J94" s="339"/>
      <c r="K94" s="339"/>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339" t="s">
        <v>7</v>
      </c>
      <c r="C95" s="296" t="s">
        <v>243</v>
      </c>
      <c r="D95" s="339">
        <v>0</v>
      </c>
      <c r="E95" s="339" t="s">
        <v>206</v>
      </c>
      <c r="F95" s="339" t="s">
        <v>295</v>
      </c>
      <c r="G95" s="336">
        <v>0</v>
      </c>
      <c r="H95" s="336">
        <v>0</v>
      </c>
      <c r="I95" s="337">
        <f t="shared" si="13"/>
        <v>0</v>
      </c>
      <c r="J95" s="339"/>
      <c r="K95" s="339"/>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339" t="s">
        <v>7</v>
      </c>
      <c r="C96" s="296" t="s">
        <v>244</v>
      </c>
      <c r="D96" s="339">
        <v>0</v>
      </c>
      <c r="E96" s="339" t="s">
        <v>206</v>
      </c>
      <c r="F96" s="339" t="s">
        <v>295</v>
      </c>
      <c r="G96" s="336">
        <v>0</v>
      </c>
      <c r="H96" s="336">
        <v>0</v>
      </c>
      <c r="I96" s="337">
        <f t="shared" si="13"/>
        <v>0</v>
      </c>
      <c r="J96" s="339"/>
      <c r="K96" s="339"/>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t="s">
        <v>7</v>
      </c>
      <c r="C97" s="296" t="s">
        <v>245</v>
      </c>
      <c r="D97" s="339">
        <v>0</v>
      </c>
      <c r="E97" s="339" t="s">
        <v>206</v>
      </c>
      <c r="F97" s="339" t="s">
        <v>295</v>
      </c>
      <c r="G97" s="336">
        <v>0</v>
      </c>
      <c r="H97" s="336">
        <v>0</v>
      </c>
      <c r="I97" s="337">
        <f t="shared" si="13"/>
        <v>0</v>
      </c>
      <c r="J97" s="296"/>
      <c r="K97" s="339"/>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15142358.560000001</v>
      </c>
      <c r="H104" s="301">
        <f>U104</f>
        <v>4885962.12</v>
      </c>
      <c r="I104" s="302">
        <f>SUM(I62:I103)</f>
        <v>1</v>
      </c>
      <c r="J104" s="303">
        <f>ROUND(SUMPRODUCT(J62:J103,R12:R53)/R54,0)</f>
        <v>28</v>
      </c>
      <c r="K104" s="274"/>
      <c r="L104" s="304">
        <f>P104/N104</f>
        <v>5.7147617490551994</v>
      </c>
      <c r="M104" s="305">
        <f>Q104/O104</f>
        <v>2.8341095999707178</v>
      </c>
      <c r="N104" s="311">
        <f>SUM(N62:N103)</f>
        <v>7789306.898149862</v>
      </c>
      <c r="O104" s="311">
        <f>SUM(O62:O103)</f>
        <v>17277185.196022205</v>
      </c>
      <c r="P104" s="311">
        <f>SUM(P62:P103)</f>
        <v>44514033.113198638</v>
      </c>
      <c r="Q104" s="311">
        <f>SUM(Q62:Q103)</f>
        <v>48965436.424518496</v>
      </c>
      <c r="R104" s="307"/>
      <c r="S104" s="308">
        <f>SUM(S62:S103)</f>
        <v>2439231.06</v>
      </c>
      <c r="T104" s="308">
        <f>SUM(T62:T103)</f>
        <v>2446731.06</v>
      </c>
      <c r="U104" s="308">
        <f>SUM(U62:U103)</f>
        <v>4885962.12</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8" right="0.28999999999999998" top="0.4" bottom="0.37" header="0.3" footer="0.3"/>
  <pageSetup paperSize="17" scale="53"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Z104"/>
  <sheetViews>
    <sheetView workbookViewId="0">
      <pane xSplit="1" ySplit="1" topLeftCell="B80" activePane="bottomRight" state="frozen"/>
      <selection pane="topRight" activeCell="B1" sqref="B1"/>
      <selection pane="bottomLeft" activeCell="A2" sqref="A2"/>
      <selection pane="bottomRight" activeCell="A3" sqref="A3"/>
    </sheetView>
  </sheetViews>
  <sheetFormatPr defaultRowHeight="13.2" x14ac:dyDescent="0.25"/>
  <cols>
    <col min="1" max="1" width="16" style="3369" customWidth="1"/>
    <col min="2" max="2" width="20.44140625" customWidth="1"/>
    <col min="3" max="3" width="34" customWidth="1"/>
    <col min="4" max="4" width="17.33203125" style="19" customWidth="1"/>
    <col min="5" max="5" width="17.33203125" customWidth="1"/>
    <col min="6" max="6" width="16.66406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7.10937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7.10937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7.10937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7.10937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7.10937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7.10937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7.10937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7.10937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7.10937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7.10937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7.10937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7.10937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7.10937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7.10937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7.10937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7.10937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7.10937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7.10937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7.10937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7.10937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7.10937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7.10937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7.10937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7.10937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7.10937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7.10937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7.10937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7.10937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7.10937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7.10937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7.10937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7.10937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7.10937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7.10937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7.10937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7.10937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7.10937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7.10937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7.10937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7.10937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7.10937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7.10937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7.10937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7.10937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7.10937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7.10937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7.10937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7.10937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7.10937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7.10937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7.10937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7.10937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7.10937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7.10937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7.10937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7.10937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7.10937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7.10937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7.10937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7.10937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7.10937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7.10937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7.10937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4.25" customHeight="1" thickBot="1" x14ac:dyDescent="0.35">
      <c r="B1" s="3881"/>
      <c r="F1" s="202"/>
      <c r="G1" s="202">
        <f>C3</f>
        <v>18230628</v>
      </c>
      <c r="H1" s="202" t="str">
        <f>C4</f>
        <v>SF Existing Space Heat - Electric</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18230628</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408</v>
      </c>
      <c r="F4" s="202">
        <v>2011</v>
      </c>
      <c r="G4" s="210">
        <f>B12</f>
        <v>156817</v>
      </c>
      <c r="H4" s="211">
        <f>B17</f>
        <v>20754</v>
      </c>
      <c r="I4" s="211">
        <f>B22</f>
        <v>111870</v>
      </c>
      <c r="J4" s="211">
        <f>B27</f>
        <v>78000</v>
      </c>
      <c r="K4" s="211">
        <f>B32</f>
        <v>6000</v>
      </c>
      <c r="L4" s="211">
        <f>B37</f>
        <v>66000</v>
      </c>
      <c r="M4" s="211">
        <f>B42</f>
        <v>6000</v>
      </c>
      <c r="N4" s="211">
        <f>B47</f>
        <v>24000</v>
      </c>
      <c r="O4" s="211">
        <f>B52</f>
        <v>1592000</v>
      </c>
      <c r="P4" s="211">
        <f>B53</f>
        <v>0</v>
      </c>
      <c r="Q4" s="213">
        <f>B54</f>
        <v>2061441</v>
      </c>
      <c r="R4" s="214">
        <f>T54</f>
        <v>6513112</v>
      </c>
      <c r="S4" s="331">
        <f>O4/Q4</f>
        <v>0.7722753161502075</v>
      </c>
      <c r="T4" s="331">
        <f>(J4+(H4*1.63))/Q4</f>
        <v>5.424798478345972E-2</v>
      </c>
      <c r="U4" s="331">
        <f>L4/Q4</f>
        <v>3.2016438986126695E-2</v>
      </c>
      <c r="V4" s="216">
        <f>Q4/R4</f>
        <v>0.31650630297774707</v>
      </c>
    </row>
    <row r="5" spans="2:22" ht="16.2" thickBot="1" x14ac:dyDescent="0.35">
      <c r="B5" s="202" t="s">
        <v>34</v>
      </c>
      <c r="F5" s="202">
        <v>2012</v>
      </c>
      <c r="G5" s="217">
        <f>D12</f>
        <v>172310.39999999999</v>
      </c>
      <c r="H5" s="218">
        <f>D17</f>
        <v>39000</v>
      </c>
      <c r="I5" s="218">
        <f>D22</f>
        <v>133125.552</v>
      </c>
      <c r="J5" s="218">
        <f>D27</f>
        <v>120000</v>
      </c>
      <c r="K5" s="218">
        <f>D32</f>
        <v>7200</v>
      </c>
      <c r="L5" s="218">
        <f>D37</f>
        <v>28000</v>
      </c>
      <c r="M5" s="218">
        <f>D42</f>
        <v>17200</v>
      </c>
      <c r="N5" s="218">
        <f>D47</f>
        <v>28200</v>
      </c>
      <c r="O5" s="218">
        <f>D52</f>
        <v>2093100</v>
      </c>
      <c r="P5" s="218">
        <f>D53</f>
        <v>0</v>
      </c>
      <c r="Q5" s="219">
        <f>SUM(G5:P5)</f>
        <v>2638135.952</v>
      </c>
      <c r="R5" s="220">
        <f>P54</f>
        <v>5899887</v>
      </c>
      <c r="S5" s="332">
        <f>O5/Q5</f>
        <v>0.79340111278692738</v>
      </c>
      <c r="T5" s="332">
        <f>(J5+(H5*1.63))/Q5</f>
        <v>6.9583222146240631E-2</v>
      </c>
      <c r="U5" s="332">
        <f>L5/Q5</f>
        <v>1.0613554611836017E-2</v>
      </c>
      <c r="V5" s="222">
        <f>Q5/R5</f>
        <v>0.44715025084378734</v>
      </c>
    </row>
    <row r="6" spans="2:22" ht="16.2" thickBot="1" x14ac:dyDescent="0.35">
      <c r="C6" s="202" t="s">
        <v>264</v>
      </c>
      <c r="F6" s="202">
        <v>2013</v>
      </c>
      <c r="G6" s="223">
        <f>E12</f>
        <v>177479.65</v>
      </c>
      <c r="H6" s="224">
        <f>E17</f>
        <v>39975</v>
      </c>
      <c r="I6" s="224">
        <f>E22</f>
        <v>136996.4295</v>
      </c>
      <c r="J6" s="224">
        <f>E27</f>
        <v>120000</v>
      </c>
      <c r="K6" s="224">
        <f>E32</f>
        <v>7200</v>
      </c>
      <c r="L6" s="224">
        <f>E37</f>
        <v>28000</v>
      </c>
      <c r="M6" s="224">
        <f>E42</f>
        <v>17200</v>
      </c>
      <c r="N6" s="224">
        <f>E47</f>
        <v>28200</v>
      </c>
      <c r="O6" s="224">
        <f>E52</f>
        <v>2158150</v>
      </c>
      <c r="P6" s="224">
        <f>E53</f>
        <v>0</v>
      </c>
      <c r="Q6" s="225">
        <f>SUM(G6:P6)</f>
        <v>2713201.0795</v>
      </c>
      <c r="R6" s="226">
        <f>Q54</f>
        <v>6138116</v>
      </c>
      <c r="S6" s="332">
        <f>O6/Q6</f>
        <v>0.79542574868712379</v>
      </c>
      <c r="T6" s="332">
        <f>(J6+(H6*1.63))/Q6</f>
        <v>6.8243836182654741E-2</v>
      </c>
      <c r="U6" s="332">
        <f>L6/Q6</f>
        <v>1.0319913334679919E-2</v>
      </c>
      <c r="V6" s="222">
        <f>Q6/R6</f>
        <v>0.44202505777016921</v>
      </c>
    </row>
    <row r="7" spans="2:22" ht="16.2" thickBot="1" x14ac:dyDescent="0.35">
      <c r="C7" s="227" t="s">
        <v>255</v>
      </c>
      <c r="F7" s="228" t="s">
        <v>140</v>
      </c>
      <c r="G7" s="229">
        <f>SUM(G5:G6)</f>
        <v>349790.05</v>
      </c>
      <c r="H7" s="229">
        <f t="shared" ref="H7:P7" si="0">SUM(H5:H6)</f>
        <v>78975</v>
      </c>
      <c r="I7" s="229">
        <f t="shared" si="0"/>
        <v>270121.98149999999</v>
      </c>
      <c r="J7" s="229">
        <f t="shared" si="0"/>
        <v>240000</v>
      </c>
      <c r="K7" s="229">
        <f t="shared" si="0"/>
        <v>14400</v>
      </c>
      <c r="L7" s="229">
        <f t="shared" si="0"/>
        <v>56000</v>
      </c>
      <c r="M7" s="229">
        <f t="shared" si="0"/>
        <v>34400</v>
      </c>
      <c r="N7" s="229">
        <f t="shared" si="0"/>
        <v>56400</v>
      </c>
      <c r="O7" s="229">
        <f t="shared" si="0"/>
        <v>4251250</v>
      </c>
      <c r="P7" s="229">
        <f t="shared" si="0"/>
        <v>0</v>
      </c>
      <c r="Q7" s="230">
        <f>SUM(G7:P7)</f>
        <v>5351337.0315000005</v>
      </c>
      <c r="R7" s="231">
        <f>R54</f>
        <v>12038003</v>
      </c>
      <c r="S7" s="332">
        <f>O7/Q7</f>
        <v>0.79442763088467971</v>
      </c>
      <c r="T7" s="332">
        <f>(J7+(H7*1.63))/Q7</f>
        <v>6.8904135140343381E-2</v>
      </c>
      <c r="U7" s="332">
        <f>L7/Q7</f>
        <v>1.0464674467401838E-2</v>
      </c>
      <c r="V7" s="222">
        <f>Q7/R7</f>
        <v>0.44453694117703746</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156817</v>
      </c>
      <c r="C12" s="244" t="s">
        <v>161</v>
      </c>
      <c r="D12" s="245">
        <f>SUM(D13:D16)</f>
        <v>172310.39999999999</v>
      </c>
      <c r="E12" s="245">
        <f>SUM(E13:E16)</f>
        <v>177479.65</v>
      </c>
      <c r="F12" s="246">
        <f>D12+E12</f>
        <v>349790.05</v>
      </c>
      <c r="H12" s="135"/>
      <c r="I12" s="247" t="str">
        <f t="shared" ref="I12:I53" si="1">C62</f>
        <v>Energy Star Geothermal Heat Pump</v>
      </c>
      <c r="J12" s="248"/>
      <c r="K12" s="249"/>
      <c r="L12" s="250">
        <f t="shared" ref="L12:L53" si="2">D62</f>
        <v>4037</v>
      </c>
      <c r="M12" s="267">
        <v>34</v>
      </c>
      <c r="N12" s="267">
        <v>34</v>
      </c>
      <c r="O12" s="252">
        <f>M12+N12</f>
        <v>68</v>
      </c>
      <c r="P12" s="253">
        <f t="shared" ref="P12:R27" si="3">M12*$D62</f>
        <v>137258</v>
      </c>
      <c r="Q12" s="253">
        <f t="shared" si="3"/>
        <v>137258</v>
      </c>
      <c r="R12" s="254">
        <f t="shared" si="3"/>
        <v>274516</v>
      </c>
      <c r="T12" s="309">
        <v>113036</v>
      </c>
    </row>
    <row r="13" spans="2:22" ht="13.8" x14ac:dyDescent="0.3">
      <c r="B13" s="256"/>
      <c r="C13" s="257" t="s">
        <v>162</v>
      </c>
      <c r="D13" s="258">
        <v>172310.39999999999</v>
      </c>
      <c r="E13" s="258">
        <v>177479.65</v>
      </c>
      <c r="F13" s="258">
        <f>SUM(D13:E13)</f>
        <v>349790.05</v>
      </c>
      <c r="H13" s="135"/>
      <c r="I13" s="259" t="str">
        <f t="shared" si="1"/>
        <v>Ductless Heat Pump</v>
      </c>
      <c r="J13" s="260"/>
      <c r="K13" s="261"/>
      <c r="L13" s="250">
        <f t="shared" si="2"/>
        <v>3500</v>
      </c>
      <c r="M13" s="267">
        <v>405</v>
      </c>
      <c r="N13" s="267">
        <v>405</v>
      </c>
      <c r="O13" s="252">
        <f t="shared" ref="O13:O53" si="4">M13+N13</f>
        <v>810</v>
      </c>
      <c r="P13" s="253">
        <f t="shared" si="3"/>
        <v>1417500</v>
      </c>
      <c r="Q13" s="253">
        <f t="shared" si="3"/>
        <v>1417500</v>
      </c>
      <c r="R13" s="254">
        <f t="shared" si="3"/>
        <v>2835000</v>
      </c>
      <c r="T13" s="263">
        <v>1505000</v>
      </c>
    </row>
    <row r="14" spans="2:22" ht="13.8" x14ac:dyDescent="0.3">
      <c r="B14" s="264"/>
      <c r="C14" s="265" t="s">
        <v>163</v>
      </c>
      <c r="D14" s="266">
        <v>0</v>
      </c>
      <c r="E14" s="266"/>
      <c r="F14" s="258">
        <f t="shared" ref="F14:F24" si="5">SUM(D14:E14)</f>
        <v>0</v>
      </c>
      <c r="H14" s="135"/>
      <c r="I14" s="259" t="str">
        <f t="shared" si="1"/>
        <v>Energy Star Heat Pump - Tier 1 = 8.5 HSPF, 14 SEER</v>
      </c>
      <c r="J14" s="260"/>
      <c r="K14" s="261"/>
      <c r="L14" s="250">
        <f t="shared" si="2"/>
        <v>408</v>
      </c>
      <c r="M14" s="267">
        <v>638</v>
      </c>
      <c r="N14" s="267">
        <v>446</v>
      </c>
      <c r="O14" s="252">
        <f t="shared" si="4"/>
        <v>1084</v>
      </c>
      <c r="P14" s="253">
        <f t="shared" si="3"/>
        <v>260304</v>
      </c>
      <c r="Q14" s="253">
        <f t="shared" si="3"/>
        <v>181968</v>
      </c>
      <c r="R14" s="254">
        <f t="shared" si="3"/>
        <v>442272</v>
      </c>
      <c r="T14" s="263">
        <v>273360</v>
      </c>
    </row>
    <row r="15" spans="2:22" ht="13.8" x14ac:dyDescent="0.3">
      <c r="B15" s="264"/>
      <c r="C15" s="265" t="s">
        <v>164</v>
      </c>
      <c r="D15" s="268">
        <v>0</v>
      </c>
      <c r="E15" s="268"/>
      <c r="F15" s="258">
        <f t="shared" si="5"/>
        <v>0</v>
      </c>
      <c r="H15" s="135"/>
      <c r="I15" s="259" t="str">
        <f t="shared" si="1"/>
        <v>Energy Star Heat Pump - Tier 2 = 9.0 HSPF, 14 SEER</v>
      </c>
      <c r="J15" s="260"/>
      <c r="K15" s="261"/>
      <c r="L15" s="250">
        <f t="shared" si="2"/>
        <v>554</v>
      </c>
      <c r="M15" s="267">
        <v>1272</v>
      </c>
      <c r="N15" s="267">
        <v>1081</v>
      </c>
      <c r="O15" s="252">
        <f t="shared" si="4"/>
        <v>2353</v>
      </c>
      <c r="P15" s="253">
        <f t="shared" si="3"/>
        <v>704688</v>
      </c>
      <c r="Q15" s="253">
        <f t="shared" si="3"/>
        <v>598874</v>
      </c>
      <c r="R15" s="254">
        <f t="shared" si="3"/>
        <v>1303562</v>
      </c>
      <c r="T15" s="263">
        <v>742360</v>
      </c>
    </row>
    <row r="16" spans="2:22" ht="14.4" thickBot="1" x14ac:dyDescent="0.35">
      <c r="B16" s="264"/>
      <c r="C16" s="265" t="s">
        <v>165</v>
      </c>
      <c r="D16" s="268">
        <v>0</v>
      </c>
      <c r="E16" s="268"/>
      <c r="F16" s="258">
        <f t="shared" si="5"/>
        <v>0</v>
      </c>
      <c r="H16" s="135"/>
      <c r="I16" s="259" t="str">
        <f t="shared" si="1"/>
        <v>Forced-air-furnace to Heat Pump Conversion (greater than or equal to 8.5 HSPF, 14 SEER)</v>
      </c>
      <c r="J16" s="260"/>
      <c r="K16" s="261"/>
      <c r="L16" s="250">
        <f t="shared" si="2"/>
        <v>5176</v>
      </c>
      <c r="M16" s="267">
        <v>520</v>
      </c>
      <c r="N16" s="267">
        <v>572</v>
      </c>
      <c r="O16" s="252">
        <f t="shared" si="4"/>
        <v>1092</v>
      </c>
      <c r="P16" s="253">
        <f t="shared" si="3"/>
        <v>2691520</v>
      </c>
      <c r="Q16" s="253">
        <f t="shared" si="3"/>
        <v>2960672</v>
      </c>
      <c r="R16" s="254">
        <f t="shared" si="3"/>
        <v>5652192</v>
      </c>
      <c r="T16" s="263">
        <v>3121128</v>
      </c>
    </row>
    <row r="17" spans="2:20" ht="14.4" thickBot="1" x14ac:dyDescent="0.35">
      <c r="B17" s="272">
        <v>20754</v>
      </c>
      <c r="C17" s="244" t="s">
        <v>166</v>
      </c>
      <c r="D17" s="245">
        <f>SUM(D18:D21)</f>
        <v>39000</v>
      </c>
      <c r="E17" s="245">
        <f>SUM(E18:E21)</f>
        <v>39975</v>
      </c>
      <c r="F17" s="246">
        <f>D17+E17</f>
        <v>78975</v>
      </c>
      <c r="H17" s="135"/>
      <c r="I17" s="259" t="str">
        <f t="shared" si="1"/>
        <v>Heat Pump Sizing &amp; Lock out Controls</v>
      </c>
      <c r="J17" s="260"/>
      <c r="K17" s="261"/>
      <c r="L17" s="250">
        <f t="shared" si="2"/>
        <v>1447</v>
      </c>
      <c r="M17" s="267">
        <v>411</v>
      </c>
      <c r="N17" s="267">
        <v>452</v>
      </c>
      <c r="O17" s="252">
        <f t="shared" si="4"/>
        <v>863</v>
      </c>
      <c r="P17" s="253">
        <f t="shared" si="3"/>
        <v>594717</v>
      </c>
      <c r="Q17" s="253">
        <f t="shared" si="3"/>
        <v>654044</v>
      </c>
      <c r="R17" s="254">
        <f t="shared" si="3"/>
        <v>1248761</v>
      </c>
      <c r="T17" s="263">
        <v>758228</v>
      </c>
    </row>
    <row r="18" spans="2:20" ht="13.8" x14ac:dyDescent="0.3">
      <c r="B18" s="256"/>
      <c r="C18" s="257" t="s">
        <v>162</v>
      </c>
      <c r="D18" s="258">
        <v>39000</v>
      </c>
      <c r="E18" s="258">
        <f>SUM(30750+9225)</f>
        <v>39975</v>
      </c>
      <c r="F18" s="258">
        <f t="shared" si="5"/>
        <v>78975</v>
      </c>
      <c r="H18" s="135"/>
      <c r="I18" s="259" t="str">
        <f t="shared" si="1"/>
        <v>NEW Energy Star Heat Pump - Tier 3 = 10.0 HSPF, 16 SEER</v>
      </c>
      <c r="J18" s="260"/>
      <c r="K18" s="261"/>
      <c r="L18" s="250">
        <f t="shared" si="2"/>
        <v>939</v>
      </c>
      <c r="M18" s="267">
        <v>100</v>
      </c>
      <c r="N18" s="267">
        <v>200</v>
      </c>
      <c r="O18" s="252">
        <f t="shared" si="4"/>
        <v>300</v>
      </c>
      <c r="P18" s="253">
        <f t="shared" si="3"/>
        <v>93900</v>
      </c>
      <c r="Q18" s="253">
        <f t="shared" si="3"/>
        <v>187800</v>
      </c>
      <c r="R18" s="254">
        <f t="shared" si="3"/>
        <v>281700</v>
      </c>
      <c r="T18" s="263">
        <v>0</v>
      </c>
    </row>
    <row r="19" spans="2:20" ht="13.8" x14ac:dyDescent="0.3">
      <c r="B19" s="264"/>
      <c r="C19" s="265" t="s">
        <v>163</v>
      </c>
      <c r="D19" s="266">
        <v>0</v>
      </c>
      <c r="E19" s="266"/>
      <c r="F19" s="258">
        <f t="shared" si="5"/>
        <v>0</v>
      </c>
      <c r="H19" s="135"/>
      <c r="I19" s="259" t="str">
        <f t="shared" si="1"/>
        <v>NEW Web Enabled T-Stats (Programmable)</v>
      </c>
      <c r="J19" s="260"/>
      <c r="K19" s="261"/>
      <c r="L19" s="250">
        <f t="shared" si="2"/>
        <v>408</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111870</v>
      </c>
      <c r="C22" s="244" t="s">
        <v>167</v>
      </c>
      <c r="D22" s="245">
        <f>SUM(D23:D26)</f>
        <v>133125.552</v>
      </c>
      <c r="E22" s="245">
        <f>SUM(E23:E26)</f>
        <v>136996.4295</v>
      </c>
      <c r="F22" s="246">
        <f>D22+E22</f>
        <v>270121.98149999999</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108555.552</v>
      </c>
      <c r="E23" s="258">
        <f>0.63*E12</f>
        <v>111812.1795</v>
      </c>
      <c r="F23" s="258">
        <f t="shared" si="5"/>
        <v>220367.73149999999</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24570</v>
      </c>
      <c r="E24" s="266">
        <f>0.63*E17</f>
        <v>25184.25</v>
      </c>
      <c r="F24" s="258">
        <f t="shared" si="5"/>
        <v>49754.25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78000</v>
      </c>
      <c r="C27" s="244" t="s">
        <v>170</v>
      </c>
      <c r="D27" s="245">
        <f>SUM(D28:D31)</f>
        <v>120000</v>
      </c>
      <c r="E27" s="245">
        <f>SUM(E28:E31)</f>
        <v>120000</v>
      </c>
      <c r="F27" s="246">
        <f>D27+E27</f>
        <v>240000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v>120000</v>
      </c>
      <c r="E28" s="258">
        <v>120000</v>
      </c>
      <c r="F28" s="258">
        <f t="shared" ref="F28:F36" si="6">SUM(D28:E28)</f>
        <v>240000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6000</v>
      </c>
      <c r="C32" s="244" t="s">
        <v>171</v>
      </c>
      <c r="D32" s="245">
        <f>SUM(D33:D36)</f>
        <v>7200</v>
      </c>
      <c r="E32" s="245">
        <f>SUM(E33:E36)</f>
        <v>7200</v>
      </c>
      <c r="F32" s="246">
        <f>D32+E32</f>
        <v>14400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7200</v>
      </c>
      <c r="E33" s="266">
        <v>7200</v>
      </c>
      <c r="F33" s="258">
        <f t="shared" si="6"/>
        <v>14400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66000</v>
      </c>
      <c r="C37" s="244" t="s">
        <v>172</v>
      </c>
      <c r="D37" s="245">
        <f>SUM(D38:D41)</f>
        <v>28000</v>
      </c>
      <c r="E37" s="245">
        <f>SUM(E38:E41)</f>
        <v>28000</v>
      </c>
      <c r="F37" s="246">
        <f>D37+E37</f>
        <v>56000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28000</v>
      </c>
      <c r="E38" s="266">
        <v>28000</v>
      </c>
      <c r="F38" s="258">
        <f t="shared" ref="F38:F51" si="8">SUM(D38:E38)</f>
        <v>56000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6000</v>
      </c>
      <c r="C42" s="244" t="s">
        <v>173</v>
      </c>
      <c r="D42" s="245">
        <f>SUM(D43:D46)</f>
        <v>17200</v>
      </c>
      <c r="E42" s="245">
        <f>SUM(E43:E46)</f>
        <v>17200</v>
      </c>
      <c r="F42" s="246">
        <f>D42+E42</f>
        <v>34400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17200</v>
      </c>
      <c r="E43" s="266">
        <v>17200</v>
      </c>
      <c r="F43" s="258">
        <f t="shared" si="8"/>
        <v>34400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24000</v>
      </c>
      <c r="C47" s="244" t="s">
        <v>174</v>
      </c>
      <c r="D47" s="245">
        <f>SUM(D48:D51)</f>
        <v>28200</v>
      </c>
      <c r="E47" s="245">
        <f>SUM(E48:E51)</f>
        <v>28200</v>
      </c>
      <c r="F47" s="246">
        <f>D47+E47</f>
        <v>56400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28200</v>
      </c>
      <c r="E48" s="266">
        <v>28200</v>
      </c>
      <c r="F48" s="258">
        <f t="shared" si="8"/>
        <v>56400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6"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6"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6"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6" ht="14.4" thickBot="1" x14ac:dyDescent="0.35">
      <c r="B52" s="272">
        <v>1592000</v>
      </c>
      <c r="C52" s="244" t="s">
        <v>175</v>
      </c>
      <c r="D52" s="245">
        <f>S104</f>
        <v>2093100</v>
      </c>
      <c r="E52" s="245">
        <f>T104</f>
        <v>2158150</v>
      </c>
      <c r="F52" s="246">
        <f>U104</f>
        <v>4251250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6"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6" ht="13.8" x14ac:dyDescent="0.3">
      <c r="B54" s="273">
        <f>B12+B17+B22+B27+B32+B37+B42+B47+B52+B53</f>
        <v>2061441</v>
      </c>
      <c r="C54" s="274" t="s">
        <v>178</v>
      </c>
      <c r="D54" s="273">
        <f>D12+D17+D22+D27+D32+D37+D42+D47+D52+D53</f>
        <v>2638135.952</v>
      </c>
      <c r="E54" s="273">
        <f>E12+E17+E22+E27+E32+E37+E42+E47+E52+E53</f>
        <v>2713201.0795</v>
      </c>
      <c r="F54" s="273">
        <f>F12+F17+F22+F27+F32+F37+F42+F47+F52+F53</f>
        <v>5351337.0315000005</v>
      </c>
      <c r="P54" s="275">
        <f>SUM(P12:P53)</f>
        <v>5899887</v>
      </c>
      <c r="Q54" s="275">
        <f>SUM(Q12:Q53)</f>
        <v>6138116</v>
      </c>
      <c r="R54" s="275">
        <f>SUM(R12:R53)</f>
        <v>12038003</v>
      </c>
      <c r="T54" s="275">
        <f>SUM(T12:T53)</f>
        <v>6513112</v>
      </c>
    </row>
    <row r="55" spans="2:26" ht="13.8" x14ac:dyDescent="0.3">
      <c r="C55" s="274"/>
      <c r="D55" s="273"/>
      <c r="E55" s="273"/>
      <c r="F55" s="273"/>
    </row>
    <row r="56" spans="2:26" ht="13.8" x14ac:dyDescent="0.3">
      <c r="C56" s="274" t="s">
        <v>179</v>
      </c>
      <c r="D56" s="273">
        <f>D54-D52</f>
        <v>545035.95200000005</v>
      </c>
      <c r="E56" s="273">
        <f>E54-E52</f>
        <v>555051.07949999999</v>
      </c>
      <c r="F56" s="273">
        <f>F54-F52</f>
        <v>1100087.0315000005</v>
      </c>
    </row>
    <row r="57" spans="2:26" ht="13.8" x14ac:dyDescent="0.3">
      <c r="C57" s="274" t="s">
        <v>180</v>
      </c>
      <c r="D57" s="276">
        <f>D52</f>
        <v>2093100</v>
      </c>
      <c r="E57" s="276">
        <f>E52</f>
        <v>2158150</v>
      </c>
      <c r="F57" s="276">
        <f>F52</f>
        <v>4251250</v>
      </c>
      <c r="G57" s="335">
        <f>F57/(F56+F57)</f>
        <v>0.79442763088467971</v>
      </c>
      <c r="H57" s="278" t="s">
        <v>181</v>
      </c>
    </row>
    <row r="58" spans="2:26" ht="13.8" thickBot="1" x14ac:dyDescent="0.3"/>
    <row r="59" spans="2:26" ht="16.2" thickBot="1" x14ac:dyDescent="0.35">
      <c r="B59" s="279" t="s">
        <v>182</v>
      </c>
      <c r="C59" s="280"/>
      <c r="D59" s="4760" t="s">
        <v>183</v>
      </c>
      <c r="E59" s="4761"/>
      <c r="F59" s="4761"/>
      <c r="G59" s="4761"/>
      <c r="H59" s="4761"/>
      <c r="K59" s="281"/>
    </row>
    <row r="60" spans="2:26"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6"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6" ht="13.8" x14ac:dyDescent="0.3">
      <c r="B62" s="296">
        <v>68</v>
      </c>
      <c r="C62" s="3056" t="s">
        <v>399</v>
      </c>
      <c r="D62" s="3056">
        <v>4037</v>
      </c>
      <c r="E62" s="3056" t="s">
        <v>206</v>
      </c>
      <c r="F62" s="3056" t="s">
        <v>258</v>
      </c>
      <c r="G62" s="3058">
        <v>3889</v>
      </c>
      <c r="H62" s="3058">
        <v>1500</v>
      </c>
      <c r="I62" s="3059">
        <v>0.05</v>
      </c>
      <c r="J62" s="3057">
        <v>30</v>
      </c>
      <c r="K62" s="3057" t="s">
        <v>400</v>
      </c>
      <c r="L62" s="3062">
        <v>3.9929654775159662</v>
      </c>
      <c r="M62" s="3062">
        <v>2.158680670535138</v>
      </c>
      <c r="N62" s="3063">
        <v>145239.9182007401</v>
      </c>
      <c r="O62" s="3063">
        <v>295519.28915356158</v>
      </c>
      <c r="P62" s="3063">
        <v>579937.97933279804</v>
      </c>
      <c r="Q62" s="3063">
        <v>637931.7772660777</v>
      </c>
      <c r="R62" s="3061">
        <v>1.081</v>
      </c>
      <c r="S62" s="3060">
        <v>51000</v>
      </c>
      <c r="T62" s="3060">
        <v>51000</v>
      </c>
      <c r="U62" s="3060">
        <v>102000</v>
      </c>
      <c r="V62" s="338">
        <f>U62/(U62+(I62*F$56))</f>
        <v>0.64966352191375543</v>
      </c>
      <c r="W62" s="338">
        <f t="shared" ref="W62:W80" si="10">(I62*((F$17*1.63)+F$27))/(U62+(I62*F$56))</f>
        <v>0.11742644273902825</v>
      </c>
      <c r="X62" s="338">
        <f>(I62*F$37)/(U62+(I62*F$56))</f>
        <v>1.783390060155407E-2</v>
      </c>
      <c r="Z62" s="301">
        <f>I62*F$56</f>
        <v>55004.35157500003</v>
      </c>
    </row>
    <row r="63" spans="2:26" ht="13.8" x14ac:dyDescent="0.3">
      <c r="B63" s="296">
        <v>499</v>
      </c>
      <c r="C63" s="3056" t="s">
        <v>401</v>
      </c>
      <c r="D63" s="3056">
        <v>3500</v>
      </c>
      <c r="E63" s="3056" t="s">
        <v>206</v>
      </c>
      <c r="F63" s="3056" t="s">
        <v>211</v>
      </c>
      <c r="G63" s="3058">
        <v>3407</v>
      </c>
      <c r="H63" s="3058">
        <v>1200</v>
      </c>
      <c r="I63" s="3059">
        <v>0.15</v>
      </c>
      <c r="J63" s="3057">
        <v>20</v>
      </c>
      <c r="K63" s="3057" t="s">
        <v>400</v>
      </c>
      <c r="L63" s="3062">
        <v>4.7394300862340479</v>
      </c>
      <c r="M63" s="3062">
        <v>2.0267745793611684</v>
      </c>
      <c r="N63" s="3063">
        <v>1051815.9618177614</v>
      </c>
      <c r="O63" s="3063">
        <v>2705534.7407261799</v>
      </c>
      <c r="P63" s="3063">
        <v>4985008.2146203015</v>
      </c>
      <c r="Q63" s="3063">
        <v>5483509.0360823311</v>
      </c>
      <c r="R63" s="3061">
        <v>1.081</v>
      </c>
      <c r="S63" s="3060">
        <v>486000</v>
      </c>
      <c r="T63" s="3060">
        <v>486000</v>
      </c>
      <c r="U63" s="3060">
        <v>972000</v>
      </c>
      <c r="V63" s="338">
        <f t="shared" ref="V63:V80" si="11">U63/(U63+(I63*F$56))</f>
        <v>0.85487145108909013</v>
      </c>
      <c r="W63" s="338">
        <f t="shared" si="10"/>
        <v>4.864446126643393E-2</v>
      </c>
      <c r="X63" s="338">
        <f t="shared" ref="X63:X80" si="12">(I63*F$37)/(U63+(I63*F$56))</f>
        <v>7.3877779723748533E-3</v>
      </c>
      <c r="Z63" s="301">
        <f t="shared" ref="Z63:Z69" si="13">I63*F$56</f>
        <v>165013.05472500008</v>
      </c>
    </row>
    <row r="64" spans="2:26" ht="13.8" x14ac:dyDescent="0.3">
      <c r="B64" s="296">
        <v>558</v>
      </c>
      <c r="C64" s="3056" t="s">
        <v>402</v>
      </c>
      <c r="D64" s="3056">
        <v>408</v>
      </c>
      <c r="E64" s="3056" t="s">
        <v>206</v>
      </c>
      <c r="F64" s="3056" t="s">
        <v>211</v>
      </c>
      <c r="G64" s="3058">
        <v>742</v>
      </c>
      <c r="H64" s="3058">
        <v>200</v>
      </c>
      <c r="I64" s="3059">
        <v>0.11</v>
      </c>
      <c r="J64" s="3057">
        <v>20</v>
      </c>
      <c r="K64" s="3057" t="s">
        <v>400</v>
      </c>
      <c r="L64" s="3062">
        <v>2.4886051818106787</v>
      </c>
      <c r="M64" s="3062">
        <v>0.9993565018942322</v>
      </c>
      <c r="N64" s="3063">
        <v>312497.29275208141</v>
      </c>
      <c r="O64" s="3063">
        <v>856001.45556429238</v>
      </c>
      <c r="P64" s="3063">
        <v>777682.38204463839</v>
      </c>
      <c r="Q64" s="3063">
        <v>855450.62024910224</v>
      </c>
      <c r="R64" s="3061">
        <v>1.081</v>
      </c>
      <c r="S64" s="3060">
        <v>127600</v>
      </c>
      <c r="T64" s="3060">
        <v>89200</v>
      </c>
      <c r="U64" s="3060">
        <v>216800</v>
      </c>
      <c r="V64" s="338">
        <f t="shared" si="11"/>
        <v>0.64178169308887967</v>
      </c>
      <c r="W64" s="338">
        <f t="shared" si="10"/>
        <v>0.12006828901846497</v>
      </c>
      <c r="X64" s="338">
        <f t="shared" si="12"/>
        <v>1.8235125596990309E-2</v>
      </c>
      <c r="Z64" s="301">
        <f t="shared" si="13"/>
        <v>121009.57346500005</v>
      </c>
    </row>
    <row r="65" spans="2:26" ht="13.8" x14ac:dyDescent="0.3">
      <c r="B65" s="296">
        <v>559</v>
      </c>
      <c r="C65" s="3056" t="s">
        <v>403</v>
      </c>
      <c r="D65" s="3056">
        <v>554</v>
      </c>
      <c r="E65" s="3056" t="s">
        <v>206</v>
      </c>
      <c r="F65" s="3056" t="s">
        <v>211</v>
      </c>
      <c r="G65" s="3058">
        <v>844</v>
      </c>
      <c r="H65" s="3058">
        <v>350</v>
      </c>
      <c r="I65" s="3059">
        <v>0.34</v>
      </c>
      <c r="J65" s="3057">
        <v>20</v>
      </c>
      <c r="K65" s="3057" t="s">
        <v>400</v>
      </c>
      <c r="L65" s="3062">
        <v>2.0690253647540997</v>
      </c>
      <c r="M65" s="3062">
        <v>1.1549360867436411</v>
      </c>
      <c r="N65" s="3063">
        <v>1107844.2097224793</v>
      </c>
      <c r="O65" s="3063">
        <v>2183128.206022202</v>
      </c>
      <c r="P65" s="3063">
        <v>2292157.7701117704</v>
      </c>
      <c r="Q65" s="3063">
        <v>2521373.5471229474</v>
      </c>
      <c r="R65" s="3061">
        <v>1.081</v>
      </c>
      <c r="S65" s="3060">
        <v>445200</v>
      </c>
      <c r="T65" s="3060">
        <v>378350</v>
      </c>
      <c r="U65" s="3060">
        <v>823550</v>
      </c>
      <c r="V65" s="338">
        <f t="shared" si="11"/>
        <v>0.68767871996862273</v>
      </c>
      <c r="W65" s="338">
        <f t="shared" si="10"/>
        <v>0.10468443681949693</v>
      </c>
      <c r="X65" s="338">
        <f t="shared" si="12"/>
        <v>1.5898734537311124E-2</v>
      </c>
      <c r="Z65" s="301">
        <f t="shared" si="13"/>
        <v>374029.59071000019</v>
      </c>
    </row>
    <row r="66" spans="2:26" ht="13.8" x14ac:dyDescent="0.3">
      <c r="B66" s="296">
        <v>560</v>
      </c>
      <c r="C66" s="3056" t="s">
        <v>404</v>
      </c>
      <c r="D66" s="3056">
        <v>5176</v>
      </c>
      <c r="E66" s="3056" t="s">
        <v>206</v>
      </c>
      <c r="F66" s="3056" t="s">
        <v>258</v>
      </c>
      <c r="G66" s="3058">
        <v>5663</v>
      </c>
      <c r="H66" s="3058">
        <v>1500</v>
      </c>
      <c r="I66" s="3059">
        <v>0.15</v>
      </c>
      <c r="J66" s="3057">
        <v>20</v>
      </c>
      <c r="K66" s="3057" t="s">
        <v>400</v>
      </c>
      <c r="L66" s="3062">
        <v>5.9587689189987492</v>
      </c>
      <c r="M66" s="3062">
        <v>1.8614104759157006</v>
      </c>
      <c r="N66" s="3063">
        <v>1667912.1690333027</v>
      </c>
      <c r="O66" s="3063">
        <v>5873273.8711609617</v>
      </c>
      <c r="P66" s="3063">
        <v>9938703.1924554314</v>
      </c>
      <c r="Q66" s="3063">
        <v>10932573.511700975</v>
      </c>
      <c r="R66" s="3061">
        <v>1.081</v>
      </c>
      <c r="S66" s="3060">
        <v>780000</v>
      </c>
      <c r="T66" s="3060">
        <v>858000</v>
      </c>
      <c r="U66" s="3060">
        <v>1638000</v>
      </c>
      <c r="V66" s="338">
        <f t="shared" si="11"/>
        <v>0.90847927900878767</v>
      </c>
      <c r="W66" s="338">
        <f t="shared" si="10"/>
        <v>3.0676088204162181E-2</v>
      </c>
      <c r="X66" s="338">
        <f t="shared" si="12"/>
        <v>4.6588680974809626E-3</v>
      </c>
      <c r="Z66" s="301">
        <f t="shared" si="13"/>
        <v>165013.05472500008</v>
      </c>
    </row>
    <row r="67" spans="2:26" ht="13.8" x14ac:dyDescent="0.3">
      <c r="B67" s="296">
        <v>501</v>
      </c>
      <c r="C67" s="3056" t="s">
        <v>405</v>
      </c>
      <c r="D67" s="3056">
        <v>1447</v>
      </c>
      <c r="E67" s="3056" t="s">
        <v>206</v>
      </c>
      <c r="F67" s="3056" t="s">
        <v>258</v>
      </c>
      <c r="G67" s="3064">
        <v>350</v>
      </c>
      <c r="H67" s="3058">
        <v>300</v>
      </c>
      <c r="I67" s="3059">
        <v>0.17</v>
      </c>
      <c r="J67" s="3057">
        <v>20</v>
      </c>
      <c r="K67" s="3057" t="s">
        <v>400</v>
      </c>
      <c r="L67" s="3062">
        <v>5.3231162839899069</v>
      </c>
      <c r="M67" s="3062">
        <v>5.3388057453073765</v>
      </c>
      <c r="N67" s="3063">
        <v>412502.12336262729</v>
      </c>
      <c r="O67" s="3063">
        <v>452418.86711840896</v>
      </c>
      <c r="P67" s="3063">
        <v>2195796.7700520149</v>
      </c>
      <c r="Q67" s="3063">
        <v>2415376.4470572164</v>
      </c>
      <c r="R67" s="3061">
        <v>1.081</v>
      </c>
      <c r="S67" s="3060">
        <v>123300</v>
      </c>
      <c r="T67" s="3060">
        <v>135600</v>
      </c>
      <c r="U67" s="3060">
        <v>258900</v>
      </c>
      <c r="V67" s="338">
        <f t="shared" si="11"/>
        <v>0.58060419321562429</v>
      </c>
      <c r="W67" s="338">
        <f t="shared" si="10"/>
        <v>0.14057387903017721</v>
      </c>
      <c r="X67" s="338">
        <f t="shared" si="12"/>
        <v>2.1349370102019091E-2</v>
      </c>
      <c r="Z67" s="301">
        <f t="shared" si="13"/>
        <v>187014.7953550001</v>
      </c>
    </row>
    <row r="68" spans="2:26" ht="13.8" x14ac:dyDescent="0.3">
      <c r="B68" s="296"/>
      <c r="C68" s="3056" t="s">
        <v>406</v>
      </c>
      <c r="D68" s="3056">
        <v>939</v>
      </c>
      <c r="E68" s="3056" t="s">
        <v>206</v>
      </c>
      <c r="F68" s="3056" t="s">
        <v>211</v>
      </c>
      <c r="G68" s="3058">
        <v>1688</v>
      </c>
      <c r="H68" s="3058">
        <v>800</v>
      </c>
      <c r="I68" s="3059">
        <v>0.03</v>
      </c>
      <c r="J68" s="3057">
        <v>20</v>
      </c>
      <c r="K68" s="3057" t="s">
        <v>400</v>
      </c>
      <c r="L68" s="3062">
        <v>1.9613656064138547</v>
      </c>
      <c r="M68" s="3062">
        <v>1.0919556427316475</v>
      </c>
      <c r="N68" s="3063">
        <v>252546.35610083258</v>
      </c>
      <c r="O68" s="3063">
        <v>498984.83898704901</v>
      </c>
      <c r="P68" s="3063">
        <v>495335.73688131879</v>
      </c>
      <c r="Q68" s="3063">
        <v>544869.31056945072</v>
      </c>
      <c r="R68" s="3061">
        <v>1.081</v>
      </c>
      <c r="S68" s="3060">
        <v>80000</v>
      </c>
      <c r="T68" s="3060">
        <v>160000</v>
      </c>
      <c r="U68" s="3060">
        <v>240000</v>
      </c>
      <c r="V68" s="338">
        <f t="shared" si="11"/>
        <v>0.87911247137614801</v>
      </c>
      <c r="W68" s="338">
        <f t="shared" si="10"/>
        <v>4.0519310279521686E-2</v>
      </c>
      <c r="X68" s="338">
        <f t="shared" si="12"/>
        <v>6.1537872996330362E-3</v>
      </c>
      <c r="Z68" s="301">
        <f t="shared" si="13"/>
        <v>33002.610945000015</v>
      </c>
    </row>
    <row r="69" spans="2:26" ht="13.8" x14ac:dyDescent="0.3">
      <c r="B69" s="296"/>
      <c r="C69" s="3056" t="s">
        <v>407</v>
      </c>
      <c r="D69" s="3056">
        <v>408</v>
      </c>
      <c r="E69" s="3056" t="s">
        <v>206</v>
      </c>
      <c r="F69" s="3056" t="s">
        <v>258</v>
      </c>
      <c r="G69" s="3058">
        <v>745</v>
      </c>
      <c r="H69" s="3058">
        <v>300</v>
      </c>
      <c r="I69" s="3059">
        <v>0</v>
      </c>
      <c r="J69" s="3057">
        <v>20</v>
      </c>
      <c r="K69" s="3057" t="s">
        <v>298</v>
      </c>
      <c r="L69" s="3062" t="e">
        <v>#DIV/0!</v>
      </c>
      <c r="M69" s="3062" t="e">
        <v>#DIV/0!</v>
      </c>
      <c r="N69" s="3063">
        <v>0</v>
      </c>
      <c r="O69" s="3063">
        <v>0</v>
      </c>
      <c r="P69" s="3063">
        <v>0</v>
      </c>
      <c r="Q69" s="3063">
        <v>0</v>
      </c>
      <c r="R69" s="3061">
        <v>1.081</v>
      </c>
      <c r="S69" s="3060">
        <v>0</v>
      </c>
      <c r="T69" s="3060">
        <v>0</v>
      </c>
      <c r="U69" s="3060">
        <v>0</v>
      </c>
      <c r="V69" s="338" t="e">
        <f t="shared" si="11"/>
        <v>#DIV/0!</v>
      </c>
      <c r="W69" s="338" t="e">
        <f t="shared" si="10"/>
        <v>#DIV/0!</v>
      </c>
      <c r="X69" s="338" t="e">
        <f t="shared" si="12"/>
        <v>#DIV/0!</v>
      </c>
      <c r="Z69" s="301">
        <f t="shared" si="13"/>
        <v>0</v>
      </c>
    </row>
    <row r="70" spans="2:26" ht="13.8" x14ac:dyDescent="0.3">
      <c r="B70" s="296"/>
      <c r="C70" s="296" t="s">
        <v>218</v>
      </c>
      <c r="D70" s="296">
        <v>0</v>
      </c>
      <c r="E70" s="296" t="s">
        <v>206</v>
      </c>
      <c r="F70" s="296" t="s">
        <v>211</v>
      </c>
      <c r="G70" s="297"/>
      <c r="H70" s="297"/>
      <c r="I70" s="326">
        <v>0</v>
      </c>
      <c r="J70" s="267"/>
      <c r="K70" s="267"/>
      <c r="L70" s="291" t="e">
        <f t="shared" ref="L70:M103" si="14">P70/N70</f>
        <v>#DIV/0!</v>
      </c>
      <c r="M70" s="291" t="e">
        <f t="shared" si="14"/>
        <v>#DIV/0!</v>
      </c>
      <c r="N70" s="218">
        <f t="shared" ref="N70:N103" si="15">(($I70*$F$56)+$U70)/$R70</f>
        <v>0</v>
      </c>
      <c r="O70" s="218">
        <f t="shared" ref="O70:O103" si="16">(($I70*$F$56)+($G70*$O20))/$R70</f>
        <v>0</v>
      </c>
      <c r="P70" s="218">
        <f>IF(K70=0, 0, (HLOOKUP(K70,'[1]E-CESTDWO'!$A$5:$O$35,J70+1,FALSE)*R20))</f>
        <v>0</v>
      </c>
      <c r="Q70" s="218">
        <f>IF(K70=0, 0, (HLOOKUP(K70,'[1]E-CESTD'!$A$5:$O$35,J70+1,FALSE)*R20))</f>
        <v>0</v>
      </c>
      <c r="R70" s="292">
        <v>1.081</v>
      </c>
      <c r="S70" s="293">
        <f t="shared" ref="S70:U77" si="17">M20*$H70</f>
        <v>0</v>
      </c>
      <c r="T70" s="293">
        <f t="shared" si="17"/>
        <v>0</v>
      </c>
      <c r="U70" s="293">
        <f t="shared" si="17"/>
        <v>0</v>
      </c>
      <c r="V70" s="338" t="e">
        <f t="shared" si="11"/>
        <v>#DIV/0!</v>
      </c>
      <c r="W70" s="338" t="e">
        <f t="shared" si="10"/>
        <v>#DIV/0!</v>
      </c>
      <c r="X70" s="338" t="e">
        <f t="shared" si="12"/>
        <v>#DIV/0!</v>
      </c>
    </row>
    <row r="71" spans="2:26" ht="13.8" x14ac:dyDescent="0.3">
      <c r="B71" s="296"/>
      <c r="C71" s="296" t="s">
        <v>219</v>
      </c>
      <c r="D71" s="296">
        <v>0</v>
      </c>
      <c r="E71" s="296" t="s">
        <v>206</v>
      </c>
      <c r="F71" s="296" t="s">
        <v>211</v>
      </c>
      <c r="G71" s="297"/>
      <c r="H71" s="297"/>
      <c r="I71" s="326">
        <v>0</v>
      </c>
      <c r="J71" s="267"/>
      <c r="K71" s="267"/>
      <c r="L71" s="291" t="e">
        <f t="shared" si="14"/>
        <v>#DIV/0!</v>
      </c>
      <c r="M71" s="291" t="e">
        <f t="shared" si="14"/>
        <v>#DIV/0!</v>
      </c>
      <c r="N71" s="218">
        <f t="shared" si="15"/>
        <v>0</v>
      </c>
      <c r="O71" s="218">
        <f t="shared" si="16"/>
        <v>0</v>
      </c>
      <c r="P71" s="218">
        <f>IF(K71=0, 0, (HLOOKUP(K71,'[1]E-CESTDWO'!$A$5:$O$35,J71+1,FALSE)*R21))</f>
        <v>0</v>
      </c>
      <c r="Q71" s="218">
        <f>IF(K71=0, 0, (HLOOKUP(K71,'[1]E-CESTD'!$A$5:$O$35,J71+1,FALSE)*R21))</f>
        <v>0</v>
      </c>
      <c r="R71" s="292">
        <v>1.081</v>
      </c>
      <c r="S71" s="293">
        <f t="shared" si="17"/>
        <v>0</v>
      </c>
      <c r="T71" s="293">
        <f t="shared" si="17"/>
        <v>0</v>
      </c>
      <c r="U71" s="293">
        <f t="shared" si="17"/>
        <v>0</v>
      </c>
      <c r="V71" s="338" t="e">
        <f t="shared" si="11"/>
        <v>#DIV/0!</v>
      </c>
      <c r="W71" s="338" t="e">
        <f t="shared" si="10"/>
        <v>#DIV/0!</v>
      </c>
      <c r="X71" s="338" t="e">
        <f t="shared" si="12"/>
        <v>#DIV/0!</v>
      </c>
    </row>
    <row r="72" spans="2:26" ht="13.8" x14ac:dyDescent="0.3">
      <c r="B72" s="296"/>
      <c r="C72" s="296" t="s">
        <v>220</v>
      </c>
      <c r="D72" s="296">
        <v>0</v>
      </c>
      <c r="E72" s="296" t="s">
        <v>206</v>
      </c>
      <c r="F72" s="296" t="s">
        <v>211</v>
      </c>
      <c r="G72" s="297"/>
      <c r="H72" s="297"/>
      <c r="I72" s="326">
        <v>0</v>
      </c>
      <c r="J72" s="267"/>
      <c r="K72" s="267"/>
      <c r="L72" s="291" t="e">
        <f t="shared" si="14"/>
        <v>#DIV/0!</v>
      </c>
      <c r="M72" s="291" t="e">
        <f t="shared" si="14"/>
        <v>#DIV/0!</v>
      </c>
      <c r="N72" s="218">
        <f t="shared" si="15"/>
        <v>0</v>
      </c>
      <c r="O72" s="218">
        <f t="shared" si="16"/>
        <v>0</v>
      </c>
      <c r="P72" s="218">
        <f>IF(K72=0, 0, (HLOOKUP(K72,'[1]E-CESTDWO'!$A$5:$O$35,J72+1,FALSE)*R22))</f>
        <v>0</v>
      </c>
      <c r="Q72" s="218">
        <f>IF(K72=0, 0, (HLOOKUP(K72,'[1]E-CESTD'!$A$5:$O$35,J72+1,FALSE)*R22))</f>
        <v>0</v>
      </c>
      <c r="R72" s="292">
        <v>1.081</v>
      </c>
      <c r="S72" s="293">
        <f t="shared" si="17"/>
        <v>0</v>
      </c>
      <c r="T72" s="293">
        <f t="shared" si="17"/>
        <v>0</v>
      </c>
      <c r="U72" s="293">
        <f t="shared" si="17"/>
        <v>0</v>
      </c>
      <c r="V72" s="338" t="e">
        <f t="shared" si="11"/>
        <v>#DIV/0!</v>
      </c>
      <c r="W72" s="338" t="e">
        <f t="shared" si="10"/>
        <v>#DIV/0!</v>
      </c>
      <c r="X72" s="338" t="e">
        <f t="shared" si="12"/>
        <v>#DIV/0!</v>
      </c>
    </row>
    <row r="73" spans="2:26" ht="13.8" x14ac:dyDescent="0.3">
      <c r="B73" s="296"/>
      <c r="C73" s="296" t="s">
        <v>221</v>
      </c>
      <c r="D73" s="296">
        <v>0</v>
      </c>
      <c r="E73" s="296" t="s">
        <v>206</v>
      </c>
      <c r="F73" s="296" t="s">
        <v>211</v>
      </c>
      <c r="G73" s="297"/>
      <c r="H73" s="297"/>
      <c r="I73" s="326">
        <v>0</v>
      </c>
      <c r="J73" s="267"/>
      <c r="K73" s="267"/>
      <c r="L73" s="291" t="e">
        <f t="shared" si="14"/>
        <v>#DIV/0!</v>
      </c>
      <c r="M73" s="291" t="e">
        <f t="shared" si="14"/>
        <v>#DIV/0!</v>
      </c>
      <c r="N73" s="218">
        <f t="shared" si="15"/>
        <v>0</v>
      </c>
      <c r="O73" s="218">
        <f t="shared" si="16"/>
        <v>0</v>
      </c>
      <c r="P73" s="218">
        <f>IF(K73=0, 0, (HLOOKUP(K73,'[1]E-CESTDWO'!$A$5:$O$35,J73+1,FALSE)*R23))</f>
        <v>0</v>
      </c>
      <c r="Q73" s="218">
        <f>IF(K73=0, 0, (HLOOKUP(K73,'[1]E-CESTD'!$A$5:$O$35,J73+1,FALSE)*R23))</f>
        <v>0</v>
      </c>
      <c r="R73" s="292">
        <v>1.081</v>
      </c>
      <c r="S73" s="293">
        <f t="shared" si="17"/>
        <v>0</v>
      </c>
      <c r="T73" s="293">
        <f t="shared" si="17"/>
        <v>0</v>
      </c>
      <c r="U73" s="293">
        <f t="shared" si="17"/>
        <v>0</v>
      </c>
      <c r="V73" s="338" t="e">
        <f t="shared" si="11"/>
        <v>#DIV/0!</v>
      </c>
      <c r="W73" s="338" t="e">
        <f t="shared" si="10"/>
        <v>#DIV/0!</v>
      </c>
      <c r="X73" s="338" t="e">
        <f t="shared" si="12"/>
        <v>#DIV/0!</v>
      </c>
    </row>
    <row r="74" spans="2:26" ht="13.8" x14ac:dyDescent="0.3">
      <c r="B74" s="296"/>
      <c r="C74" s="296" t="s">
        <v>222</v>
      </c>
      <c r="D74" s="296">
        <v>0</v>
      </c>
      <c r="E74" s="296" t="s">
        <v>206</v>
      </c>
      <c r="F74" s="296" t="s">
        <v>211</v>
      </c>
      <c r="G74" s="297"/>
      <c r="H74" s="297"/>
      <c r="I74" s="326">
        <v>0</v>
      </c>
      <c r="J74" s="267"/>
      <c r="K74" s="267"/>
      <c r="L74" s="291" t="e">
        <f t="shared" si="14"/>
        <v>#DIV/0!</v>
      </c>
      <c r="M74" s="291" t="e">
        <f t="shared" si="14"/>
        <v>#DIV/0!</v>
      </c>
      <c r="N74" s="218">
        <f t="shared" si="15"/>
        <v>0</v>
      </c>
      <c r="O74" s="218">
        <f t="shared" si="16"/>
        <v>0</v>
      </c>
      <c r="P74" s="218">
        <f>IF(K74=0, 0, (HLOOKUP(K74,'[1]E-CESTDWO'!$A$5:$O$35,J74+1,FALSE)*R24))</f>
        <v>0</v>
      </c>
      <c r="Q74" s="218">
        <f>IF(K74=0, 0, (HLOOKUP(K74,'[1]E-CESTD'!$A$5:$O$35,J74+1,FALSE)*R24))</f>
        <v>0</v>
      </c>
      <c r="R74" s="292">
        <v>1.081</v>
      </c>
      <c r="S74" s="293">
        <f t="shared" si="17"/>
        <v>0</v>
      </c>
      <c r="T74" s="293">
        <f t="shared" si="17"/>
        <v>0</v>
      </c>
      <c r="U74" s="293">
        <f t="shared" si="17"/>
        <v>0</v>
      </c>
      <c r="V74" s="338" t="e">
        <f t="shared" si="11"/>
        <v>#DIV/0!</v>
      </c>
      <c r="W74" s="338" t="e">
        <f t="shared" si="10"/>
        <v>#DIV/0!</v>
      </c>
      <c r="X74" s="338" t="e">
        <f t="shared" si="12"/>
        <v>#DIV/0!</v>
      </c>
    </row>
    <row r="75" spans="2:26" ht="13.8" x14ac:dyDescent="0.3">
      <c r="B75" s="296"/>
      <c r="C75" s="296" t="s">
        <v>223</v>
      </c>
      <c r="D75" s="296">
        <v>0</v>
      </c>
      <c r="E75" s="296" t="s">
        <v>206</v>
      </c>
      <c r="F75" s="296" t="s">
        <v>211</v>
      </c>
      <c r="G75" s="297"/>
      <c r="H75" s="297"/>
      <c r="I75" s="326">
        <v>0</v>
      </c>
      <c r="J75" s="267"/>
      <c r="K75" s="267"/>
      <c r="L75" s="291" t="e">
        <f t="shared" si="14"/>
        <v>#DIV/0!</v>
      </c>
      <c r="M75" s="291" t="e">
        <f t="shared" si="14"/>
        <v>#DIV/0!</v>
      </c>
      <c r="N75" s="218">
        <f t="shared" si="15"/>
        <v>0</v>
      </c>
      <c r="O75" s="218">
        <f t="shared" si="16"/>
        <v>0</v>
      </c>
      <c r="P75" s="218">
        <f>IF(K75=0, 0, (HLOOKUP(K75,'[1]E-CESTDWO'!$A$5:$O$35,J75+1,FALSE)*R25))</f>
        <v>0</v>
      </c>
      <c r="Q75" s="218">
        <f>IF(K75=0, 0, (HLOOKUP(K75,'[1]E-CESTD'!$A$5:$O$35,J75+1,FALSE)*R25))</f>
        <v>0</v>
      </c>
      <c r="R75" s="292">
        <v>1.081</v>
      </c>
      <c r="S75" s="293">
        <f t="shared" si="17"/>
        <v>0</v>
      </c>
      <c r="T75" s="293">
        <f t="shared" si="17"/>
        <v>0</v>
      </c>
      <c r="U75" s="293">
        <f t="shared" si="17"/>
        <v>0</v>
      </c>
      <c r="V75" s="338" t="e">
        <f t="shared" si="11"/>
        <v>#DIV/0!</v>
      </c>
      <c r="W75" s="338" t="e">
        <f t="shared" si="10"/>
        <v>#DIV/0!</v>
      </c>
      <c r="X75" s="338" t="e">
        <f t="shared" si="12"/>
        <v>#DIV/0!</v>
      </c>
    </row>
    <row r="76" spans="2:26" ht="13.8" x14ac:dyDescent="0.3">
      <c r="B76" s="296"/>
      <c r="C76" s="296" t="s">
        <v>224</v>
      </c>
      <c r="D76" s="296">
        <v>0</v>
      </c>
      <c r="E76" s="296" t="s">
        <v>206</v>
      </c>
      <c r="F76" s="296" t="s">
        <v>211</v>
      </c>
      <c r="G76" s="297"/>
      <c r="H76" s="297"/>
      <c r="I76" s="326">
        <v>0</v>
      </c>
      <c r="J76" s="267"/>
      <c r="K76" s="267"/>
      <c r="L76" s="291" t="e">
        <f t="shared" si="14"/>
        <v>#DIV/0!</v>
      </c>
      <c r="M76" s="291" t="e">
        <f t="shared" si="14"/>
        <v>#DIV/0!</v>
      </c>
      <c r="N76" s="218">
        <f t="shared" si="15"/>
        <v>0</v>
      </c>
      <c r="O76" s="218">
        <f t="shared" si="16"/>
        <v>0</v>
      </c>
      <c r="P76" s="218">
        <f>IF(K76=0, 0, (HLOOKUP(K76,'[1]E-CESTDWO'!$A$5:$O$35,J76+1,FALSE)*R26))</f>
        <v>0</v>
      </c>
      <c r="Q76" s="218">
        <f>IF(K76=0, 0, (HLOOKUP(K76,'[1]E-CESTD'!$A$5:$O$35,J76+1,FALSE)*R26))</f>
        <v>0</v>
      </c>
      <c r="R76" s="292">
        <v>1.081</v>
      </c>
      <c r="S76" s="293">
        <f t="shared" si="17"/>
        <v>0</v>
      </c>
      <c r="T76" s="293">
        <f t="shared" si="17"/>
        <v>0</v>
      </c>
      <c r="U76" s="293">
        <f t="shared" si="17"/>
        <v>0</v>
      </c>
      <c r="V76" s="338" t="e">
        <f t="shared" si="11"/>
        <v>#DIV/0!</v>
      </c>
      <c r="W76" s="338" t="e">
        <f t="shared" si="10"/>
        <v>#DIV/0!</v>
      </c>
      <c r="X76" s="338" t="e">
        <f t="shared" si="12"/>
        <v>#DIV/0!</v>
      </c>
    </row>
    <row r="77" spans="2:26" ht="13.8" x14ac:dyDescent="0.3">
      <c r="B77" s="296"/>
      <c r="C77" s="296" t="s">
        <v>225</v>
      </c>
      <c r="D77" s="296">
        <v>0</v>
      </c>
      <c r="E77" s="296" t="s">
        <v>206</v>
      </c>
      <c r="F77" s="296" t="s">
        <v>211</v>
      </c>
      <c r="G77" s="297"/>
      <c r="H77" s="297"/>
      <c r="I77" s="326">
        <v>0</v>
      </c>
      <c r="J77" s="267"/>
      <c r="K77" s="267"/>
      <c r="L77" s="291" t="e">
        <f t="shared" si="14"/>
        <v>#DIV/0!</v>
      </c>
      <c r="M77" s="291" t="e">
        <f t="shared" si="14"/>
        <v>#DIV/0!</v>
      </c>
      <c r="N77" s="218">
        <f t="shared" si="15"/>
        <v>0</v>
      </c>
      <c r="O77" s="218">
        <f t="shared" si="16"/>
        <v>0</v>
      </c>
      <c r="P77" s="218">
        <f>IF(K77=0, 0, (HLOOKUP(K77,'[1]E-CESTDWO'!$A$5:$O$35,J77+1,FALSE)*R27))</f>
        <v>0</v>
      </c>
      <c r="Q77" s="218">
        <f>IF(K77=0, 0, (HLOOKUP(K77,'[1]E-CESTD'!$A$5:$O$35,J77+1,FALSE)*R27))</f>
        <v>0</v>
      </c>
      <c r="R77" s="292">
        <v>1.081</v>
      </c>
      <c r="S77" s="293">
        <f t="shared" si="17"/>
        <v>0</v>
      </c>
      <c r="T77" s="293">
        <f t="shared" si="17"/>
        <v>0</v>
      </c>
      <c r="U77" s="293">
        <f t="shared" si="17"/>
        <v>0</v>
      </c>
      <c r="V77" s="338" t="e">
        <f t="shared" si="11"/>
        <v>#DIV/0!</v>
      </c>
      <c r="W77" s="338" t="e">
        <f t="shared" si="10"/>
        <v>#DIV/0!</v>
      </c>
      <c r="X77" s="338" t="e">
        <f t="shared" si="12"/>
        <v>#DIV/0!</v>
      </c>
    </row>
    <row r="78" spans="2:26" ht="13.8" x14ac:dyDescent="0.3">
      <c r="B78" s="296"/>
      <c r="C78" s="296" t="s">
        <v>226</v>
      </c>
      <c r="D78" s="296">
        <v>0</v>
      </c>
      <c r="E78" s="296" t="s">
        <v>206</v>
      </c>
      <c r="F78" s="296" t="s">
        <v>211</v>
      </c>
      <c r="G78" s="297"/>
      <c r="H78" s="297"/>
      <c r="I78" s="326">
        <v>0</v>
      </c>
      <c r="J78" s="267"/>
      <c r="K78" s="267"/>
      <c r="L78" s="291" t="e">
        <f t="shared" si="14"/>
        <v>#DIV/0!</v>
      </c>
      <c r="M78" s="291" t="e">
        <f t="shared" si="14"/>
        <v>#DIV/0!</v>
      </c>
      <c r="N78" s="218">
        <f t="shared" si="15"/>
        <v>0</v>
      </c>
      <c r="O78" s="218">
        <f t="shared" si="16"/>
        <v>0</v>
      </c>
      <c r="P78" s="218">
        <f>IF(K78=0, 0, (HLOOKUP(K78,'[1]E-CESTDWO'!$A$5:$O$35,J78+1,FALSE)*R28))</f>
        <v>0</v>
      </c>
      <c r="Q78" s="218">
        <f>IF(K78=0, 0, (HLOOKUP(K78,'[1]E-CESTD'!$A$5:$O$35,J78+1,FALSE)*R28))</f>
        <v>0</v>
      </c>
      <c r="R78" s="292">
        <v>1.081</v>
      </c>
      <c r="S78" s="293">
        <f t="shared" ref="S78:U103" si="18">M28*$H78</f>
        <v>0</v>
      </c>
      <c r="T78" s="293">
        <f t="shared" si="18"/>
        <v>0</v>
      </c>
      <c r="U78" s="293">
        <f t="shared" si="18"/>
        <v>0</v>
      </c>
      <c r="V78" s="338" t="e">
        <f t="shared" si="11"/>
        <v>#DIV/0!</v>
      </c>
      <c r="W78" s="338" t="e">
        <f t="shared" si="10"/>
        <v>#DIV/0!</v>
      </c>
      <c r="X78" s="338" t="e">
        <f t="shared" si="12"/>
        <v>#DIV/0!</v>
      </c>
    </row>
    <row r="79" spans="2:26" ht="13.8" x14ac:dyDescent="0.3">
      <c r="B79" s="296"/>
      <c r="C79" s="296" t="s">
        <v>227</v>
      </c>
      <c r="D79" s="296">
        <v>0</v>
      </c>
      <c r="E79" s="296" t="s">
        <v>206</v>
      </c>
      <c r="F79" s="296" t="s">
        <v>211</v>
      </c>
      <c r="G79" s="297"/>
      <c r="H79" s="297"/>
      <c r="I79" s="326">
        <v>0</v>
      </c>
      <c r="J79" s="267"/>
      <c r="K79" s="267"/>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8"/>
        <v>0</v>
      </c>
      <c r="T79" s="293">
        <f t="shared" si="18"/>
        <v>0</v>
      </c>
      <c r="U79" s="293">
        <f t="shared" si="18"/>
        <v>0</v>
      </c>
      <c r="V79" s="338" t="e">
        <f t="shared" si="11"/>
        <v>#DIV/0!</v>
      </c>
      <c r="W79" s="338" t="e">
        <f t="shared" si="10"/>
        <v>#DIV/0!</v>
      </c>
      <c r="X79" s="338" t="e">
        <f t="shared" si="12"/>
        <v>#DIV/0!</v>
      </c>
    </row>
    <row r="80" spans="2:26" ht="13.8" x14ac:dyDescent="0.3">
      <c r="B80" s="296"/>
      <c r="C80" s="296" t="s">
        <v>228</v>
      </c>
      <c r="D80" s="296">
        <v>0</v>
      </c>
      <c r="E80" s="296" t="s">
        <v>206</v>
      </c>
      <c r="F80" s="296" t="s">
        <v>211</v>
      </c>
      <c r="G80" s="297"/>
      <c r="H80" s="297"/>
      <c r="I80" s="326">
        <v>0</v>
      </c>
      <c r="J80" s="267"/>
      <c r="K80" s="267"/>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8"/>
        <v>0</v>
      </c>
      <c r="T80" s="293">
        <f t="shared" si="18"/>
        <v>0</v>
      </c>
      <c r="U80" s="293">
        <f t="shared" si="18"/>
        <v>0</v>
      </c>
      <c r="V80" s="338" t="e">
        <f t="shared" si="11"/>
        <v>#DIV/0!</v>
      </c>
      <c r="W80" s="338" t="e">
        <f t="shared" si="10"/>
        <v>#DIV/0!</v>
      </c>
      <c r="X80" s="338" t="e">
        <f t="shared" si="12"/>
        <v>#DIV/0!</v>
      </c>
    </row>
    <row r="81" spans="2:21" ht="13.8" x14ac:dyDescent="0.3">
      <c r="B81" s="296"/>
      <c r="C81" s="296" t="s">
        <v>229</v>
      </c>
      <c r="D81" s="296">
        <v>0</v>
      </c>
      <c r="E81" s="296" t="s">
        <v>206</v>
      </c>
      <c r="F81" s="296" t="s">
        <v>211</v>
      </c>
      <c r="G81" s="297"/>
      <c r="H81" s="297"/>
      <c r="I81" s="326">
        <v>0</v>
      </c>
      <c r="J81" s="267"/>
      <c r="K81" s="267"/>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8"/>
        <v>0</v>
      </c>
      <c r="T81" s="293">
        <f t="shared" si="18"/>
        <v>0</v>
      </c>
      <c r="U81" s="293">
        <f t="shared" si="18"/>
        <v>0</v>
      </c>
    </row>
    <row r="82" spans="2:21" ht="13.8" x14ac:dyDescent="0.3">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8"/>
        <v>0</v>
      </c>
      <c r="T82" s="293">
        <f t="shared" si="18"/>
        <v>0</v>
      </c>
      <c r="U82" s="293">
        <f t="shared" si="18"/>
        <v>0</v>
      </c>
    </row>
    <row r="83" spans="2:21" ht="13.8" x14ac:dyDescent="0.3">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8"/>
        <v>0</v>
      </c>
      <c r="T83" s="293">
        <f t="shared" si="18"/>
        <v>0</v>
      </c>
      <c r="U83" s="293">
        <f t="shared" si="18"/>
        <v>0</v>
      </c>
    </row>
    <row r="84" spans="2:21" ht="13.8" x14ac:dyDescent="0.3">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8"/>
        <v>0</v>
      </c>
      <c r="T84" s="293">
        <f t="shared" si="18"/>
        <v>0</v>
      </c>
      <c r="U84" s="293">
        <f t="shared" si="18"/>
        <v>0</v>
      </c>
    </row>
    <row r="85" spans="2:21" ht="13.8" x14ac:dyDescent="0.3">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8"/>
        <v>0</v>
      </c>
      <c r="T85" s="293">
        <f t="shared" si="18"/>
        <v>0</v>
      </c>
      <c r="U85" s="293">
        <f t="shared" si="18"/>
        <v>0</v>
      </c>
    </row>
    <row r="86" spans="2:21" ht="13.8" x14ac:dyDescent="0.3">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8"/>
        <v>0</v>
      </c>
      <c r="T86" s="293">
        <f t="shared" si="18"/>
        <v>0</v>
      </c>
      <c r="U86" s="293">
        <f t="shared" si="18"/>
        <v>0</v>
      </c>
    </row>
    <row r="87" spans="2:21" ht="13.8" x14ac:dyDescent="0.3">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8"/>
        <v>0</v>
      </c>
      <c r="T87" s="293">
        <f t="shared" si="18"/>
        <v>0</v>
      </c>
      <c r="U87" s="293">
        <f t="shared" si="18"/>
        <v>0</v>
      </c>
    </row>
    <row r="88" spans="2:21" ht="13.8" x14ac:dyDescent="0.3">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8"/>
        <v>0</v>
      </c>
      <c r="T88" s="293">
        <f t="shared" si="18"/>
        <v>0</v>
      </c>
      <c r="U88" s="293">
        <f t="shared" si="18"/>
        <v>0</v>
      </c>
    </row>
    <row r="89" spans="2:21" ht="13.8" x14ac:dyDescent="0.3">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8"/>
        <v>0</v>
      </c>
      <c r="T89" s="293">
        <f t="shared" si="18"/>
        <v>0</v>
      </c>
      <c r="U89" s="293">
        <f t="shared" si="18"/>
        <v>0</v>
      </c>
    </row>
    <row r="90" spans="2:21" ht="13.8" x14ac:dyDescent="0.3">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8"/>
        <v>0</v>
      </c>
      <c r="T90" s="293">
        <f t="shared" si="18"/>
        <v>0</v>
      </c>
      <c r="U90" s="293">
        <f t="shared" si="18"/>
        <v>0</v>
      </c>
    </row>
    <row r="91" spans="2:21" ht="13.8" x14ac:dyDescent="0.3">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8"/>
        <v>0</v>
      </c>
      <c r="T91" s="293">
        <f t="shared" si="18"/>
        <v>0</v>
      </c>
      <c r="U91" s="293">
        <f t="shared" si="18"/>
        <v>0</v>
      </c>
    </row>
    <row r="92" spans="2:21" ht="13.8" x14ac:dyDescent="0.3">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8"/>
        <v>0</v>
      </c>
      <c r="T92" s="293">
        <f t="shared" si="18"/>
        <v>0</v>
      </c>
      <c r="U92" s="293">
        <f t="shared" si="18"/>
        <v>0</v>
      </c>
    </row>
    <row r="93" spans="2:21" ht="13.8" x14ac:dyDescent="0.3">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8"/>
        <v>0</v>
      </c>
      <c r="T93" s="293">
        <f t="shared" si="18"/>
        <v>0</v>
      </c>
      <c r="U93" s="293">
        <f t="shared" si="18"/>
        <v>0</v>
      </c>
    </row>
    <row r="94" spans="2:21" ht="13.8" x14ac:dyDescent="0.3">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8"/>
        <v>0</v>
      </c>
      <c r="T94" s="293">
        <f t="shared" si="18"/>
        <v>0</v>
      </c>
      <c r="U94" s="293">
        <f t="shared" si="18"/>
        <v>0</v>
      </c>
    </row>
    <row r="95" spans="2:21" ht="13.8" x14ac:dyDescent="0.3">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8"/>
        <v>0</v>
      </c>
      <c r="T95" s="293">
        <f t="shared" si="18"/>
        <v>0</v>
      </c>
      <c r="U95" s="293">
        <f t="shared" si="18"/>
        <v>0</v>
      </c>
    </row>
    <row r="96" spans="2:21" ht="13.8" x14ac:dyDescent="0.3">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8"/>
        <v>0</v>
      </c>
      <c r="T96" s="293">
        <f t="shared" si="18"/>
        <v>0</v>
      </c>
      <c r="U96" s="293">
        <f t="shared" si="18"/>
        <v>0</v>
      </c>
    </row>
    <row r="97" spans="2:21" ht="13.8" x14ac:dyDescent="0.3">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8"/>
        <v>0</v>
      </c>
      <c r="T97" s="293">
        <f t="shared" si="18"/>
        <v>0</v>
      </c>
      <c r="U97" s="293">
        <f t="shared" si="18"/>
        <v>0</v>
      </c>
    </row>
    <row r="98" spans="2:21" ht="13.8" x14ac:dyDescent="0.3">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8"/>
        <v>0</v>
      </c>
      <c r="T98" s="293">
        <f t="shared" si="18"/>
        <v>0</v>
      </c>
      <c r="U98" s="293">
        <f t="shared" si="18"/>
        <v>0</v>
      </c>
    </row>
    <row r="99" spans="2:21" ht="13.8" x14ac:dyDescent="0.3">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8"/>
        <v>0</v>
      </c>
      <c r="T99" s="293">
        <f t="shared" si="18"/>
        <v>0</v>
      </c>
      <c r="U99" s="293">
        <f t="shared" si="18"/>
        <v>0</v>
      </c>
    </row>
    <row r="100" spans="2:21" ht="13.8" x14ac:dyDescent="0.3">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8"/>
        <v>0</v>
      </c>
      <c r="T100" s="293">
        <f t="shared" si="18"/>
        <v>0</v>
      </c>
      <c r="U100" s="293">
        <f t="shared" si="18"/>
        <v>0</v>
      </c>
    </row>
    <row r="101" spans="2:21" ht="13.8" x14ac:dyDescent="0.3">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8"/>
        <v>0</v>
      </c>
      <c r="T101" s="293">
        <f t="shared" si="18"/>
        <v>0</v>
      </c>
      <c r="U101" s="293">
        <f t="shared" si="18"/>
        <v>0</v>
      </c>
    </row>
    <row r="102" spans="2:21" ht="13.8" x14ac:dyDescent="0.3">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8"/>
        <v>0</v>
      </c>
      <c r="T102" s="293">
        <f t="shared" si="18"/>
        <v>0</v>
      </c>
      <c r="U102" s="293">
        <f t="shared" si="18"/>
        <v>0</v>
      </c>
    </row>
    <row r="103" spans="2:21" ht="14.4" thickBot="1" x14ac:dyDescent="0.35">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8"/>
        <v>0</v>
      </c>
      <c r="T103" s="293">
        <f t="shared" si="18"/>
        <v>0</v>
      </c>
      <c r="U103" s="293">
        <f t="shared" si="18"/>
        <v>0</v>
      </c>
    </row>
    <row r="104" spans="2:21" ht="14.4" thickBot="1" x14ac:dyDescent="0.35">
      <c r="G104" s="300">
        <f>SUMPRODUCT(G62:G103,O12:O53)</f>
        <v>12806828</v>
      </c>
      <c r="H104" s="301">
        <f>U104</f>
        <v>4251250</v>
      </c>
      <c r="I104" s="302">
        <f>SUM(I62:I103)</f>
        <v>1</v>
      </c>
      <c r="J104" s="303">
        <f>ROUND(SUMPRODUCT(J62:J103,R12:R53)/R54,0)</f>
        <v>20</v>
      </c>
      <c r="K104" s="274"/>
      <c r="L104" s="304">
        <f>P104/N104</f>
        <v>4.2955725449309403</v>
      </c>
      <c r="M104" s="305">
        <f>Q104/O104</f>
        <v>1.8182150402895412</v>
      </c>
      <c r="N104" s="306">
        <f>SUM(N62:N103)</f>
        <v>4950358.0309898239</v>
      </c>
      <c r="O104" s="306">
        <f>SUM(O62:O103)</f>
        <v>12864861.268732654</v>
      </c>
      <c r="P104" s="306">
        <f>SUM(P62:P103)</f>
        <v>21264622.045498278</v>
      </c>
      <c r="Q104" s="306">
        <f>SUM(Q62:Q103)</f>
        <v>23391084.250048101</v>
      </c>
      <c r="R104" s="307"/>
      <c r="S104" s="308">
        <f>SUM(S62:S103)</f>
        <v>2093100</v>
      </c>
      <c r="T104" s="308">
        <f>SUM(T62:T103)</f>
        <v>2158150</v>
      </c>
      <c r="U104" s="308">
        <f>SUM(U62:U103)</f>
        <v>4251250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8" right="0.2" top="0.35" bottom="0.33" header="0.3" footer="0.3"/>
  <pageSetup paperSize="17" scale="51"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B68" activePane="bottomRight" state="frozen"/>
      <selection pane="topRight" activeCell="B1" sqref="B1"/>
      <selection pane="bottomLeft" activeCell="A2" sqref="A2"/>
      <selection pane="bottomRight" activeCell="A3" sqref="A3"/>
    </sheetView>
  </sheetViews>
  <sheetFormatPr defaultRowHeight="13.2" x14ac:dyDescent="0.25"/>
  <cols>
    <col min="1" max="1" width="16.5546875" style="3369" customWidth="1"/>
    <col min="2" max="2" width="19.88671875" customWidth="1"/>
    <col min="3" max="3" width="30.88671875" customWidth="1"/>
    <col min="4" max="4" width="16.5546875" style="19" customWidth="1"/>
    <col min="5" max="5" width="16.5546875" customWidth="1"/>
    <col min="6" max="6" width="17.332031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1.4414062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1.4414062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1.4414062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1.4414062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1.4414062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1.4414062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1.4414062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1.4414062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1.4414062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1.4414062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1.4414062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1.4414062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1.4414062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1.4414062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1.4414062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1.4414062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1.4414062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1.4414062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1.4414062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1.4414062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1.4414062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1.4414062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1.4414062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1.4414062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1.4414062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1.4414062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1.4414062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1.4414062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1.4414062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1.4414062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1.4414062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1.4414062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1.4414062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1.4414062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1.4414062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1.4414062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1.4414062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1.4414062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1.4414062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1.4414062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1.4414062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1.4414062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1.4414062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1.4414062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1.4414062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1.4414062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1.4414062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1.4414062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1.4414062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1.4414062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1.4414062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1.4414062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1.4414062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1.4414062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1.4414062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1.4414062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1.4414062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1.4414062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1.4414062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1.4414062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1.4414062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1.4414062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1.4414062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18230409</v>
      </c>
      <c r="H1" s="202" t="str">
        <f>C4</f>
        <v>Refrigerator Replacement Program</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18230409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413</v>
      </c>
      <c r="F4" s="202">
        <v>2011</v>
      </c>
      <c r="G4" s="210">
        <f>B12</f>
        <v>0</v>
      </c>
      <c r="H4" s="211">
        <f>B17</f>
        <v>0</v>
      </c>
      <c r="I4" s="211">
        <f>B22</f>
        <v>0</v>
      </c>
      <c r="J4" s="211">
        <f>B27</f>
        <v>0</v>
      </c>
      <c r="K4" s="211">
        <f>B32</f>
        <v>0</v>
      </c>
      <c r="L4" s="211">
        <f>B37</f>
        <v>0</v>
      </c>
      <c r="M4" s="211">
        <f>B42</f>
        <v>0</v>
      </c>
      <c r="N4" s="211">
        <f>B47</f>
        <v>0</v>
      </c>
      <c r="O4" s="211">
        <f>B52</f>
        <v>0</v>
      </c>
      <c r="P4" s="211">
        <f>B53</f>
        <v>0</v>
      </c>
      <c r="Q4" s="213">
        <f>B54</f>
        <v>0</v>
      </c>
      <c r="R4" s="214">
        <f>T54</f>
        <v>0</v>
      </c>
      <c r="S4" s="331" t="e">
        <f>O4/Q4</f>
        <v>#DIV/0!</v>
      </c>
      <c r="T4" s="331" t="e">
        <f>(J4+(H4*1.63))/Q4</f>
        <v>#DIV/0!</v>
      </c>
      <c r="U4" s="331" t="e">
        <f>L4/Q4</f>
        <v>#DIV/0!</v>
      </c>
      <c r="V4" s="216" t="e">
        <f>Q4/R4</f>
        <v>#DIV/0!</v>
      </c>
    </row>
    <row r="5" spans="2:22" ht="16.2" thickBot="1" x14ac:dyDescent="0.35">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220">
        <f>P54</f>
        <v>0</v>
      </c>
      <c r="S5" s="332" t="e">
        <f>O5/Q5</f>
        <v>#DIV/0!</v>
      </c>
      <c r="T5" s="332" t="e">
        <f>(J5+(H5*1.63))/Q5</f>
        <v>#DIV/0!</v>
      </c>
      <c r="U5" s="332" t="e">
        <f>L5/Q5</f>
        <v>#DIV/0!</v>
      </c>
      <c r="V5" s="222" t="e">
        <f>Q5/R5</f>
        <v>#DIV/0!</v>
      </c>
    </row>
    <row r="6" spans="2:22" ht="16.2" thickBot="1" x14ac:dyDescent="0.35">
      <c r="C6" s="202" t="s">
        <v>414</v>
      </c>
      <c r="F6" s="202">
        <v>2013</v>
      </c>
      <c r="G6" s="223">
        <f>E12</f>
        <v>0</v>
      </c>
      <c r="H6" s="224">
        <f>E17</f>
        <v>0</v>
      </c>
      <c r="I6" s="224">
        <f>E22</f>
        <v>0</v>
      </c>
      <c r="J6" s="224">
        <f>E27</f>
        <v>0</v>
      </c>
      <c r="K6" s="224">
        <f>E32</f>
        <v>0</v>
      </c>
      <c r="L6" s="224">
        <f>E37</f>
        <v>0</v>
      </c>
      <c r="M6" s="224">
        <f>E42</f>
        <v>0</v>
      </c>
      <c r="N6" s="224">
        <f>E47</f>
        <v>0</v>
      </c>
      <c r="O6" s="224">
        <f>E52</f>
        <v>0</v>
      </c>
      <c r="P6" s="224">
        <f>E53</f>
        <v>0</v>
      </c>
      <c r="Q6" s="225">
        <f>SUM(G6:P6)</f>
        <v>0</v>
      </c>
      <c r="R6" s="226">
        <f>Q54</f>
        <v>0</v>
      </c>
      <c r="S6" s="332" t="e">
        <f>O6/Q6</f>
        <v>#DIV/0!</v>
      </c>
      <c r="T6" s="332" t="e">
        <f>(J6+(H6*1.63))/Q6</f>
        <v>#DIV/0!</v>
      </c>
      <c r="U6" s="332" t="e">
        <f>L6/Q6</f>
        <v>#DIV/0!</v>
      </c>
      <c r="V6" s="222" t="e">
        <f>Q6/R6</f>
        <v>#DIV/0!</v>
      </c>
    </row>
    <row r="7" spans="2:22" ht="16.2" thickBot="1" x14ac:dyDescent="0.35">
      <c r="C7" s="227" t="s">
        <v>415</v>
      </c>
      <c r="F7" s="228" t="s">
        <v>140</v>
      </c>
      <c r="G7" s="229">
        <f>SUM(G5:G6)</f>
        <v>0</v>
      </c>
      <c r="H7" s="229">
        <f t="shared" ref="H7:P7" si="0">SUM(H5:H6)</f>
        <v>0</v>
      </c>
      <c r="I7" s="229">
        <f t="shared" si="0"/>
        <v>0</v>
      </c>
      <c r="J7" s="229">
        <f t="shared" si="0"/>
        <v>0</v>
      </c>
      <c r="K7" s="229">
        <f t="shared" si="0"/>
        <v>0</v>
      </c>
      <c r="L7" s="229">
        <f t="shared" si="0"/>
        <v>0</v>
      </c>
      <c r="M7" s="229">
        <f t="shared" si="0"/>
        <v>0</v>
      </c>
      <c r="N7" s="229">
        <f t="shared" si="0"/>
        <v>0</v>
      </c>
      <c r="O7" s="229">
        <f t="shared" si="0"/>
        <v>0</v>
      </c>
      <c r="P7" s="229">
        <f t="shared" si="0"/>
        <v>0</v>
      </c>
      <c r="Q7" s="230">
        <f>SUM(G7:P7)</f>
        <v>0</v>
      </c>
      <c r="R7" s="231">
        <f>R54</f>
        <v>0</v>
      </c>
      <c r="S7" s="332" t="e">
        <f>O7/Q7</f>
        <v>#DIV/0!</v>
      </c>
      <c r="T7" s="332" t="e">
        <f>(J7+(H7*1.63))/Q7</f>
        <v>#DIV/0!</v>
      </c>
      <c r="U7" s="332" t="e">
        <f>L7/Q7</f>
        <v>#DIV/0!</v>
      </c>
      <c r="V7" s="222" t="e">
        <f>Q7/R7</f>
        <v>#DIV/0!</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0</v>
      </c>
      <c r="C12" s="244" t="s">
        <v>161</v>
      </c>
      <c r="D12" s="245">
        <f>SUM(D13:D16)</f>
        <v>0</v>
      </c>
      <c r="E12" s="245">
        <f>SUM(E13:E16)</f>
        <v>0</v>
      </c>
      <c r="F12" s="246">
        <f>D12+E12</f>
        <v>0</v>
      </c>
      <c r="H12" s="135"/>
      <c r="I12" s="247" t="str">
        <f t="shared" ref="I12:I53" si="1">C62</f>
        <v>Measure 1</v>
      </c>
      <c r="J12" s="248"/>
      <c r="K12" s="249"/>
      <c r="L12" s="250">
        <f t="shared" ref="L12:L53" si="2">D62</f>
        <v>0</v>
      </c>
      <c r="M12" s="267">
        <v>0</v>
      </c>
      <c r="N12" s="267">
        <v>0</v>
      </c>
      <c r="O12" s="252">
        <f>M12+N12</f>
        <v>0</v>
      </c>
      <c r="P12" s="253">
        <f t="shared" ref="P12:R27" si="3">M12*$D62</f>
        <v>0</v>
      </c>
      <c r="Q12" s="253">
        <f t="shared" si="3"/>
        <v>0</v>
      </c>
      <c r="R12" s="254">
        <f t="shared" si="3"/>
        <v>0</v>
      </c>
      <c r="T12" s="309">
        <v>0</v>
      </c>
    </row>
    <row r="13" spans="2:22" ht="13.8" x14ac:dyDescent="0.3">
      <c r="B13" s="256"/>
      <c r="C13" s="257" t="s">
        <v>162</v>
      </c>
      <c r="D13" s="258">
        <v>0</v>
      </c>
      <c r="E13" s="258"/>
      <c r="F13" s="258">
        <f>SUM(D13:E13)</f>
        <v>0</v>
      </c>
      <c r="H13" s="135"/>
      <c r="I13" s="259" t="str">
        <f t="shared" si="1"/>
        <v>Measure 2</v>
      </c>
      <c r="J13" s="260"/>
      <c r="K13" s="261"/>
      <c r="L13" s="250">
        <f t="shared" si="2"/>
        <v>0</v>
      </c>
      <c r="M13" s="267">
        <v>0</v>
      </c>
      <c r="N13" s="267">
        <v>0</v>
      </c>
      <c r="O13" s="252">
        <f t="shared" ref="O13:O53" si="4">M13+N13</f>
        <v>0</v>
      </c>
      <c r="P13" s="253">
        <f t="shared" si="3"/>
        <v>0</v>
      </c>
      <c r="Q13" s="253">
        <f t="shared" si="3"/>
        <v>0</v>
      </c>
      <c r="R13" s="254">
        <f t="shared" si="3"/>
        <v>0</v>
      </c>
      <c r="T13" s="263">
        <v>0</v>
      </c>
    </row>
    <row r="14" spans="2:22" ht="13.8" x14ac:dyDescent="0.3">
      <c r="B14" s="264"/>
      <c r="C14" s="265" t="s">
        <v>163</v>
      </c>
      <c r="D14" s="266">
        <v>0</v>
      </c>
      <c r="E14" s="266"/>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ht="13.8" x14ac:dyDescent="0.3">
      <c r="B15" s="264"/>
      <c r="C15" s="265" t="s">
        <v>164</v>
      </c>
      <c r="D15" s="268">
        <v>0</v>
      </c>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4.4" thickBot="1" x14ac:dyDescent="0.35">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72">
        <v>0</v>
      </c>
      <c r="C17" s="244" t="s">
        <v>166</v>
      </c>
      <c r="D17" s="245">
        <f>SUM(D18:D21)</f>
        <v>0</v>
      </c>
      <c r="E17" s="245">
        <f>SUM(E18:E21)</f>
        <v>0</v>
      </c>
      <c r="F17" s="246">
        <f>D17+E17</f>
        <v>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257" t="s">
        <v>162</v>
      </c>
      <c r="D18" s="258">
        <v>0</v>
      </c>
      <c r="E18" s="258"/>
      <c r="F18" s="258">
        <f t="shared" si="5"/>
        <v>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0</v>
      </c>
      <c r="C22" s="244" t="s">
        <v>167</v>
      </c>
      <c r="D22" s="245">
        <f>SUM(D23:D26)</f>
        <v>0</v>
      </c>
      <c r="E22" s="245">
        <f>SUM(E23:E26)</f>
        <v>0</v>
      </c>
      <c r="F22" s="246">
        <f>D22+E22</f>
        <v>0</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0</v>
      </c>
      <c r="E23" s="258">
        <f>0.63*E12</f>
        <v>0</v>
      </c>
      <c r="F23" s="258">
        <f t="shared" si="5"/>
        <v>0</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0</v>
      </c>
      <c r="E24" s="266">
        <f>0.63*E17</f>
        <v>0</v>
      </c>
      <c r="F24" s="258">
        <f t="shared" si="5"/>
        <v>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v>0</v>
      </c>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0</v>
      </c>
      <c r="E33" s="266"/>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72">
        <v>0</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0</v>
      </c>
      <c r="C54" s="274" t="s">
        <v>178</v>
      </c>
      <c r="D54" s="273">
        <f>D12+D17+D22+D27+D32+D37+D42+D47+D52+D53</f>
        <v>0</v>
      </c>
      <c r="E54" s="273">
        <f>E12+E17+E22+E27+E32+E37+E42+E47+E52+E53</f>
        <v>0</v>
      </c>
      <c r="F54" s="273">
        <f>F12+F17+F22+F27+F32+F37+F42+F47+F52+F53</f>
        <v>0</v>
      </c>
      <c r="P54" s="275">
        <f>SUM(P12:P53)</f>
        <v>0</v>
      </c>
      <c r="Q54" s="275">
        <f>SUM(Q12:Q53)</f>
        <v>0</v>
      </c>
      <c r="R54" s="275">
        <f>SUM(R12:R53)</f>
        <v>0</v>
      </c>
      <c r="T54" s="275">
        <f>SUM(T12:T53)</f>
        <v>0</v>
      </c>
    </row>
    <row r="55" spans="2:24" ht="13.8" x14ac:dyDescent="0.3">
      <c r="C55" s="274"/>
      <c r="D55" s="273"/>
      <c r="E55" s="273"/>
      <c r="F55" s="273"/>
    </row>
    <row r="56" spans="2:24" ht="13.8" x14ac:dyDescent="0.3">
      <c r="C56" s="274" t="s">
        <v>179</v>
      </c>
      <c r="D56" s="273">
        <f>D54-D52</f>
        <v>0</v>
      </c>
      <c r="E56" s="273">
        <f>E54-E52</f>
        <v>0</v>
      </c>
      <c r="F56" s="273">
        <f>F54-F52</f>
        <v>0</v>
      </c>
    </row>
    <row r="57" spans="2:24" ht="13.8" x14ac:dyDescent="0.3">
      <c r="C57" s="274" t="s">
        <v>180</v>
      </c>
      <c r="D57" s="276">
        <f>D52</f>
        <v>0</v>
      </c>
      <c r="E57" s="276">
        <f>E52</f>
        <v>0</v>
      </c>
      <c r="F57" s="276">
        <f>F52</f>
        <v>0</v>
      </c>
      <c r="G57" s="335" t="e">
        <f>F57/(F56+F57)</f>
        <v>#DIV/0!</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96" t="s">
        <v>409</v>
      </c>
      <c r="D62" s="267">
        <v>0</v>
      </c>
      <c r="E62" s="267" t="s">
        <v>206</v>
      </c>
      <c r="F62" s="296" t="s">
        <v>211</v>
      </c>
      <c r="G62" s="297"/>
      <c r="H62" s="297"/>
      <c r="I62" s="326">
        <v>0</v>
      </c>
      <c r="J62" s="267"/>
      <c r="K62" s="267"/>
      <c r="L62" s="291" t="e">
        <f>P62/N62</f>
        <v>#REF!</v>
      </c>
      <c r="M62" s="291" t="e">
        <f>P62/O62</f>
        <v>#REF!</v>
      </c>
      <c r="N62" s="292" t="e">
        <f t="shared" ref="N62:N104" si="10">((($I62*$F$56)+$U62)/$R12)*$R62</f>
        <v>#DIV/0!</v>
      </c>
      <c r="O62" s="292" t="e">
        <f t="shared" ref="O62:O103" si="11">((($I62*$F$56)+$G62*$O12)/$R12)*$R62</f>
        <v>#DIV/0!</v>
      </c>
      <c r="P62" s="292" t="e">
        <f>HLOOKUP(K62,'[1]E-CESTDWO'!$A$5:$M$35,'[1]18230409'!I62+1,FALSE)</f>
        <v>#REF!</v>
      </c>
      <c r="Q62" s="292" t="e">
        <f>HLOOKUP(K62,'[1]E-CESTD'!$A$5:$M$35,'[1]18230409'!I62+1,FALSE)</f>
        <v>#REF!</v>
      </c>
      <c r="R62" s="292" t="e">
        <f>VLOOKUP(J62,[1]LFCR!$C$8:$D$37,2)/100</f>
        <v>#N/A</v>
      </c>
      <c r="S62" s="293">
        <f t="shared" ref="S62:U77" si="12">M12*$H62</f>
        <v>0</v>
      </c>
      <c r="T62" s="293">
        <f t="shared" si="12"/>
        <v>0</v>
      </c>
      <c r="U62" s="293">
        <f t="shared" si="12"/>
        <v>0</v>
      </c>
      <c r="V62" s="338" t="e">
        <f>U62/(U62+(I62*F$56))</f>
        <v>#DIV/0!</v>
      </c>
      <c r="W62" s="338" t="e">
        <f t="shared" ref="W62:W80" si="13">(I62*((F$17*1.63)+F$27))/(U62+(I62*F$56))</f>
        <v>#DIV/0!</v>
      </c>
      <c r="X62" s="338" t="e">
        <f>(I62*F$37)/(U62+(I62*F$56))</f>
        <v>#DIV/0!</v>
      </c>
    </row>
    <row r="63" spans="2:24" ht="13.8" x14ac:dyDescent="0.3">
      <c r="B63" s="296"/>
      <c r="C63" s="296" t="s">
        <v>410</v>
      </c>
      <c r="D63" s="296">
        <v>0</v>
      </c>
      <c r="E63" s="296" t="s">
        <v>206</v>
      </c>
      <c r="F63" s="296" t="s">
        <v>211</v>
      </c>
      <c r="G63" s="297"/>
      <c r="H63" s="297"/>
      <c r="I63" s="326">
        <v>0</v>
      </c>
      <c r="J63" s="267"/>
      <c r="K63" s="267"/>
      <c r="L63" s="291" t="e">
        <f t="shared" ref="L63:L103" si="14">P63/N63</f>
        <v>#REF!</v>
      </c>
      <c r="M63" s="291" t="e">
        <f t="shared" ref="M63:M103" si="15">P63/O63</f>
        <v>#REF!</v>
      </c>
      <c r="N63" s="292" t="e">
        <f t="shared" si="10"/>
        <v>#DIV/0!</v>
      </c>
      <c r="O63" s="292" t="e">
        <f t="shared" si="11"/>
        <v>#DIV/0!</v>
      </c>
      <c r="P63" s="292" t="e">
        <f>HLOOKUP(K63,'[1]E-CESTDWO'!$A$5:$M$35,'[1]18230409'!I63+1,FALSE)</f>
        <v>#REF!</v>
      </c>
      <c r="Q63" s="292" t="e">
        <f>HLOOKUP(K63,'[1]E-CESTD'!$A$5:$M$35,'[1]18230409'!I63+1,FALSE)</f>
        <v>#REF!</v>
      </c>
      <c r="R63" s="292" t="e">
        <f>VLOOKUP(J63,[1]LFCR!$C$8:$D$37,2)/100</f>
        <v>#N/A</v>
      </c>
      <c r="S63" s="293">
        <f t="shared" si="12"/>
        <v>0</v>
      </c>
      <c r="T63" s="293">
        <f t="shared" si="12"/>
        <v>0</v>
      </c>
      <c r="U63" s="293">
        <f t="shared" si="12"/>
        <v>0</v>
      </c>
      <c r="V63" s="338" t="e">
        <f t="shared" ref="V63:V80" si="16">U63/(U63+(I63*F$56))</f>
        <v>#DIV/0!</v>
      </c>
      <c r="W63" s="338" t="e">
        <f t="shared" si="13"/>
        <v>#DIV/0!</v>
      </c>
      <c r="X63" s="338" t="e">
        <f t="shared" ref="X63:X80" si="17">(I63*F$37)/(U63+(I63*F$56))</f>
        <v>#DIV/0!</v>
      </c>
    </row>
    <row r="64" spans="2:24" ht="13.8" x14ac:dyDescent="0.3">
      <c r="B64" s="296"/>
      <c r="C64" s="296" t="s">
        <v>411</v>
      </c>
      <c r="D64" s="296">
        <v>0</v>
      </c>
      <c r="E64" s="296" t="s">
        <v>206</v>
      </c>
      <c r="F64" s="296" t="s">
        <v>211</v>
      </c>
      <c r="G64" s="297"/>
      <c r="H64" s="297"/>
      <c r="I64" s="326">
        <v>0</v>
      </c>
      <c r="J64" s="267"/>
      <c r="K64" s="267"/>
      <c r="L64" s="291" t="e">
        <f t="shared" si="14"/>
        <v>#REF!</v>
      </c>
      <c r="M64" s="291" t="e">
        <f t="shared" si="15"/>
        <v>#REF!</v>
      </c>
      <c r="N64" s="292" t="e">
        <f t="shared" si="10"/>
        <v>#DIV/0!</v>
      </c>
      <c r="O64" s="292" t="e">
        <f t="shared" si="11"/>
        <v>#DIV/0!</v>
      </c>
      <c r="P64" s="292" t="e">
        <f>HLOOKUP(K64,'[1]E-CESTDWO'!$A$5:$M$35,'[1]18230409'!I64+1,FALSE)</f>
        <v>#REF!</v>
      </c>
      <c r="Q64" s="292" t="e">
        <f>HLOOKUP(K64,'[1]E-CESTD'!$A$5:$M$35,'[1]18230409'!I64+1,FALSE)</f>
        <v>#REF!</v>
      </c>
      <c r="R64" s="292" t="e">
        <f>VLOOKUP(J64,[1]LFCR!$C$8:$D$37,2)/100</f>
        <v>#N/A</v>
      </c>
      <c r="S64" s="293">
        <f t="shared" si="12"/>
        <v>0</v>
      </c>
      <c r="T64" s="293">
        <f t="shared" si="12"/>
        <v>0</v>
      </c>
      <c r="U64" s="293">
        <f t="shared" si="12"/>
        <v>0</v>
      </c>
      <c r="V64" s="338" t="e">
        <f t="shared" si="16"/>
        <v>#DIV/0!</v>
      </c>
      <c r="W64" s="338" t="e">
        <f t="shared" si="13"/>
        <v>#DIV/0!</v>
      </c>
      <c r="X64" s="338" t="e">
        <f t="shared" si="17"/>
        <v>#DIV/0!</v>
      </c>
    </row>
    <row r="65" spans="2:24" ht="13.8" x14ac:dyDescent="0.3">
      <c r="B65" s="296"/>
      <c r="C65" s="296" t="s">
        <v>213</v>
      </c>
      <c r="D65" s="296">
        <v>0</v>
      </c>
      <c r="E65" s="296" t="s">
        <v>206</v>
      </c>
      <c r="F65" s="296" t="s">
        <v>211</v>
      </c>
      <c r="G65" s="297"/>
      <c r="H65" s="297"/>
      <c r="I65" s="326">
        <v>0</v>
      </c>
      <c r="J65" s="267"/>
      <c r="K65" s="267"/>
      <c r="L65" s="291" t="e">
        <f t="shared" si="14"/>
        <v>#REF!</v>
      </c>
      <c r="M65" s="291" t="e">
        <f t="shared" si="15"/>
        <v>#REF!</v>
      </c>
      <c r="N65" s="292" t="e">
        <f t="shared" si="10"/>
        <v>#DIV/0!</v>
      </c>
      <c r="O65" s="292" t="e">
        <f t="shared" si="11"/>
        <v>#DIV/0!</v>
      </c>
      <c r="P65" s="292" t="e">
        <f>HLOOKUP(K65,'[1]E-CESTDWO'!$A$5:$M$35,'[1]18230409'!I65+1,FALSE)</f>
        <v>#REF!</v>
      </c>
      <c r="Q65" s="292" t="e">
        <f>HLOOKUP(K65,'[1]E-CESTD'!$A$5:$M$35,'[1]18230409'!I65+1,FALSE)</f>
        <v>#REF!</v>
      </c>
      <c r="R65" s="292" t="e">
        <f>VLOOKUP(J65,[1]LFCR!$C$8:$D$37,2)/100</f>
        <v>#N/A</v>
      </c>
      <c r="S65" s="293">
        <f t="shared" si="12"/>
        <v>0</v>
      </c>
      <c r="T65" s="293">
        <f t="shared" si="12"/>
        <v>0</v>
      </c>
      <c r="U65" s="293">
        <f t="shared" si="12"/>
        <v>0</v>
      </c>
      <c r="V65" s="338" t="e">
        <f t="shared" si="16"/>
        <v>#DIV/0!</v>
      </c>
      <c r="W65" s="338" t="e">
        <f t="shared" si="13"/>
        <v>#DIV/0!</v>
      </c>
      <c r="X65" s="338" t="e">
        <f t="shared" si="17"/>
        <v>#DIV/0!</v>
      </c>
    </row>
    <row r="66" spans="2:24" ht="13.8" x14ac:dyDescent="0.3">
      <c r="B66" s="296"/>
      <c r="C66" s="296" t="s">
        <v>214</v>
      </c>
      <c r="D66" s="296">
        <v>0</v>
      </c>
      <c r="E66" s="296" t="s">
        <v>206</v>
      </c>
      <c r="F66" s="296" t="s">
        <v>211</v>
      </c>
      <c r="G66" s="297"/>
      <c r="H66" s="297"/>
      <c r="I66" s="326">
        <v>0</v>
      </c>
      <c r="J66" s="267"/>
      <c r="K66" s="267"/>
      <c r="L66" s="291" t="e">
        <f t="shared" si="14"/>
        <v>#REF!</v>
      </c>
      <c r="M66" s="291" t="e">
        <f t="shared" si="15"/>
        <v>#REF!</v>
      </c>
      <c r="N66" s="292" t="e">
        <f t="shared" si="10"/>
        <v>#DIV/0!</v>
      </c>
      <c r="O66" s="292" t="e">
        <f t="shared" si="11"/>
        <v>#DIV/0!</v>
      </c>
      <c r="P66" s="292" t="e">
        <f>HLOOKUP(K66,'[1]E-CESTDWO'!$A$5:$M$35,'[1]18230409'!I66+1,FALSE)</f>
        <v>#REF!</v>
      </c>
      <c r="Q66" s="343" t="e">
        <f>HLOOKUP(K66,'[1]E-CESTD'!$A$5:$M$35,'[1]18230409'!I66+1,FALSE)</f>
        <v>#REF!</v>
      </c>
      <c r="R66" s="292" t="e">
        <f>VLOOKUP(J66,[1]LFCR!$C$8:$D$37,2)/100</f>
        <v>#N/A</v>
      </c>
      <c r="S66" s="293">
        <f t="shared" si="12"/>
        <v>0</v>
      </c>
      <c r="T66" s="293">
        <f t="shared" si="12"/>
        <v>0</v>
      </c>
      <c r="U66" s="293">
        <f t="shared" si="12"/>
        <v>0</v>
      </c>
      <c r="V66" s="338" t="e">
        <f t="shared" si="16"/>
        <v>#DIV/0!</v>
      </c>
      <c r="W66" s="338" t="e">
        <f t="shared" si="13"/>
        <v>#DIV/0!</v>
      </c>
      <c r="X66" s="338" t="e">
        <f t="shared" si="17"/>
        <v>#DIV/0!</v>
      </c>
    </row>
    <row r="67" spans="2:24" ht="13.8" x14ac:dyDescent="0.3">
      <c r="B67" s="296"/>
      <c r="C67" s="296" t="s">
        <v>215</v>
      </c>
      <c r="D67" s="296">
        <v>0</v>
      </c>
      <c r="E67" s="296" t="s">
        <v>206</v>
      </c>
      <c r="F67" s="296" t="s">
        <v>211</v>
      </c>
      <c r="G67" s="297"/>
      <c r="H67" s="297"/>
      <c r="I67" s="326">
        <v>0</v>
      </c>
      <c r="J67" s="267"/>
      <c r="K67" s="267"/>
      <c r="L67" s="291" t="e">
        <f t="shared" si="14"/>
        <v>#REF!</v>
      </c>
      <c r="M67" s="291" t="e">
        <f t="shared" si="15"/>
        <v>#REF!</v>
      </c>
      <c r="N67" s="292" t="e">
        <f t="shared" si="10"/>
        <v>#DIV/0!</v>
      </c>
      <c r="O67" s="292" t="e">
        <f t="shared" si="11"/>
        <v>#DIV/0!</v>
      </c>
      <c r="P67" s="292" t="e">
        <f>HLOOKUP(K67,'[1]E-CESTDWO'!$A$5:$M$35,'[1]18230409'!I67+1,FALSE)</f>
        <v>#REF!</v>
      </c>
      <c r="Q67" s="343" t="e">
        <f>HLOOKUP(K67,'[1]E-CESTD'!$A$5:$M$35,'[1]18230409'!I67+1,FALSE)</f>
        <v>#REF!</v>
      </c>
      <c r="R67" s="292" t="e">
        <f>VLOOKUP(J67,[1]LFCR!$C$8:$D$37,2)/100</f>
        <v>#N/A</v>
      </c>
      <c r="S67" s="293">
        <f t="shared" si="12"/>
        <v>0</v>
      </c>
      <c r="T67" s="293">
        <f t="shared" si="12"/>
        <v>0</v>
      </c>
      <c r="U67" s="293">
        <f t="shared" si="12"/>
        <v>0</v>
      </c>
      <c r="V67" s="338" t="e">
        <f t="shared" si="16"/>
        <v>#DIV/0!</v>
      </c>
      <c r="W67" s="338" t="e">
        <f t="shared" si="13"/>
        <v>#DIV/0!</v>
      </c>
      <c r="X67" s="338" t="e">
        <f t="shared" si="17"/>
        <v>#DIV/0!</v>
      </c>
    </row>
    <row r="68" spans="2:24" ht="13.8" x14ac:dyDescent="0.3">
      <c r="B68" s="296"/>
      <c r="C68" s="296" t="s">
        <v>216</v>
      </c>
      <c r="D68" s="296">
        <v>0</v>
      </c>
      <c r="E68" s="296" t="s">
        <v>206</v>
      </c>
      <c r="F68" s="296" t="s">
        <v>211</v>
      </c>
      <c r="G68" s="297"/>
      <c r="H68" s="297"/>
      <c r="I68" s="326">
        <v>0</v>
      </c>
      <c r="J68" s="267"/>
      <c r="K68" s="267"/>
      <c r="L68" s="291" t="e">
        <f t="shared" si="14"/>
        <v>#REF!</v>
      </c>
      <c r="M68" s="291" t="e">
        <f t="shared" si="15"/>
        <v>#REF!</v>
      </c>
      <c r="N68" s="292" t="e">
        <f t="shared" si="10"/>
        <v>#DIV/0!</v>
      </c>
      <c r="O68" s="292" t="e">
        <f t="shared" si="11"/>
        <v>#DIV/0!</v>
      </c>
      <c r="P68" s="292" t="e">
        <f>HLOOKUP(K68,'[1]E-CESTDWO'!$A$5:$M$35,'[1]18230409'!I68+1,FALSE)</f>
        <v>#REF!</v>
      </c>
      <c r="Q68" s="343" t="e">
        <f>HLOOKUP(K68,'[1]E-CESTD'!$A$5:$M$35,'[1]18230409'!I68+1,FALSE)</f>
        <v>#REF!</v>
      </c>
      <c r="R68" s="292" t="e">
        <f>VLOOKUP(J68,[1]LFCR!$C$8:$D$37,2)/100</f>
        <v>#N/A</v>
      </c>
      <c r="S68" s="293">
        <f t="shared" si="12"/>
        <v>0</v>
      </c>
      <c r="T68" s="293">
        <f t="shared" si="12"/>
        <v>0</v>
      </c>
      <c r="U68" s="293">
        <f t="shared" si="12"/>
        <v>0</v>
      </c>
      <c r="V68" s="338" t="e">
        <f t="shared" si="16"/>
        <v>#DIV/0!</v>
      </c>
      <c r="W68" s="338" t="e">
        <f t="shared" si="13"/>
        <v>#DIV/0!</v>
      </c>
      <c r="X68" s="338" t="e">
        <f t="shared" si="17"/>
        <v>#DIV/0!</v>
      </c>
    </row>
    <row r="69" spans="2:24" ht="13.8" x14ac:dyDescent="0.3">
      <c r="B69" s="296"/>
      <c r="C69" s="296" t="s">
        <v>217</v>
      </c>
      <c r="D69" s="296">
        <v>0</v>
      </c>
      <c r="E69" s="296" t="s">
        <v>206</v>
      </c>
      <c r="F69" s="296" t="s">
        <v>211</v>
      </c>
      <c r="G69" s="297"/>
      <c r="H69" s="297"/>
      <c r="I69" s="326">
        <v>0</v>
      </c>
      <c r="J69" s="267"/>
      <c r="K69" s="267"/>
      <c r="L69" s="291" t="e">
        <f t="shared" si="14"/>
        <v>#REF!</v>
      </c>
      <c r="M69" s="291" t="e">
        <f t="shared" si="15"/>
        <v>#REF!</v>
      </c>
      <c r="N69" s="292" t="e">
        <f t="shared" si="10"/>
        <v>#DIV/0!</v>
      </c>
      <c r="O69" s="292" t="e">
        <f t="shared" si="11"/>
        <v>#DIV/0!</v>
      </c>
      <c r="P69" s="292" t="e">
        <f>HLOOKUP(K69,'[1]E-CESTDWO'!$A$5:$M$35,'[1]18230409'!I69+1,FALSE)</f>
        <v>#REF!</v>
      </c>
      <c r="Q69" s="343" t="e">
        <f>HLOOKUP(K69,'[1]E-CESTD'!$A$5:$M$35,'[1]18230409'!I69+1,FALSE)</f>
        <v>#REF!</v>
      </c>
      <c r="R69" s="292" t="e">
        <f>VLOOKUP(J69,[1]LFCR!$C$8:$D$37,2)/100</f>
        <v>#N/A</v>
      </c>
      <c r="S69" s="293">
        <f t="shared" si="12"/>
        <v>0</v>
      </c>
      <c r="T69" s="293">
        <f t="shared" si="12"/>
        <v>0</v>
      </c>
      <c r="U69" s="293">
        <f t="shared" si="12"/>
        <v>0</v>
      </c>
      <c r="V69" s="338" t="e">
        <f t="shared" si="16"/>
        <v>#DIV/0!</v>
      </c>
      <c r="W69" s="338" t="e">
        <f t="shared" si="13"/>
        <v>#DIV/0!</v>
      </c>
      <c r="X69" s="338" t="e">
        <f t="shared" si="17"/>
        <v>#DIV/0!</v>
      </c>
    </row>
    <row r="70" spans="2:24" ht="13.8" x14ac:dyDescent="0.3">
      <c r="B70" s="296"/>
      <c r="C70" s="296" t="s">
        <v>218</v>
      </c>
      <c r="D70" s="296">
        <v>0</v>
      </c>
      <c r="E70" s="296" t="s">
        <v>206</v>
      </c>
      <c r="F70" s="296" t="s">
        <v>211</v>
      </c>
      <c r="G70" s="297"/>
      <c r="H70" s="297"/>
      <c r="I70" s="326">
        <v>0</v>
      </c>
      <c r="J70" s="267"/>
      <c r="K70" s="267"/>
      <c r="L70" s="291" t="e">
        <f t="shared" si="14"/>
        <v>#REF!</v>
      </c>
      <c r="M70" s="291" t="e">
        <f t="shared" si="15"/>
        <v>#REF!</v>
      </c>
      <c r="N70" s="292" t="e">
        <f t="shared" si="10"/>
        <v>#DIV/0!</v>
      </c>
      <c r="O70" s="292" t="e">
        <f t="shared" si="11"/>
        <v>#DIV/0!</v>
      </c>
      <c r="P70" s="292" t="e">
        <f>HLOOKUP(K70,'[1]E-CESTDWO'!$A$5:$M$35,'[1]18230409'!I70+1,FALSE)</f>
        <v>#REF!</v>
      </c>
      <c r="Q70" s="343" t="e">
        <f>HLOOKUP(K70,'[1]E-CESTD'!$A$5:$M$35,'[1]18230409'!I70+1,FALSE)</f>
        <v>#REF!</v>
      </c>
      <c r="R70" s="292" t="e">
        <f>VLOOKUP(J70,[1]LFCR!$C$8:$D$37,2)/100</f>
        <v>#N/A</v>
      </c>
      <c r="S70" s="293">
        <f t="shared" si="12"/>
        <v>0</v>
      </c>
      <c r="T70" s="293">
        <f t="shared" si="12"/>
        <v>0</v>
      </c>
      <c r="U70" s="293">
        <f t="shared" si="12"/>
        <v>0</v>
      </c>
      <c r="V70" s="338" t="e">
        <f t="shared" si="16"/>
        <v>#DIV/0!</v>
      </c>
      <c r="W70" s="338" t="e">
        <f t="shared" si="13"/>
        <v>#DIV/0!</v>
      </c>
      <c r="X70" s="338" t="e">
        <f t="shared" si="17"/>
        <v>#DIV/0!</v>
      </c>
    </row>
    <row r="71" spans="2:24" ht="13.8" x14ac:dyDescent="0.3">
      <c r="B71" s="296"/>
      <c r="C71" s="296" t="s">
        <v>219</v>
      </c>
      <c r="D71" s="296">
        <v>0</v>
      </c>
      <c r="E71" s="296" t="s">
        <v>206</v>
      </c>
      <c r="F71" s="296" t="s">
        <v>211</v>
      </c>
      <c r="G71" s="297"/>
      <c r="H71" s="297"/>
      <c r="I71" s="326">
        <v>0</v>
      </c>
      <c r="J71" s="267"/>
      <c r="K71" s="267"/>
      <c r="L71" s="291" t="e">
        <f t="shared" si="14"/>
        <v>#REF!</v>
      </c>
      <c r="M71" s="291" t="e">
        <f t="shared" si="15"/>
        <v>#REF!</v>
      </c>
      <c r="N71" s="292" t="e">
        <f t="shared" si="10"/>
        <v>#DIV/0!</v>
      </c>
      <c r="O71" s="292" t="e">
        <f t="shared" si="11"/>
        <v>#DIV/0!</v>
      </c>
      <c r="P71" s="292" t="e">
        <f>HLOOKUP(K71,'[1]E-CESTDWO'!$A$5:$M$35,'[1]18230409'!I71+1,FALSE)</f>
        <v>#REF!</v>
      </c>
      <c r="Q71" s="343" t="e">
        <f>HLOOKUP(K71,'[1]E-CESTD'!$A$5:$M$35,'[1]18230409'!I71+1,FALSE)</f>
        <v>#REF!</v>
      </c>
      <c r="R71" s="292" t="e">
        <f>VLOOKUP(J71,[1]LFCR!$C$8:$D$37,2)/100</f>
        <v>#N/A</v>
      </c>
      <c r="S71" s="293">
        <f t="shared" si="12"/>
        <v>0</v>
      </c>
      <c r="T71" s="293">
        <f t="shared" si="12"/>
        <v>0</v>
      </c>
      <c r="U71" s="293">
        <f t="shared" si="12"/>
        <v>0</v>
      </c>
      <c r="V71" s="338" t="e">
        <f t="shared" si="16"/>
        <v>#DIV/0!</v>
      </c>
      <c r="W71" s="338" t="e">
        <f t="shared" si="13"/>
        <v>#DIV/0!</v>
      </c>
      <c r="X71" s="338" t="e">
        <f t="shared" si="17"/>
        <v>#DIV/0!</v>
      </c>
    </row>
    <row r="72" spans="2:24" ht="13.8" x14ac:dyDescent="0.3">
      <c r="B72" s="296"/>
      <c r="C72" s="296" t="s">
        <v>220</v>
      </c>
      <c r="D72" s="296">
        <v>0</v>
      </c>
      <c r="E72" s="296" t="s">
        <v>206</v>
      </c>
      <c r="F72" s="296" t="s">
        <v>211</v>
      </c>
      <c r="G72" s="297"/>
      <c r="H72" s="297"/>
      <c r="I72" s="326">
        <v>0</v>
      </c>
      <c r="J72" s="267"/>
      <c r="K72" s="267"/>
      <c r="L72" s="291" t="e">
        <f t="shared" si="14"/>
        <v>#REF!</v>
      </c>
      <c r="M72" s="291" t="e">
        <f t="shared" si="15"/>
        <v>#REF!</v>
      </c>
      <c r="N72" s="292" t="e">
        <f t="shared" si="10"/>
        <v>#DIV/0!</v>
      </c>
      <c r="O72" s="292" t="e">
        <f t="shared" si="11"/>
        <v>#DIV/0!</v>
      </c>
      <c r="P72" s="292" t="e">
        <f>HLOOKUP(K72,'[1]E-CESTDWO'!$A$5:$M$35,'[1]18230409'!I72+1,FALSE)</f>
        <v>#REF!</v>
      </c>
      <c r="Q72" s="343" t="e">
        <f>HLOOKUP(K72,'[1]E-CESTD'!$A$5:$M$35,'[1]18230409'!I72+1,FALSE)</f>
        <v>#REF!</v>
      </c>
      <c r="R72" s="292" t="e">
        <f>VLOOKUP(J72,[1]LFCR!$C$8:$D$37,2)/100</f>
        <v>#N/A</v>
      </c>
      <c r="S72" s="293">
        <f t="shared" si="12"/>
        <v>0</v>
      </c>
      <c r="T72" s="293">
        <f t="shared" si="12"/>
        <v>0</v>
      </c>
      <c r="U72" s="293">
        <f t="shared" si="12"/>
        <v>0</v>
      </c>
      <c r="V72" s="338" t="e">
        <f t="shared" si="16"/>
        <v>#DIV/0!</v>
      </c>
      <c r="W72" s="338" t="e">
        <f t="shared" si="13"/>
        <v>#DIV/0!</v>
      </c>
      <c r="X72" s="338" t="e">
        <f t="shared" si="17"/>
        <v>#DIV/0!</v>
      </c>
    </row>
    <row r="73" spans="2:24" ht="13.8" x14ac:dyDescent="0.3">
      <c r="B73" s="296"/>
      <c r="C73" s="296" t="s">
        <v>221</v>
      </c>
      <c r="D73" s="296">
        <v>0</v>
      </c>
      <c r="E73" s="296" t="s">
        <v>206</v>
      </c>
      <c r="F73" s="296" t="s">
        <v>211</v>
      </c>
      <c r="G73" s="297"/>
      <c r="H73" s="297"/>
      <c r="I73" s="326">
        <v>0</v>
      </c>
      <c r="J73" s="267"/>
      <c r="K73" s="267"/>
      <c r="L73" s="291" t="e">
        <f t="shared" si="14"/>
        <v>#REF!</v>
      </c>
      <c r="M73" s="291" t="e">
        <f t="shared" si="15"/>
        <v>#REF!</v>
      </c>
      <c r="N73" s="292" t="e">
        <f t="shared" si="10"/>
        <v>#DIV/0!</v>
      </c>
      <c r="O73" s="292" t="e">
        <f t="shared" si="11"/>
        <v>#DIV/0!</v>
      </c>
      <c r="P73" s="292" t="e">
        <f>HLOOKUP(K73,'[1]E-CESTDWO'!$A$5:$M$35,'[1]18230409'!I73+1,FALSE)</f>
        <v>#REF!</v>
      </c>
      <c r="Q73" s="343" t="e">
        <f>HLOOKUP(K73,'[1]E-CESTD'!$A$5:$M$35,'[1]18230409'!I73+1,FALSE)</f>
        <v>#REF!</v>
      </c>
      <c r="R73" s="292" t="e">
        <f>VLOOKUP(J73,[1]LFCR!$C$8:$D$37,2)/100</f>
        <v>#N/A</v>
      </c>
      <c r="S73" s="293">
        <f t="shared" si="12"/>
        <v>0</v>
      </c>
      <c r="T73" s="293">
        <f t="shared" si="12"/>
        <v>0</v>
      </c>
      <c r="U73" s="293">
        <f t="shared" si="12"/>
        <v>0</v>
      </c>
      <c r="V73" s="338" t="e">
        <f t="shared" si="16"/>
        <v>#DIV/0!</v>
      </c>
      <c r="W73" s="338" t="e">
        <f t="shared" si="13"/>
        <v>#DIV/0!</v>
      </c>
      <c r="X73" s="338" t="e">
        <f t="shared" si="17"/>
        <v>#DIV/0!</v>
      </c>
    </row>
    <row r="74" spans="2:24" ht="13.8" x14ac:dyDescent="0.3">
      <c r="B74" s="296"/>
      <c r="C74" s="296" t="s">
        <v>222</v>
      </c>
      <c r="D74" s="296">
        <v>0</v>
      </c>
      <c r="E74" s="296" t="s">
        <v>206</v>
      </c>
      <c r="F74" s="296" t="s">
        <v>211</v>
      </c>
      <c r="G74" s="297"/>
      <c r="H74" s="297"/>
      <c r="I74" s="326">
        <v>0</v>
      </c>
      <c r="J74" s="267"/>
      <c r="K74" s="267"/>
      <c r="L74" s="291" t="e">
        <f t="shared" si="14"/>
        <v>#REF!</v>
      </c>
      <c r="M74" s="291" t="e">
        <f t="shared" si="15"/>
        <v>#REF!</v>
      </c>
      <c r="N74" s="292" t="e">
        <f t="shared" si="10"/>
        <v>#DIV/0!</v>
      </c>
      <c r="O74" s="292" t="e">
        <f t="shared" si="11"/>
        <v>#DIV/0!</v>
      </c>
      <c r="P74" s="292" t="e">
        <f>HLOOKUP(K74,'[1]E-CESTDWO'!$A$5:$M$35,'[1]18230409'!I74+1,FALSE)</f>
        <v>#REF!</v>
      </c>
      <c r="Q74" s="343" t="e">
        <f>HLOOKUP(K74,'[1]E-CESTD'!$A$5:$M$35,'[1]18230409'!I74+1,FALSE)</f>
        <v>#REF!</v>
      </c>
      <c r="R74" s="292" t="e">
        <f>VLOOKUP(J74,[1]LFCR!$C$8:$D$37,2)/100</f>
        <v>#N/A</v>
      </c>
      <c r="S74" s="293">
        <f t="shared" si="12"/>
        <v>0</v>
      </c>
      <c r="T74" s="293">
        <f t="shared" si="12"/>
        <v>0</v>
      </c>
      <c r="U74" s="293">
        <f t="shared" si="12"/>
        <v>0</v>
      </c>
      <c r="V74" s="338" t="e">
        <f t="shared" si="16"/>
        <v>#DIV/0!</v>
      </c>
      <c r="W74" s="338" t="e">
        <f t="shared" si="13"/>
        <v>#DIV/0!</v>
      </c>
      <c r="X74" s="338" t="e">
        <f t="shared" si="17"/>
        <v>#DIV/0!</v>
      </c>
    </row>
    <row r="75" spans="2:24" ht="13.8" x14ac:dyDescent="0.3">
      <c r="B75" s="296"/>
      <c r="C75" s="296" t="s">
        <v>223</v>
      </c>
      <c r="D75" s="296">
        <v>0</v>
      </c>
      <c r="E75" s="296" t="s">
        <v>206</v>
      </c>
      <c r="F75" s="296" t="s">
        <v>211</v>
      </c>
      <c r="G75" s="297"/>
      <c r="H75" s="297"/>
      <c r="I75" s="326">
        <v>0</v>
      </c>
      <c r="J75" s="267"/>
      <c r="K75" s="267"/>
      <c r="L75" s="291" t="e">
        <f t="shared" si="14"/>
        <v>#REF!</v>
      </c>
      <c r="M75" s="291" t="e">
        <f t="shared" si="15"/>
        <v>#REF!</v>
      </c>
      <c r="N75" s="292" t="e">
        <f t="shared" si="10"/>
        <v>#DIV/0!</v>
      </c>
      <c r="O75" s="292" t="e">
        <f t="shared" si="11"/>
        <v>#DIV/0!</v>
      </c>
      <c r="P75" s="292" t="e">
        <f>HLOOKUP(K75,'[1]E-CESTDWO'!$A$5:$M$35,'[1]18230409'!I75+1,FALSE)</f>
        <v>#REF!</v>
      </c>
      <c r="Q75" s="343" t="e">
        <f>HLOOKUP(K75,'[1]E-CESTD'!$A$5:$M$35,'[1]18230409'!I75+1,FALSE)</f>
        <v>#REF!</v>
      </c>
      <c r="R75" s="292" t="e">
        <f>VLOOKUP(J75,[1]LFCR!$C$8:$D$37,2)/100</f>
        <v>#N/A</v>
      </c>
      <c r="S75" s="293">
        <f t="shared" si="12"/>
        <v>0</v>
      </c>
      <c r="T75" s="293">
        <f t="shared" si="12"/>
        <v>0</v>
      </c>
      <c r="U75" s="293">
        <f t="shared" si="12"/>
        <v>0</v>
      </c>
      <c r="V75" s="338" t="e">
        <f t="shared" si="16"/>
        <v>#DIV/0!</v>
      </c>
      <c r="W75" s="338" t="e">
        <f t="shared" si="13"/>
        <v>#DIV/0!</v>
      </c>
      <c r="X75" s="338" t="e">
        <f t="shared" si="17"/>
        <v>#DIV/0!</v>
      </c>
    </row>
    <row r="76" spans="2:24" ht="13.8" x14ac:dyDescent="0.3">
      <c r="B76" s="296"/>
      <c r="C76" s="296" t="s">
        <v>224</v>
      </c>
      <c r="D76" s="296">
        <v>0</v>
      </c>
      <c r="E76" s="296" t="s">
        <v>206</v>
      </c>
      <c r="F76" s="296" t="s">
        <v>211</v>
      </c>
      <c r="G76" s="297"/>
      <c r="H76" s="297"/>
      <c r="I76" s="326">
        <v>0</v>
      </c>
      <c r="J76" s="267"/>
      <c r="K76" s="267"/>
      <c r="L76" s="291" t="e">
        <f t="shared" si="14"/>
        <v>#REF!</v>
      </c>
      <c r="M76" s="291" t="e">
        <f t="shared" si="15"/>
        <v>#REF!</v>
      </c>
      <c r="N76" s="292" t="e">
        <f t="shared" si="10"/>
        <v>#DIV/0!</v>
      </c>
      <c r="O76" s="292" t="e">
        <f t="shared" si="11"/>
        <v>#DIV/0!</v>
      </c>
      <c r="P76" s="292" t="e">
        <f>HLOOKUP(K76,'[1]E-CESTDWO'!$A$5:$M$35,'[1]18230409'!I76+1,FALSE)</f>
        <v>#REF!</v>
      </c>
      <c r="Q76" s="343" t="e">
        <f>HLOOKUP(K76,'[1]E-CESTD'!$A$5:$M$35,'[1]18230409'!I76+1,FALSE)</f>
        <v>#REF!</v>
      </c>
      <c r="R76" s="292" t="e">
        <f>VLOOKUP(J76,[1]LFCR!$C$8:$D$37,2)/100</f>
        <v>#N/A</v>
      </c>
      <c r="S76" s="293">
        <f t="shared" si="12"/>
        <v>0</v>
      </c>
      <c r="T76" s="293">
        <f t="shared" si="12"/>
        <v>0</v>
      </c>
      <c r="U76" s="293">
        <f t="shared" si="12"/>
        <v>0</v>
      </c>
      <c r="V76" s="338" t="e">
        <f t="shared" si="16"/>
        <v>#DIV/0!</v>
      </c>
      <c r="W76" s="338" t="e">
        <f t="shared" si="13"/>
        <v>#DIV/0!</v>
      </c>
      <c r="X76" s="338" t="e">
        <f t="shared" si="17"/>
        <v>#DIV/0!</v>
      </c>
    </row>
    <row r="77" spans="2:24" ht="13.8" x14ac:dyDescent="0.3">
      <c r="B77" s="296"/>
      <c r="C77" s="296" t="s">
        <v>225</v>
      </c>
      <c r="D77" s="296">
        <v>0</v>
      </c>
      <c r="E77" s="296" t="s">
        <v>206</v>
      </c>
      <c r="F77" s="296" t="s">
        <v>211</v>
      </c>
      <c r="G77" s="297"/>
      <c r="H77" s="297"/>
      <c r="I77" s="326">
        <v>0</v>
      </c>
      <c r="J77" s="267"/>
      <c r="K77" s="267"/>
      <c r="L77" s="291" t="e">
        <f t="shared" si="14"/>
        <v>#REF!</v>
      </c>
      <c r="M77" s="291" t="e">
        <f t="shared" si="15"/>
        <v>#REF!</v>
      </c>
      <c r="N77" s="292" t="e">
        <f t="shared" si="10"/>
        <v>#DIV/0!</v>
      </c>
      <c r="O77" s="292" t="e">
        <f t="shared" si="11"/>
        <v>#DIV/0!</v>
      </c>
      <c r="P77" s="292" t="e">
        <f>HLOOKUP(K77,'[1]E-CESTDWO'!$A$5:$M$35,'[1]18230409'!I77+1,FALSE)</f>
        <v>#REF!</v>
      </c>
      <c r="Q77" s="343" t="e">
        <f>HLOOKUP(K77,'[1]E-CESTD'!$A$5:$M$35,'[1]18230409'!I77+1,FALSE)</f>
        <v>#REF!</v>
      </c>
      <c r="R77" s="292" t="e">
        <f>VLOOKUP(J77,[1]LFCR!$C$8:$D$37,2)/100</f>
        <v>#N/A</v>
      </c>
      <c r="S77" s="293">
        <f t="shared" si="12"/>
        <v>0</v>
      </c>
      <c r="T77" s="293">
        <f t="shared" si="12"/>
        <v>0</v>
      </c>
      <c r="U77" s="293">
        <f t="shared" si="12"/>
        <v>0</v>
      </c>
      <c r="V77" s="338" t="e">
        <f t="shared" si="16"/>
        <v>#DIV/0!</v>
      </c>
      <c r="W77" s="338" t="e">
        <f t="shared" si="13"/>
        <v>#DIV/0!</v>
      </c>
      <c r="X77" s="338" t="e">
        <f t="shared" si="17"/>
        <v>#DIV/0!</v>
      </c>
    </row>
    <row r="78" spans="2:24" ht="13.8" x14ac:dyDescent="0.3">
      <c r="B78" s="296"/>
      <c r="C78" s="296" t="s">
        <v>226</v>
      </c>
      <c r="D78" s="296">
        <v>0</v>
      </c>
      <c r="E78" s="296" t="s">
        <v>206</v>
      </c>
      <c r="F78" s="296" t="s">
        <v>211</v>
      </c>
      <c r="G78" s="297"/>
      <c r="H78" s="297"/>
      <c r="I78" s="326">
        <v>0</v>
      </c>
      <c r="J78" s="267"/>
      <c r="K78" s="267"/>
      <c r="L78" s="291" t="e">
        <f t="shared" si="14"/>
        <v>#REF!</v>
      </c>
      <c r="M78" s="291" t="e">
        <f t="shared" si="15"/>
        <v>#REF!</v>
      </c>
      <c r="N78" s="343" t="e">
        <f t="shared" si="10"/>
        <v>#DIV/0!</v>
      </c>
      <c r="O78" s="343" t="e">
        <f t="shared" si="11"/>
        <v>#DIV/0!</v>
      </c>
      <c r="P78" s="292" t="e">
        <f>HLOOKUP(K78,'[1]E-CESTDWO'!$A$5:$M$35,'[1]18230409'!I78+1,FALSE)</f>
        <v>#REF!</v>
      </c>
      <c r="Q78" s="343" t="e">
        <f>HLOOKUP(K78,'[1]E-CESTD'!$A$5:$M$35,'[1]18230409'!I78+1,FALSE)</f>
        <v>#REF!</v>
      </c>
      <c r="R78" s="343" t="e">
        <f>VLOOKUP(J78,[1]LFCR!$C$8:$D$37,2)/100</f>
        <v>#N/A</v>
      </c>
      <c r="S78" s="293">
        <f t="shared" ref="S78:U103" si="18">M28*$H78</f>
        <v>0</v>
      </c>
      <c r="T78" s="293">
        <f t="shared" si="18"/>
        <v>0</v>
      </c>
      <c r="U78" s="293">
        <f t="shared" si="18"/>
        <v>0</v>
      </c>
      <c r="V78" s="338" t="e">
        <f t="shared" si="16"/>
        <v>#DIV/0!</v>
      </c>
      <c r="W78" s="338" t="e">
        <f t="shared" si="13"/>
        <v>#DIV/0!</v>
      </c>
      <c r="X78" s="338" t="e">
        <f t="shared" si="17"/>
        <v>#DIV/0!</v>
      </c>
    </row>
    <row r="79" spans="2:24" ht="13.8" x14ac:dyDescent="0.3">
      <c r="B79" s="296"/>
      <c r="C79" s="296" t="s">
        <v>227</v>
      </c>
      <c r="D79" s="296">
        <v>0</v>
      </c>
      <c r="E79" s="296" t="s">
        <v>206</v>
      </c>
      <c r="F79" s="296" t="s">
        <v>211</v>
      </c>
      <c r="G79" s="297"/>
      <c r="H79" s="297"/>
      <c r="I79" s="326">
        <v>0</v>
      </c>
      <c r="J79" s="267"/>
      <c r="K79" s="267"/>
      <c r="L79" s="291" t="e">
        <f t="shared" si="14"/>
        <v>#REF!</v>
      </c>
      <c r="M79" s="291" t="e">
        <f t="shared" si="15"/>
        <v>#REF!</v>
      </c>
      <c r="N79" s="343" t="e">
        <f t="shared" si="10"/>
        <v>#DIV/0!</v>
      </c>
      <c r="O79" s="343" t="e">
        <f t="shared" si="11"/>
        <v>#DIV/0!</v>
      </c>
      <c r="P79" s="292" t="e">
        <f>HLOOKUP(K79,'[1]E-CESTDWO'!$A$5:$M$35,'[1]18230409'!I79+1,FALSE)</f>
        <v>#REF!</v>
      </c>
      <c r="Q79" s="343" t="e">
        <f>HLOOKUP(K79,'[1]E-CESTD'!$A$5:$M$35,'[1]18230409'!I79+1,FALSE)</f>
        <v>#REF!</v>
      </c>
      <c r="R79" s="343" t="e">
        <f>VLOOKUP(J79,[1]LFCR!$C$8:$D$37,2)/100</f>
        <v>#N/A</v>
      </c>
      <c r="S79" s="293">
        <f t="shared" si="18"/>
        <v>0</v>
      </c>
      <c r="T79" s="293">
        <f t="shared" si="18"/>
        <v>0</v>
      </c>
      <c r="U79" s="293">
        <f t="shared" si="18"/>
        <v>0</v>
      </c>
      <c r="V79" s="338" t="e">
        <f t="shared" si="16"/>
        <v>#DIV/0!</v>
      </c>
      <c r="W79" s="338" t="e">
        <f t="shared" si="13"/>
        <v>#DIV/0!</v>
      </c>
      <c r="X79" s="338" t="e">
        <f t="shared" si="17"/>
        <v>#DIV/0!</v>
      </c>
    </row>
    <row r="80" spans="2:24" ht="13.8" x14ac:dyDescent="0.3">
      <c r="B80" s="296"/>
      <c r="C80" s="296" t="s">
        <v>228</v>
      </c>
      <c r="D80" s="296">
        <v>0</v>
      </c>
      <c r="E80" s="296" t="s">
        <v>206</v>
      </c>
      <c r="F80" s="296" t="s">
        <v>211</v>
      </c>
      <c r="G80" s="297"/>
      <c r="H80" s="297"/>
      <c r="I80" s="326">
        <v>0</v>
      </c>
      <c r="J80" s="267"/>
      <c r="K80" s="267"/>
      <c r="L80" s="291" t="e">
        <f t="shared" si="14"/>
        <v>#REF!</v>
      </c>
      <c r="M80" s="291" t="e">
        <f t="shared" si="15"/>
        <v>#REF!</v>
      </c>
      <c r="N80" s="343" t="e">
        <f t="shared" si="10"/>
        <v>#DIV/0!</v>
      </c>
      <c r="O80" s="343" t="e">
        <f t="shared" si="11"/>
        <v>#DIV/0!</v>
      </c>
      <c r="P80" s="292" t="e">
        <f>HLOOKUP(K80,'[1]E-CESTDWO'!$A$5:$M$35,'[1]18230409'!I80+1,FALSE)</f>
        <v>#REF!</v>
      </c>
      <c r="Q80" s="343" t="e">
        <f>HLOOKUP(K80,'[1]E-CESTD'!$A$5:$M$35,'[1]18230409'!I80+1,FALSE)</f>
        <v>#REF!</v>
      </c>
      <c r="R80" s="343" t="e">
        <f>VLOOKUP(J80,[1]LFCR!$C$8:$D$37,2)/100</f>
        <v>#N/A</v>
      </c>
      <c r="S80" s="293">
        <f t="shared" si="18"/>
        <v>0</v>
      </c>
      <c r="T80" s="293">
        <f t="shared" si="18"/>
        <v>0</v>
      </c>
      <c r="U80" s="293">
        <f t="shared" si="18"/>
        <v>0</v>
      </c>
      <c r="V80" s="338" t="e">
        <f t="shared" si="16"/>
        <v>#DIV/0!</v>
      </c>
      <c r="W80" s="338" t="e">
        <f t="shared" si="13"/>
        <v>#DIV/0!</v>
      </c>
      <c r="X80" s="338" t="e">
        <f t="shared" si="17"/>
        <v>#DIV/0!</v>
      </c>
    </row>
    <row r="81" spans="2:21" ht="13.8" x14ac:dyDescent="0.3">
      <c r="B81" s="296"/>
      <c r="C81" s="296" t="s">
        <v>229</v>
      </c>
      <c r="D81" s="296">
        <v>0</v>
      </c>
      <c r="E81" s="296" t="s">
        <v>206</v>
      </c>
      <c r="F81" s="296" t="s">
        <v>211</v>
      </c>
      <c r="G81" s="297"/>
      <c r="H81" s="297"/>
      <c r="I81" s="326">
        <v>0</v>
      </c>
      <c r="J81" s="267"/>
      <c r="K81" s="267"/>
      <c r="L81" s="291" t="e">
        <f t="shared" si="14"/>
        <v>#REF!</v>
      </c>
      <c r="M81" s="291" t="e">
        <f t="shared" si="15"/>
        <v>#REF!</v>
      </c>
      <c r="N81" s="343" t="e">
        <f t="shared" si="10"/>
        <v>#DIV/0!</v>
      </c>
      <c r="O81" s="343" t="e">
        <f t="shared" si="11"/>
        <v>#DIV/0!</v>
      </c>
      <c r="P81" s="292" t="e">
        <f>HLOOKUP(K81,'[1]E-CESTDWO'!$A$5:$M$35,'[1]18230409'!I81+1,FALSE)</f>
        <v>#REF!</v>
      </c>
      <c r="Q81" s="343" t="e">
        <f>HLOOKUP(K81,'[1]E-CESTD'!$A$5:$M$35,'[1]18230409'!I81+1,FALSE)</f>
        <v>#REF!</v>
      </c>
      <c r="R81" s="343" t="e">
        <f>VLOOKUP(J81,[1]LFCR!$C$8:$D$37,2)/100</f>
        <v>#N/A</v>
      </c>
      <c r="S81" s="293">
        <f t="shared" si="18"/>
        <v>0</v>
      </c>
      <c r="T81" s="293">
        <f t="shared" si="18"/>
        <v>0</v>
      </c>
      <c r="U81" s="293">
        <f t="shared" si="18"/>
        <v>0</v>
      </c>
    </row>
    <row r="82" spans="2:21" ht="13.8" x14ac:dyDescent="0.3">
      <c r="B82" s="296"/>
      <c r="C82" s="296" t="s">
        <v>230</v>
      </c>
      <c r="D82" s="299">
        <v>0</v>
      </c>
      <c r="E82" s="296" t="s">
        <v>206</v>
      </c>
      <c r="F82" s="296" t="s">
        <v>211</v>
      </c>
      <c r="G82" s="297"/>
      <c r="H82" s="297"/>
      <c r="I82" s="326">
        <v>0</v>
      </c>
      <c r="J82" s="267"/>
      <c r="K82" s="267"/>
      <c r="L82" s="291" t="e">
        <f t="shared" si="14"/>
        <v>#REF!</v>
      </c>
      <c r="M82" s="291" t="e">
        <f t="shared" si="15"/>
        <v>#REF!</v>
      </c>
      <c r="N82" s="343" t="e">
        <f t="shared" si="10"/>
        <v>#DIV/0!</v>
      </c>
      <c r="O82" s="343" t="e">
        <f t="shared" si="11"/>
        <v>#DIV/0!</v>
      </c>
      <c r="P82" s="292" t="e">
        <f>HLOOKUP(K82,'[1]E-CESTDWO'!$A$5:$M$35,'[1]18230409'!I82+1,FALSE)</f>
        <v>#REF!</v>
      </c>
      <c r="Q82" s="343" t="e">
        <f>HLOOKUP(K82,'[1]E-CESTD'!$A$5:$M$35,'[1]18230409'!I82+1,FALSE)</f>
        <v>#REF!</v>
      </c>
      <c r="R82" s="343" t="e">
        <f>VLOOKUP(J82,[1]LFCR!$C$8:$D$37,2)/100</f>
        <v>#N/A</v>
      </c>
      <c r="S82" s="293">
        <f t="shared" si="18"/>
        <v>0</v>
      </c>
      <c r="T82" s="293">
        <f t="shared" si="18"/>
        <v>0</v>
      </c>
      <c r="U82" s="293">
        <f t="shared" si="18"/>
        <v>0</v>
      </c>
    </row>
    <row r="83" spans="2:21" ht="13.8" x14ac:dyDescent="0.3">
      <c r="B83" s="296"/>
      <c r="C83" s="296" t="s">
        <v>231</v>
      </c>
      <c r="D83" s="299">
        <v>0</v>
      </c>
      <c r="E83" s="296" t="s">
        <v>206</v>
      </c>
      <c r="F83" s="296" t="s">
        <v>211</v>
      </c>
      <c r="G83" s="297"/>
      <c r="H83" s="297"/>
      <c r="I83" s="326">
        <v>0</v>
      </c>
      <c r="J83" s="267"/>
      <c r="K83" s="267"/>
      <c r="L83" s="291" t="e">
        <f t="shared" si="14"/>
        <v>#REF!</v>
      </c>
      <c r="M83" s="291" t="e">
        <f t="shared" si="15"/>
        <v>#REF!</v>
      </c>
      <c r="N83" s="343" t="e">
        <f t="shared" si="10"/>
        <v>#DIV/0!</v>
      </c>
      <c r="O83" s="343" t="e">
        <f t="shared" si="11"/>
        <v>#DIV/0!</v>
      </c>
      <c r="P83" s="292" t="e">
        <f>HLOOKUP(K83,'[1]E-CESTDWO'!$A$5:$M$35,'[1]18230409'!I83+1,FALSE)</f>
        <v>#REF!</v>
      </c>
      <c r="Q83" s="343" t="e">
        <f>HLOOKUP(K83,'[1]E-CESTD'!$A$5:$M$35,'[1]18230409'!I83+1,FALSE)</f>
        <v>#REF!</v>
      </c>
      <c r="R83" s="343" t="e">
        <f>VLOOKUP(J83,[1]LFCR!$C$8:$D$37,2)/100</f>
        <v>#N/A</v>
      </c>
      <c r="S83" s="293">
        <f t="shared" si="18"/>
        <v>0</v>
      </c>
      <c r="T83" s="293">
        <f t="shared" si="18"/>
        <v>0</v>
      </c>
      <c r="U83" s="293">
        <f t="shared" si="18"/>
        <v>0</v>
      </c>
    </row>
    <row r="84" spans="2:21" ht="13.8" x14ac:dyDescent="0.3">
      <c r="B84" s="296"/>
      <c r="C84" s="296" t="s">
        <v>232</v>
      </c>
      <c r="D84" s="299">
        <v>0</v>
      </c>
      <c r="E84" s="296" t="s">
        <v>206</v>
      </c>
      <c r="F84" s="296" t="s">
        <v>211</v>
      </c>
      <c r="G84" s="297"/>
      <c r="H84" s="297"/>
      <c r="I84" s="326">
        <v>0</v>
      </c>
      <c r="J84" s="267"/>
      <c r="K84" s="267"/>
      <c r="L84" s="291" t="e">
        <f t="shared" si="14"/>
        <v>#REF!</v>
      </c>
      <c r="M84" s="291" t="e">
        <f t="shared" si="15"/>
        <v>#REF!</v>
      </c>
      <c r="N84" s="343" t="e">
        <f t="shared" si="10"/>
        <v>#DIV/0!</v>
      </c>
      <c r="O84" s="343" t="e">
        <f t="shared" si="11"/>
        <v>#DIV/0!</v>
      </c>
      <c r="P84" s="292" t="e">
        <f>HLOOKUP(K84,'[1]E-CESTDWO'!$A$5:$M$35,'[1]18230409'!I84+1,FALSE)</f>
        <v>#REF!</v>
      </c>
      <c r="Q84" s="343" t="e">
        <f>HLOOKUP(K84,'[1]E-CESTD'!$A$5:$M$35,'[1]18230409'!I84+1,FALSE)</f>
        <v>#REF!</v>
      </c>
      <c r="R84" s="343" t="e">
        <f>VLOOKUP(J84,[1]LFCR!$C$8:$D$37,2)/100</f>
        <v>#N/A</v>
      </c>
      <c r="S84" s="293">
        <f t="shared" si="18"/>
        <v>0</v>
      </c>
      <c r="T84" s="293">
        <f t="shared" si="18"/>
        <v>0</v>
      </c>
      <c r="U84" s="293">
        <f t="shared" si="18"/>
        <v>0</v>
      </c>
    </row>
    <row r="85" spans="2:21" ht="13.8" x14ac:dyDescent="0.3">
      <c r="B85" s="296"/>
      <c r="C85" s="296" t="s">
        <v>233</v>
      </c>
      <c r="D85" s="299">
        <v>0</v>
      </c>
      <c r="E85" s="296" t="s">
        <v>206</v>
      </c>
      <c r="F85" s="296" t="s">
        <v>211</v>
      </c>
      <c r="G85" s="297"/>
      <c r="H85" s="297"/>
      <c r="I85" s="326">
        <v>0</v>
      </c>
      <c r="J85" s="267"/>
      <c r="K85" s="267"/>
      <c r="L85" s="291" t="e">
        <f t="shared" si="14"/>
        <v>#REF!</v>
      </c>
      <c r="M85" s="291" t="e">
        <f t="shared" si="15"/>
        <v>#REF!</v>
      </c>
      <c r="N85" s="343" t="e">
        <f t="shared" si="10"/>
        <v>#DIV/0!</v>
      </c>
      <c r="O85" s="343" t="e">
        <f t="shared" si="11"/>
        <v>#DIV/0!</v>
      </c>
      <c r="P85" s="292" t="e">
        <f>HLOOKUP(K85,'[1]E-CESTDWO'!$A$5:$M$35,'[1]18230409'!I85+1,FALSE)</f>
        <v>#REF!</v>
      </c>
      <c r="Q85" s="343" t="e">
        <f>HLOOKUP(K85,'[1]E-CESTD'!$A$5:$M$35,'[1]18230409'!I85+1,FALSE)</f>
        <v>#REF!</v>
      </c>
      <c r="R85" s="343" t="e">
        <f>VLOOKUP(J85,[1]LFCR!$C$8:$D$37,2)/100</f>
        <v>#N/A</v>
      </c>
      <c r="S85" s="293">
        <f t="shared" si="18"/>
        <v>0</v>
      </c>
      <c r="T85" s="293">
        <f t="shared" si="18"/>
        <v>0</v>
      </c>
      <c r="U85" s="293">
        <f t="shared" si="18"/>
        <v>0</v>
      </c>
    </row>
    <row r="86" spans="2:21" ht="13.8" x14ac:dyDescent="0.3">
      <c r="B86" s="296"/>
      <c r="C86" s="296" t="s">
        <v>234</v>
      </c>
      <c r="D86" s="299">
        <v>0</v>
      </c>
      <c r="E86" s="296" t="s">
        <v>206</v>
      </c>
      <c r="F86" s="296" t="s">
        <v>211</v>
      </c>
      <c r="G86" s="297"/>
      <c r="H86" s="297"/>
      <c r="I86" s="326">
        <v>0</v>
      </c>
      <c r="J86" s="267"/>
      <c r="K86" s="267"/>
      <c r="L86" s="291" t="e">
        <f t="shared" si="14"/>
        <v>#REF!</v>
      </c>
      <c r="M86" s="291" t="e">
        <f t="shared" si="15"/>
        <v>#REF!</v>
      </c>
      <c r="N86" s="343" t="e">
        <f t="shared" si="10"/>
        <v>#DIV/0!</v>
      </c>
      <c r="O86" s="343" t="e">
        <f t="shared" si="11"/>
        <v>#DIV/0!</v>
      </c>
      <c r="P86" s="292" t="e">
        <f>HLOOKUP(K86,'[1]E-CESTDWO'!$A$5:$M$35,'[1]18230409'!I86+1,FALSE)</f>
        <v>#REF!</v>
      </c>
      <c r="Q86" s="343" t="e">
        <f>HLOOKUP(K86,'[1]E-CESTD'!$A$5:$M$35,'[1]18230409'!I86+1,FALSE)</f>
        <v>#REF!</v>
      </c>
      <c r="R86" s="343" t="e">
        <f>VLOOKUP(J86,[1]LFCR!$C$8:$D$37,2)/100</f>
        <v>#N/A</v>
      </c>
      <c r="S86" s="293">
        <f t="shared" si="18"/>
        <v>0</v>
      </c>
      <c r="T86" s="293">
        <f t="shared" si="18"/>
        <v>0</v>
      </c>
      <c r="U86" s="293">
        <f t="shared" si="18"/>
        <v>0</v>
      </c>
    </row>
    <row r="87" spans="2:21" ht="13.8" x14ac:dyDescent="0.3">
      <c r="B87" s="296"/>
      <c r="C87" s="296" t="s">
        <v>235</v>
      </c>
      <c r="D87" s="299">
        <v>0</v>
      </c>
      <c r="E87" s="296" t="s">
        <v>206</v>
      </c>
      <c r="F87" s="296" t="s">
        <v>211</v>
      </c>
      <c r="G87" s="297"/>
      <c r="H87" s="297"/>
      <c r="I87" s="326">
        <v>0</v>
      </c>
      <c r="J87" s="267"/>
      <c r="K87" s="267"/>
      <c r="L87" s="291" t="e">
        <f t="shared" si="14"/>
        <v>#REF!</v>
      </c>
      <c r="M87" s="291" t="e">
        <f t="shared" si="15"/>
        <v>#REF!</v>
      </c>
      <c r="N87" s="343" t="e">
        <f t="shared" si="10"/>
        <v>#DIV/0!</v>
      </c>
      <c r="O87" s="343" t="e">
        <f t="shared" si="11"/>
        <v>#DIV/0!</v>
      </c>
      <c r="P87" s="292" t="e">
        <f>HLOOKUP(K87,'[1]E-CESTDWO'!$A$5:$M$35,'[1]18230409'!I87+1,FALSE)</f>
        <v>#REF!</v>
      </c>
      <c r="Q87" s="343" t="e">
        <f>HLOOKUP(K87,'[1]E-CESTD'!$A$5:$M$35,'[1]18230409'!I87+1,FALSE)</f>
        <v>#REF!</v>
      </c>
      <c r="R87" s="343" t="e">
        <f>VLOOKUP(J87,[1]LFCR!$C$8:$D$37,2)/100</f>
        <v>#N/A</v>
      </c>
      <c r="S87" s="293">
        <f t="shared" si="18"/>
        <v>0</v>
      </c>
      <c r="T87" s="293">
        <f t="shared" si="18"/>
        <v>0</v>
      </c>
      <c r="U87" s="293">
        <f t="shared" si="18"/>
        <v>0</v>
      </c>
    </row>
    <row r="88" spans="2:21" ht="13.8" x14ac:dyDescent="0.3">
      <c r="B88" s="296"/>
      <c r="C88" s="296" t="s">
        <v>236</v>
      </c>
      <c r="D88" s="299">
        <v>0</v>
      </c>
      <c r="E88" s="296" t="s">
        <v>206</v>
      </c>
      <c r="F88" s="296" t="s">
        <v>211</v>
      </c>
      <c r="G88" s="297"/>
      <c r="H88" s="297"/>
      <c r="I88" s="326">
        <v>0</v>
      </c>
      <c r="J88" s="267"/>
      <c r="K88" s="267"/>
      <c r="L88" s="291" t="e">
        <f t="shared" si="14"/>
        <v>#REF!</v>
      </c>
      <c r="M88" s="291" t="e">
        <f t="shared" si="15"/>
        <v>#REF!</v>
      </c>
      <c r="N88" s="343" t="e">
        <f t="shared" si="10"/>
        <v>#DIV/0!</v>
      </c>
      <c r="O88" s="343" t="e">
        <f t="shared" si="11"/>
        <v>#DIV/0!</v>
      </c>
      <c r="P88" s="292" t="e">
        <f>HLOOKUP(K88,'[1]E-CESTDWO'!$A$5:$M$35,'[1]18230409'!I88+1,FALSE)</f>
        <v>#REF!</v>
      </c>
      <c r="Q88" s="343" t="e">
        <f>HLOOKUP(K88,'[1]E-CESTD'!$A$5:$M$35,'[1]18230409'!I88+1,FALSE)</f>
        <v>#REF!</v>
      </c>
      <c r="R88" s="343" t="e">
        <f>VLOOKUP(J88,[1]LFCR!$C$8:$D$37,2)/100</f>
        <v>#N/A</v>
      </c>
      <c r="S88" s="293">
        <f t="shared" si="18"/>
        <v>0</v>
      </c>
      <c r="T88" s="293">
        <f t="shared" si="18"/>
        <v>0</v>
      </c>
      <c r="U88" s="293">
        <f t="shared" si="18"/>
        <v>0</v>
      </c>
    </row>
    <row r="89" spans="2:21" ht="13.8" x14ac:dyDescent="0.3">
      <c r="B89" s="296"/>
      <c r="C89" s="296" t="s">
        <v>237</v>
      </c>
      <c r="D89" s="299">
        <v>0</v>
      </c>
      <c r="E89" s="296" t="s">
        <v>206</v>
      </c>
      <c r="F89" s="296" t="s">
        <v>211</v>
      </c>
      <c r="G89" s="297"/>
      <c r="H89" s="297"/>
      <c r="I89" s="326">
        <v>0</v>
      </c>
      <c r="J89" s="267"/>
      <c r="K89" s="267"/>
      <c r="L89" s="291" t="e">
        <f t="shared" si="14"/>
        <v>#REF!</v>
      </c>
      <c r="M89" s="291" t="e">
        <f t="shared" si="15"/>
        <v>#REF!</v>
      </c>
      <c r="N89" s="343" t="e">
        <f t="shared" si="10"/>
        <v>#DIV/0!</v>
      </c>
      <c r="O89" s="343" t="e">
        <f t="shared" si="11"/>
        <v>#DIV/0!</v>
      </c>
      <c r="P89" s="292" t="e">
        <f>HLOOKUP(K89,'[1]E-CESTDWO'!$A$5:$M$35,'[1]18230409'!I89+1,FALSE)</f>
        <v>#REF!</v>
      </c>
      <c r="Q89" s="343" t="e">
        <f>HLOOKUP(K89,'[1]E-CESTD'!$A$5:$M$35,'[1]18230409'!I89+1,FALSE)</f>
        <v>#REF!</v>
      </c>
      <c r="R89" s="343" t="e">
        <f>VLOOKUP(J89,[1]LFCR!$C$8:$D$37,2)/100</f>
        <v>#N/A</v>
      </c>
      <c r="S89" s="293">
        <f t="shared" si="18"/>
        <v>0</v>
      </c>
      <c r="T89" s="293">
        <f t="shared" si="18"/>
        <v>0</v>
      </c>
      <c r="U89" s="293">
        <f t="shared" si="18"/>
        <v>0</v>
      </c>
    </row>
    <row r="90" spans="2:21" ht="13.8" x14ac:dyDescent="0.3">
      <c r="B90" s="296"/>
      <c r="C90" s="296" t="s">
        <v>238</v>
      </c>
      <c r="D90" s="299">
        <v>0</v>
      </c>
      <c r="E90" s="296" t="s">
        <v>206</v>
      </c>
      <c r="F90" s="296" t="s">
        <v>211</v>
      </c>
      <c r="G90" s="297"/>
      <c r="H90" s="297"/>
      <c r="I90" s="326">
        <v>0</v>
      </c>
      <c r="J90" s="267"/>
      <c r="K90" s="267"/>
      <c r="L90" s="291" t="e">
        <f t="shared" si="14"/>
        <v>#REF!</v>
      </c>
      <c r="M90" s="291" t="e">
        <f t="shared" si="15"/>
        <v>#REF!</v>
      </c>
      <c r="N90" s="343" t="e">
        <f t="shared" si="10"/>
        <v>#DIV/0!</v>
      </c>
      <c r="O90" s="343" t="e">
        <f t="shared" si="11"/>
        <v>#DIV/0!</v>
      </c>
      <c r="P90" s="292" t="e">
        <f>HLOOKUP(K90,'[1]E-CESTDWO'!$A$5:$M$35,'[1]18230409'!I90+1,FALSE)</f>
        <v>#REF!</v>
      </c>
      <c r="Q90" s="343" t="e">
        <f>HLOOKUP(K90,'[1]E-CESTD'!$A$5:$M$35,'[1]18230409'!I90+1,FALSE)</f>
        <v>#REF!</v>
      </c>
      <c r="R90" s="343" t="e">
        <f>VLOOKUP(J90,[1]LFCR!$C$8:$D$37,2)/100</f>
        <v>#N/A</v>
      </c>
      <c r="S90" s="293">
        <f t="shared" si="18"/>
        <v>0</v>
      </c>
      <c r="T90" s="293">
        <f t="shared" si="18"/>
        <v>0</v>
      </c>
      <c r="U90" s="293">
        <f t="shared" si="18"/>
        <v>0</v>
      </c>
    </row>
    <row r="91" spans="2:21" ht="13.8" x14ac:dyDescent="0.3">
      <c r="B91" s="296"/>
      <c r="C91" s="296" t="s">
        <v>239</v>
      </c>
      <c r="D91" s="299">
        <v>0</v>
      </c>
      <c r="E91" s="296" t="s">
        <v>206</v>
      </c>
      <c r="F91" s="296" t="s">
        <v>211</v>
      </c>
      <c r="G91" s="297"/>
      <c r="H91" s="297"/>
      <c r="I91" s="326">
        <v>0</v>
      </c>
      <c r="J91" s="267"/>
      <c r="K91" s="267"/>
      <c r="L91" s="291" t="e">
        <f t="shared" si="14"/>
        <v>#REF!</v>
      </c>
      <c r="M91" s="291" t="e">
        <f t="shared" si="15"/>
        <v>#REF!</v>
      </c>
      <c r="N91" s="343" t="e">
        <f t="shared" si="10"/>
        <v>#DIV/0!</v>
      </c>
      <c r="O91" s="343" t="e">
        <f t="shared" si="11"/>
        <v>#DIV/0!</v>
      </c>
      <c r="P91" s="292" t="e">
        <f>HLOOKUP(K91,'[1]E-CESTDWO'!$A$5:$M$35,'[1]18230409'!I91+1,FALSE)</f>
        <v>#REF!</v>
      </c>
      <c r="Q91" s="343" t="e">
        <f>HLOOKUP(K91,'[1]E-CESTD'!$A$5:$M$35,'[1]18230409'!I91+1,FALSE)</f>
        <v>#REF!</v>
      </c>
      <c r="R91" s="343" t="e">
        <f>VLOOKUP(J91,[1]LFCR!$C$8:$D$37,2)/100</f>
        <v>#N/A</v>
      </c>
      <c r="S91" s="293">
        <f t="shared" si="18"/>
        <v>0</v>
      </c>
      <c r="T91" s="293">
        <f t="shared" si="18"/>
        <v>0</v>
      </c>
      <c r="U91" s="293">
        <f t="shared" si="18"/>
        <v>0</v>
      </c>
    </row>
    <row r="92" spans="2:21" ht="13.8" x14ac:dyDescent="0.3">
      <c r="B92" s="296"/>
      <c r="C92" s="296" t="s">
        <v>240</v>
      </c>
      <c r="D92" s="299">
        <v>0</v>
      </c>
      <c r="E92" s="296" t="s">
        <v>206</v>
      </c>
      <c r="F92" s="296" t="s">
        <v>211</v>
      </c>
      <c r="G92" s="297"/>
      <c r="H92" s="297"/>
      <c r="I92" s="326">
        <v>0</v>
      </c>
      <c r="J92" s="267"/>
      <c r="K92" s="267"/>
      <c r="L92" s="291" t="e">
        <f t="shared" si="14"/>
        <v>#REF!</v>
      </c>
      <c r="M92" s="291" t="e">
        <f t="shared" si="15"/>
        <v>#REF!</v>
      </c>
      <c r="N92" s="343" t="e">
        <f t="shared" si="10"/>
        <v>#DIV/0!</v>
      </c>
      <c r="O92" s="343" t="e">
        <f t="shared" si="11"/>
        <v>#DIV/0!</v>
      </c>
      <c r="P92" s="292" t="e">
        <f>HLOOKUP(K92,'[1]E-CESTDWO'!$A$5:$M$35,'[1]18230409'!I92+1,FALSE)</f>
        <v>#REF!</v>
      </c>
      <c r="Q92" s="343" t="e">
        <f>HLOOKUP(K92,'[1]E-CESTD'!$A$5:$M$35,'[1]18230409'!I92+1,FALSE)</f>
        <v>#REF!</v>
      </c>
      <c r="R92" s="343" t="e">
        <f>VLOOKUP(J92,[1]LFCR!$C$8:$D$37,2)/100</f>
        <v>#N/A</v>
      </c>
      <c r="S92" s="293">
        <f t="shared" si="18"/>
        <v>0</v>
      </c>
      <c r="T92" s="293">
        <f t="shared" si="18"/>
        <v>0</v>
      </c>
      <c r="U92" s="293">
        <f t="shared" si="18"/>
        <v>0</v>
      </c>
    </row>
    <row r="93" spans="2:21" ht="13.8" x14ac:dyDescent="0.3">
      <c r="B93" s="296"/>
      <c r="C93" s="296" t="s">
        <v>241</v>
      </c>
      <c r="D93" s="299">
        <v>0</v>
      </c>
      <c r="E93" s="296" t="s">
        <v>206</v>
      </c>
      <c r="F93" s="296" t="s">
        <v>211</v>
      </c>
      <c r="G93" s="297"/>
      <c r="H93" s="297"/>
      <c r="I93" s="326">
        <v>0</v>
      </c>
      <c r="J93" s="267"/>
      <c r="K93" s="267"/>
      <c r="L93" s="291" t="e">
        <f t="shared" si="14"/>
        <v>#REF!</v>
      </c>
      <c r="M93" s="291" t="e">
        <f t="shared" si="15"/>
        <v>#REF!</v>
      </c>
      <c r="N93" s="343" t="e">
        <f t="shared" si="10"/>
        <v>#DIV/0!</v>
      </c>
      <c r="O93" s="343" t="e">
        <f t="shared" si="11"/>
        <v>#DIV/0!</v>
      </c>
      <c r="P93" s="292" t="e">
        <f>HLOOKUP(K93,'[1]E-CESTDWO'!$A$5:$M$35,'[1]18230409'!I93+1,FALSE)</f>
        <v>#REF!</v>
      </c>
      <c r="Q93" s="343" t="e">
        <f>HLOOKUP(K93,'[1]E-CESTD'!$A$5:$M$35,'[1]18230409'!I93+1,FALSE)</f>
        <v>#REF!</v>
      </c>
      <c r="R93" s="343" t="e">
        <f>VLOOKUP(J93,[1]LFCR!$C$8:$D$37,2)/100</f>
        <v>#N/A</v>
      </c>
      <c r="S93" s="293">
        <f t="shared" si="18"/>
        <v>0</v>
      </c>
      <c r="T93" s="293">
        <f t="shared" si="18"/>
        <v>0</v>
      </c>
      <c r="U93" s="293">
        <f t="shared" si="18"/>
        <v>0</v>
      </c>
    </row>
    <row r="94" spans="2:21" ht="13.8" x14ac:dyDescent="0.3">
      <c r="B94" s="296"/>
      <c r="C94" s="296" t="s">
        <v>242</v>
      </c>
      <c r="D94" s="299">
        <v>0</v>
      </c>
      <c r="E94" s="296" t="s">
        <v>206</v>
      </c>
      <c r="F94" s="296" t="s">
        <v>211</v>
      </c>
      <c r="G94" s="297"/>
      <c r="H94" s="297"/>
      <c r="I94" s="326">
        <v>0</v>
      </c>
      <c r="J94" s="267"/>
      <c r="K94" s="267"/>
      <c r="L94" s="291" t="e">
        <f t="shared" si="14"/>
        <v>#REF!</v>
      </c>
      <c r="M94" s="291" t="e">
        <f t="shared" si="15"/>
        <v>#REF!</v>
      </c>
      <c r="N94" s="343" t="e">
        <f t="shared" si="10"/>
        <v>#DIV/0!</v>
      </c>
      <c r="O94" s="343" t="e">
        <f t="shared" si="11"/>
        <v>#DIV/0!</v>
      </c>
      <c r="P94" s="292" t="e">
        <f>HLOOKUP(K94,'[1]E-CESTDWO'!$A$5:$M$35,'[1]18230409'!I94+1,FALSE)</f>
        <v>#REF!</v>
      </c>
      <c r="Q94" s="343" t="e">
        <f>HLOOKUP(K94,'[1]E-CESTD'!$A$5:$M$35,'[1]18230409'!I94+1,FALSE)</f>
        <v>#REF!</v>
      </c>
      <c r="R94" s="343" t="e">
        <f>VLOOKUP(J94,[1]LFCR!$C$8:$D$37,2)/100</f>
        <v>#N/A</v>
      </c>
      <c r="S94" s="293">
        <f t="shared" si="18"/>
        <v>0</v>
      </c>
      <c r="T94" s="293">
        <f t="shared" si="18"/>
        <v>0</v>
      </c>
      <c r="U94" s="293">
        <f t="shared" si="18"/>
        <v>0</v>
      </c>
    </row>
    <row r="95" spans="2:21" ht="13.8" x14ac:dyDescent="0.3">
      <c r="B95" s="296"/>
      <c r="C95" s="296" t="s">
        <v>243</v>
      </c>
      <c r="D95" s="299">
        <v>0</v>
      </c>
      <c r="E95" s="296" t="s">
        <v>206</v>
      </c>
      <c r="F95" s="296" t="s">
        <v>211</v>
      </c>
      <c r="G95" s="297"/>
      <c r="H95" s="297"/>
      <c r="I95" s="326">
        <v>0</v>
      </c>
      <c r="J95" s="267"/>
      <c r="K95" s="267"/>
      <c r="L95" s="291" t="e">
        <f t="shared" si="14"/>
        <v>#REF!</v>
      </c>
      <c r="M95" s="291" t="e">
        <f t="shared" si="15"/>
        <v>#REF!</v>
      </c>
      <c r="N95" s="343" t="e">
        <f t="shared" si="10"/>
        <v>#DIV/0!</v>
      </c>
      <c r="O95" s="343" t="e">
        <f t="shared" si="11"/>
        <v>#DIV/0!</v>
      </c>
      <c r="P95" s="292" t="e">
        <f>HLOOKUP(K95,'[1]E-CESTDWO'!$A$5:$M$35,'[1]18230409'!I95+1,FALSE)</f>
        <v>#REF!</v>
      </c>
      <c r="Q95" s="343" t="e">
        <f>HLOOKUP(K95,'[1]E-CESTD'!$A$5:$M$35,'[1]18230409'!I95+1,FALSE)</f>
        <v>#REF!</v>
      </c>
      <c r="R95" s="343" t="e">
        <f>VLOOKUP(J95,[1]LFCR!$C$8:$D$37,2)/100</f>
        <v>#N/A</v>
      </c>
      <c r="S95" s="293">
        <f t="shared" si="18"/>
        <v>0</v>
      </c>
      <c r="T95" s="293">
        <f t="shared" si="18"/>
        <v>0</v>
      </c>
      <c r="U95" s="293">
        <f t="shared" si="18"/>
        <v>0</v>
      </c>
    </row>
    <row r="96" spans="2:21" ht="13.8" x14ac:dyDescent="0.3">
      <c r="B96" s="296"/>
      <c r="C96" s="296" t="s">
        <v>244</v>
      </c>
      <c r="D96" s="299">
        <v>0</v>
      </c>
      <c r="E96" s="296" t="s">
        <v>206</v>
      </c>
      <c r="F96" s="296" t="s">
        <v>211</v>
      </c>
      <c r="G96" s="297"/>
      <c r="H96" s="297"/>
      <c r="I96" s="326">
        <v>0</v>
      </c>
      <c r="J96" s="267"/>
      <c r="K96" s="267"/>
      <c r="L96" s="291" t="e">
        <f t="shared" si="14"/>
        <v>#REF!</v>
      </c>
      <c r="M96" s="291" t="e">
        <f t="shared" si="15"/>
        <v>#REF!</v>
      </c>
      <c r="N96" s="343" t="e">
        <f t="shared" si="10"/>
        <v>#DIV/0!</v>
      </c>
      <c r="O96" s="343" t="e">
        <f t="shared" si="11"/>
        <v>#DIV/0!</v>
      </c>
      <c r="P96" s="292" t="e">
        <f>HLOOKUP(K96,'[1]E-CESTDWO'!$A$5:$M$35,'[1]18230409'!I96+1,FALSE)</f>
        <v>#REF!</v>
      </c>
      <c r="Q96" s="343" t="e">
        <f>HLOOKUP(K96,'[1]E-CESTD'!$A$5:$M$35,'[1]18230409'!I96+1,FALSE)</f>
        <v>#REF!</v>
      </c>
      <c r="R96" s="343" t="e">
        <f>VLOOKUP(J96,[1]LFCR!$C$8:$D$37,2)/100</f>
        <v>#N/A</v>
      </c>
      <c r="S96" s="293">
        <f t="shared" si="18"/>
        <v>0</v>
      </c>
      <c r="T96" s="293">
        <f t="shared" si="18"/>
        <v>0</v>
      </c>
      <c r="U96" s="293">
        <f t="shared" si="18"/>
        <v>0</v>
      </c>
    </row>
    <row r="97" spans="2:21" ht="13.8" x14ac:dyDescent="0.3">
      <c r="B97" s="296"/>
      <c r="C97" s="296" t="s">
        <v>245</v>
      </c>
      <c r="D97" s="299">
        <v>0</v>
      </c>
      <c r="E97" s="296" t="s">
        <v>206</v>
      </c>
      <c r="F97" s="296" t="s">
        <v>211</v>
      </c>
      <c r="G97" s="297"/>
      <c r="H97" s="297"/>
      <c r="I97" s="326">
        <v>0</v>
      </c>
      <c r="J97" s="267"/>
      <c r="K97" s="267"/>
      <c r="L97" s="291" t="e">
        <f t="shared" si="14"/>
        <v>#REF!</v>
      </c>
      <c r="M97" s="291" t="e">
        <f t="shared" si="15"/>
        <v>#REF!</v>
      </c>
      <c r="N97" s="343" t="e">
        <f t="shared" si="10"/>
        <v>#DIV/0!</v>
      </c>
      <c r="O97" s="343" t="e">
        <f t="shared" si="11"/>
        <v>#DIV/0!</v>
      </c>
      <c r="P97" s="292" t="e">
        <f>HLOOKUP(K97,'[1]E-CESTDWO'!$A$5:$M$35,'[1]18230409'!I97+1,FALSE)</f>
        <v>#REF!</v>
      </c>
      <c r="Q97" s="343" t="e">
        <f>HLOOKUP(K97,'[1]E-CESTD'!$A$5:$M$35,'[1]18230409'!I97+1,FALSE)</f>
        <v>#REF!</v>
      </c>
      <c r="R97" s="343" t="e">
        <f>VLOOKUP(J97,[1]LFCR!$C$8:$D$37,2)/100</f>
        <v>#N/A</v>
      </c>
      <c r="S97" s="293">
        <f t="shared" si="18"/>
        <v>0</v>
      </c>
      <c r="T97" s="293">
        <f t="shared" si="18"/>
        <v>0</v>
      </c>
      <c r="U97" s="293">
        <f t="shared" si="18"/>
        <v>0</v>
      </c>
    </row>
    <row r="98" spans="2:21" ht="13.8" x14ac:dyDescent="0.3">
      <c r="B98" s="296"/>
      <c r="C98" s="296" t="s">
        <v>246</v>
      </c>
      <c r="D98" s="299">
        <v>0</v>
      </c>
      <c r="E98" s="296" t="s">
        <v>206</v>
      </c>
      <c r="F98" s="296" t="s">
        <v>211</v>
      </c>
      <c r="G98" s="297"/>
      <c r="H98" s="297"/>
      <c r="I98" s="326">
        <v>0</v>
      </c>
      <c r="J98" s="267"/>
      <c r="K98" s="267"/>
      <c r="L98" s="291" t="e">
        <f t="shared" si="14"/>
        <v>#REF!</v>
      </c>
      <c r="M98" s="291" t="e">
        <f t="shared" si="15"/>
        <v>#REF!</v>
      </c>
      <c r="N98" s="343" t="e">
        <f t="shared" si="10"/>
        <v>#DIV/0!</v>
      </c>
      <c r="O98" s="343" t="e">
        <f t="shared" si="11"/>
        <v>#DIV/0!</v>
      </c>
      <c r="P98" s="292" t="e">
        <f>HLOOKUP(K98,'[1]E-CESTDWO'!$A$5:$M$35,'[1]18230409'!I98+1,FALSE)</f>
        <v>#REF!</v>
      </c>
      <c r="Q98" s="343" t="e">
        <f>HLOOKUP(K98,'[1]E-CESTD'!$A$5:$M$35,'[1]18230409'!I98+1,FALSE)</f>
        <v>#REF!</v>
      </c>
      <c r="R98" s="343" t="e">
        <f>VLOOKUP(J98,[1]LFCR!$C$8:$D$37,2)/100</f>
        <v>#N/A</v>
      </c>
      <c r="S98" s="293">
        <f t="shared" si="18"/>
        <v>0</v>
      </c>
      <c r="T98" s="293">
        <f t="shared" si="18"/>
        <v>0</v>
      </c>
      <c r="U98" s="293">
        <f t="shared" si="18"/>
        <v>0</v>
      </c>
    </row>
    <row r="99" spans="2:21" ht="13.8" x14ac:dyDescent="0.3">
      <c r="B99" s="296"/>
      <c r="C99" s="296" t="s">
        <v>247</v>
      </c>
      <c r="D99" s="299">
        <v>0</v>
      </c>
      <c r="E99" s="296" t="s">
        <v>206</v>
      </c>
      <c r="F99" s="296" t="s">
        <v>211</v>
      </c>
      <c r="G99" s="297"/>
      <c r="H99" s="297"/>
      <c r="I99" s="326">
        <v>0</v>
      </c>
      <c r="J99" s="267"/>
      <c r="K99" s="267"/>
      <c r="L99" s="291" t="e">
        <f t="shared" si="14"/>
        <v>#REF!</v>
      </c>
      <c r="M99" s="291" t="e">
        <f t="shared" si="15"/>
        <v>#REF!</v>
      </c>
      <c r="N99" s="343" t="e">
        <f t="shared" si="10"/>
        <v>#DIV/0!</v>
      </c>
      <c r="O99" s="343" t="e">
        <f t="shared" si="11"/>
        <v>#DIV/0!</v>
      </c>
      <c r="P99" s="292" t="e">
        <f>HLOOKUP(K99,'[1]E-CESTDWO'!$A$5:$M$35,'[1]18230409'!I99+1,FALSE)</f>
        <v>#REF!</v>
      </c>
      <c r="Q99" s="343" t="e">
        <f>HLOOKUP(K99,'[1]E-CESTD'!$A$5:$M$35,'[1]18230409'!I99+1,FALSE)</f>
        <v>#REF!</v>
      </c>
      <c r="R99" s="343" t="e">
        <f>VLOOKUP(J99,[1]LFCR!$C$8:$D$37,2)/100</f>
        <v>#N/A</v>
      </c>
      <c r="S99" s="293">
        <f t="shared" si="18"/>
        <v>0</v>
      </c>
      <c r="T99" s="293">
        <f t="shared" si="18"/>
        <v>0</v>
      </c>
      <c r="U99" s="293">
        <f t="shared" si="18"/>
        <v>0</v>
      </c>
    </row>
    <row r="100" spans="2:21" ht="13.8" x14ac:dyDescent="0.3">
      <c r="B100" s="296"/>
      <c r="C100" s="296" t="s">
        <v>248</v>
      </c>
      <c r="D100" s="299">
        <v>0</v>
      </c>
      <c r="E100" s="296" t="s">
        <v>206</v>
      </c>
      <c r="F100" s="296" t="s">
        <v>211</v>
      </c>
      <c r="G100" s="297"/>
      <c r="H100" s="297"/>
      <c r="I100" s="326">
        <v>0</v>
      </c>
      <c r="J100" s="267"/>
      <c r="K100" s="267"/>
      <c r="L100" s="291" t="e">
        <f t="shared" si="14"/>
        <v>#REF!</v>
      </c>
      <c r="M100" s="291" t="e">
        <f t="shared" si="15"/>
        <v>#REF!</v>
      </c>
      <c r="N100" s="343" t="e">
        <f t="shared" si="10"/>
        <v>#DIV/0!</v>
      </c>
      <c r="O100" s="343" t="e">
        <f t="shared" si="11"/>
        <v>#DIV/0!</v>
      </c>
      <c r="P100" s="292" t="e">
        <f>HLOOKUP(K100,'[1]E-CESTDWO'!$A$5:$M$35,'[1]18230409'!I100+1,FALSE)</f>
        <v>#REF!</v>
      </c>
      <c r="Q100" s="343" t="e">
        <f>HLOOKUP(K100,'[1]E-CESTD'!$A$5:$M$35,'[1]18230409'!I100+1,FALSE)</f>
        <v>#REF!</v>
      </c>
      <c r="R100" s="343" t="e">
        <f>VLOOKUP(J100,[1]LFCR!$C$8:$D$37,2)/100</f>
        <v>#N/A</v>
      </c>
      <c r="S100" s="293">
        <f t="shared" si="18"/>
        <v>0</v>
      </c>
      <c r="T100" s="293">
        <f t="shared" si="18"/>
        <v>0</v>
      </c>
      <c r="U100" s="293">
        <f t="shared" si="18"/>
        <v>0</v>
      </c>
    </row>
    <row r="101" spans="2:21" ht="13.8" x14ac:dyDescent="0.3">
      <c r="B101" s="296"/>
      <c r="C101" s="296" t="s">
        <v>249</v>
      </c>
      <c r="D101" s="299">
        <v>0</v>
      </c>
      <c r="E101" s="296" t="s">
        <v>206</v>
      </c>
      <c r="F101" s="296" t="s">
        <v>211</v>
      </c>
      <c r="G101" s="297"/>
      <c r="H101" s="297"/>
      <c r="I101" s="326">
        <v>0</v>
      </c>
      <c r="J101" s="267"/>
      <c r="K101" s="267"/>
      <c r="L101" s="291" t="e">
        <f t="shared" si="14"/>
        <v>#REF!</v>
      </c>
      <c r="M101" s="291" t="e">
        <f t="shared" si="15"/>
        <v>#REF!</v>
      </c>
      <c r="N101" s="343" t="e">
        <f t="shared" si="10"/>
        <v>#DIV/0!</v>
      </c>
      <c r="O101" s="343" t="e">
        <f t="shared" si="11"/>
        <v>#DIV/0!</v>
      </c>
      <c r="P101" s="292" t="e">
        <f>HLOOKUP(K101,'[1]E-CESTDWO'!$A$5:$M$35,'[1]18230409'!I101+1,FALSE)</f>
        <v>#REF!</v>
      </c>
      <c r="Q101" s="343" t="e">
        <f>HLOOKUP(K101,'[1]E-CESTD'!$A$5:$M$35,'[1]18230409'!I101+1,FALSE)</f>
        <v>#REF!</v>
      </c>
      <c r="R101" s="343" t="e">
        <f>VLOOKUP(J101,[1]LFCR!$C$8:$D$37,2)/100</f>
        <v>#N/A</v>
      </c>
      <c r="S101" s="293">
        <f t="shared" si="18"/>
        <v>0</v>
      </c>
      <c r="T101" s="293">
        <f t="shared" si="18"/>
        <v>0</v>
      </c>
      <c r="U101" s="293">
        <f t="shared" si="18"/>
        <v>0</v>
      </c>
    </row>
    <row r="102" spans="2:21" ht="13.8" x14ac:dyDescent="0.3">
      <c r="B102" s="296"/>
      <c r="C102" s="296" t="s">
        <v>250</v>
      </c>
      <c r="D102" s="299">
        <v>0</v>
      </c>
      <c r="E102" s="296" t="s">
        <v>206</v>
      </c>
      <c r="F102" s="296" t="s">
        <v>211</v>
      </c>
      <c r="G102" s="297"/>
      <c r="H102" s="297"/>
      <c r="I102" s="326">
        <v>0</v>
      </c>
      <c r="J102" s="267"/>
      <c r="K102" s="267"/>
      <c r="L102" s="291" t="e">
        <f t="shared" si="14"/>
        <v>#REF!</v>
      </c>
      <c r="M102" s="291" t="e">
        <f t="shared" si="15"/>
        <v>#REF!</v>
      </c>
      <c r="N102" s="343" t="e">
        <f t="shared" si="10"/>
        <v>#DIV/0!</v>
      </c>
      <c r="O102" s="343" t="e">
        <f t="shared" si="11"/>
        <v>#DIV/0!</v>
      </c>
      <c r="P102" s="292" t="e">
        <f>HLOOKUP(K102,'[1]E-CESTDWO'!$A$5:$M$35,'[1]18230409'!I102+1,FALSE)</f>
        <v>#REF!</v>
      </c>
      <c r="Q102" s="343" t="e">
        <f>HLOOKUP(K102,'[1]E-CESTD'!$A$5:$M$35,'[1]18230409'!I102+1,FALSE)</f>
        <v>#REF!</v>
      </c>
      <c r="R102" s="343" t="e">
        <f>VLOOKUP(J102,[1]LFCR!$C$8:$D$37,2)/100</f>
        <v>#N/A</v>
      </c>
      <c r="S102" s="293">
        <f t="shared" si="18"/>
        <v>0</v>
      </c>
      <c r="T102" s="293">
        <f t="shared" si="18"/>
        <v>0</v>
      </c>
      <c r="U102" s="293">
        <f t="shared" si="18"/>
        <v>0</v>
      </c>
    </row>
    <row r="103" spans="2:21" ht="14.4" thickBot="1" x14ac:dyDescent="0.35">
      <c r="B103" s="296"/>
      <c r="C103" s="296" t="s">
        <v>251</v>
      </c>
      <c r="D103" s="299">
        <v>0</v>
      </c>
      <c r="E103" s="296" t="s">
        <v>206</v>
      </c>
      <c r="F103" s="296" t="s">
        <v>211</v>
      </c>
      <c r="G103" s="297"/>
      <c r="H103" s="297"/>
      <c r="I103" s="326">
        <v>0</v>
      </c>
      <c r="J103" s="267"/>
      <c r="K103" s="267"/>
      <c r="L103" s="330" t="e">
        <f t="shared" si="14"/>
        <v>#REF!</v>
      </c>
      <c r="M103" s="330" t="e">
        <f t="shared" si="15"/>
        <v>#REF!</v>
      </c>
      <c r="N103" s="344" t="e">
        <f t="shared" si="10"/>
        <v>#DIV/0!</v>
      </c>
      <c r="O103" s="344" t="e">
        <f t="shared" si="11"/>
        <v>#DIV/0!</v>
      </c>
      <c r="P103" s="292" t="e">
        <f>HLOOKUP(K103,'[1]E-CESTDWO'!$A$5:$M$35,'[1]18230409'!I103+1,FALSE)</f>
        <v>#REF!</v>
      </c>
      <c r="Q103" s="343" t="e">
        <f>HLOOKUP(K103,'[1]E-CESTD'!$A$5:$M$35,'[1]18230409'!I103+1,FALSE)</f>
        <v>#REF!</v>
      </c>
      <c r="R103" s="344" t="e">
        <f>VLOOKUP(J103,[1]LFCR!$C$8:$D$37,2)/100</f>
        <v>#N/A</v>
      </c>
      <c r="S103" s="293">
        <f t="shared" si="18"/>
        <v>0</v>
      </c>
      <c r="T103" s="293">
        <f t="shared" si="18"/>
        <v>0</v>
      </c>
      <c r="U103" s="293">
        <f t="shared" si="18"/>
        <v>0</v>
      </c>
    </row>
    <row r="104" spans="2:21" ht="14.4" thickBot="1" x14ac:dyDescent="0.35">
      <c r="G104" s="300">
        <f>SUMPRODUCT(G62:G103,O12:O53)</f>
        <v>0</v>
      </c>
      <c r="H104" s="301">
        <f>U104</f>
        <v>0</v>
      </c>
      <c r="I104" s="302">
        <f>SUM(I62:I103)</f>
        <v>0</v>
      </c>
      <c r="J104" s="303" t="e">
        <f>ROUND(SUMPRODUCT(J62:J103,R12:R53)/R54,0)</f>
        <v>#DIV/0!</v>
      </c>
      <c r="K104" s="274" t="s">
        <v>412</v>
      </c>
      <c r="L104" s="304" t="e">
        <f>P104/N104</f>
        <v>#DIV/0!</v>
      </c>
      <c r="M104" s="305" t="e">
        <f>P104/O104</f>
        <v>#DIV/0!</v>
      </c>
      <c r="N104" s="345" t="e">
        <f t="shared" si="10"/>
        <v>#DIV/0!</v>
      </c>
      <c r="O104" s="345" t="e">
        <f>((($I104*$F$56)+$G104)/$R54)*$R104</f>
        <v>#DIV/0!</v>
      </c>
      <c r="P104" s="345" t="e">
        <f>HLOOKUP(K104,'[1]E-CESTDWO'!$A$5:$M$35,'[1]18230409'!I104+1,FALSE)</f>
        <v>#DIV/0!</v>
      </c>
      <c r="Q104" s="307" t="e">
        <f>HLOOKUP(K104,'[1]E-CESTD'!$A$5:$M$35,'[1]18230409'!I104+1,FALSE)</f>
        <v>#DIV/0!</v>
      </c>
      <c r="R104" s="307" t="e">
        <f>VLOOKUP(J104,[1]LFCR!$C$8:$D$37,2)/100</f>
        <v>#DIV/0!</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6" top="0.38" bottom="0.37" header="0.32" footer="0.3"/>
  <pageSetup paperSize="17" scale="53"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K32" activePane="bottomRight" state="frozen"/>
      <selection pane="topRight" activeCell="B1" sqref="B1"/>
      <selection pane="bottomLeft" activeCell="A2" sqref="A2"/>
      <selection pane="bottomRight" activeCell="O18" sqref="O18"/>
    </sheetView>
  </sheetViews>
  <sheetFormatPr defaultRowHeight="13.2" x14ac:dyDescent="0.25"/>
  <cols>
    <col min="1" max="1" width="16.33203125" style="3369" customWidth="1"/>
    <col min="2" max="2" width="20.44140625" customWidth="1"/>
    <col min="3" max="3" width="40.5546875" customWidth="1"/>
    <col min="4" max="4" width="16.109375" style="19" customWidth="1"/>
    <col min="5" max="5" width="16.109375" customWidth="1"/>
    <col min="6" max="6" width="17.441406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7.44140625" bestFit="1" customWidth="1"/>
    <col min="17" max="17" width="20.109375" bestFit="1"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4.8867187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7.44140625" bestFit="1" customWidth="1"/>
    <col min="273" max="273" width="20.109375" bestFit="1"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4.8867187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7.44140625" bestFit="1" customWidth="1"/>
    <col min="529" max="529" width="20.109375" bestFit="1"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4.8867187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7.44140625" bestFit="1" customWidth="1"/>
    <col min="785" max="785" width="20.109375" bestFit="1"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4.8867187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7.44140625" bestFit="1" customWidth="1"/>
    <col min="1041" max="1041" width="20.109375" bestFit="1"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4.8867187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7.44140625" bestFit="1" customWidth="1"/>
    <col min="1297" max="1297" width="20.109375" bestFit="1"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4.8867187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7.44140625" bestFit="1" customWidth="1"/>
    <col min="1553" max="1553" width="20.109375" bestFit="1"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4.8867187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7.44140625" bestFit="1" customWidth="1"/>
    <col min="1809" max="1809" width="20.109375" bestFit="1"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4.8867187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7.44140625" bestFit="1" customWidth="1"/>
    <col min="2065" max="2065" width="20.109375" bestFit="1"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4.8867187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7.44140625" bestFit="1" customWidth="1"/>
    <col min="2321" max="2321" width="20.109375" bestFit="1"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4.8867187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7.44140625" bestFit="1" customWidth="1"/>
    <col min="2577" max="2577" width="20.109375" bestFit="1"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4.8867187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7.44140625" bestFit="1" customWidth="1"/>
    <col min="2833" max="2833" width="20.109375" bestFit="1"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4.8867187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7.44140625" bestFit="1" customWidth="1"/>
    <col min="3089" max="3089" width="20.109375" bestFit="1"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4.8867187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7.44140625" bestFit="1" customWidth="1"/>
    <col min="3345" max="3345" width="20.109375" bestFit="1"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4.8867187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7.44140625" bestFit="1" customWidth="1"/>
    <col min="3601" max="3601" width="20.109375" bestFit="1"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4.8867187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7.44140625" bestFit="1" customWidth="1"/>
    <col min="3857" max="3857" width="20.109375" bestFit="1"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4.8867187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7.44140625" bestFit="1" customWidth="1"/>
    <col min="4113" max="4113" width="20.109375" bestFit="1"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4.8867187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7.44140625" bestFit="1" customWidth="1"/>
    <col min="4369" max="4369" width="20.109375" bestFit="1"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4.8867187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7.44140625" bestFit="1" customWidth="1"/>
    <col min="4625" max="4625" width="20.109375" bestFit="1"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4.8867187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7.44140625" bestFit="1" customWidth="1"/>
    <col min="4881" max="4881" width="20.109375" bestFit="1"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4.8867187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7.44140625" bestFit="1" customWidth="1"/>
    <col min="5137" max="5137" width="20.109375" bestFit="1"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4.8867187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7.44140625" bestFit="1" customWidth="1"/>
    <col min="5393" max="5393" width="20.109375" bestFit="1"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4.8867187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7.44140625" bestFit="1" customWidth="1"/>
    <col min="5649" max="5649" width="20.109375" bestFit="1"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4.8867187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7.44140625" bestFit="1" customWidth="1"/>
    <col min="5905" max="5905" width="20.109375" bestFit="1"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4.8867187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7.44140625" bestFit="1" customWidth="1"/>
    <col min="6161" max="6161" width="20.109375" bestFit="1"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4.8867187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7.44140625" bestFit="1" customWidth="1"/>
    <col min="6417" max="6417" width="20.109375" bestFit="1"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4.8867187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7.44140625" bestFit="1" customWidth="1"/>
    <col min="6673" max="6673" width="20.109375" bestFit="1"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4.8867187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7.44140625" bestFit="1" customWidth="1"/>
    <col min="6929" max="6929" width="20.109375" bestFit="1"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4.8867187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7.44140625" bestFit="1" customWidth="1"/>
    <col min="7185" max="7185" width="20.109375" bestFit="1"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4.8867187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7.44140625" bestFit="1" customWidth="1"/>
    <col min="7441" max="7441" width="20.109375" bestFit="1"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4.8867187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7.44140625" bestFit="1" customWidth="1"/>
    <col min="7697" max="7697" width="20.109375" bestFit="1"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4.8867187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7.44140625" bestFit="1" customWidth="1"/>
    <col min="7953" max="7953" width="20.109375" bestFit="1"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4.8867187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7.44140625" bestFit="1" customWidth="1"/>
    <col min="8209" max="8209" width="20.109375" bestFit="1"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4.8867187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7.44140625" bestFit="1" customWidth="1"/>
    <col min="8465" max="8465" width="20.109375" bestFit="1"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4.8867187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7.44140625" bestFit="1" customWidth="1"/>
    <col min="8721" max="8721" width="20.109375" bestFit="1"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4.8867187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7.44140625" bestFit="1" customWidth="1"/>
    <col min="8977" max="8977" width="20.109375" bestFit="1"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4.8867187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7.44140625" bestFit="1" customWidth="1"/>
    <col min="9233" max="9233" width="20.109375" bestFit="1"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4.8867187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7.44140625" bestFit="1" customWidth="1"/>
    <col min="9489" max="9489" width="20.109375" bestFit="1"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4.8867187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7.44140625" bestFit="1" customWidth="1"/>
    <col min="9745" max="9745" width="20.109375" bestFit="1"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4.8867187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7.44140625" bestFit="1" customWidth="1"/>
    <col min="10001" max="10001" width="20.109375" bestFit="1"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4.8867187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7.44140625" bestFit="1" customWidth="1"/>
    <col min="10257" max="10257" width="20.109375" bestFit="1"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4.8867187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7.44140625" bestFit="1" customWidth="1"/>
    <col min="10513" max="10513" width="20.109375" bestFit="1"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4.8867187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7.44140625" bestFit="1" customWidth="1"/>
    <col min="10769" max="10769" width="20.109375" bestFit="1"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4.8867187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7.44140625" bestFit="1" customWidth="1"/>
    <col min="11025" max="11025" width="20.109375" bestFit="1"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4.8867187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7.44140625" bestFit="1" customWidth="1"/>
    <col min="11281" max="11281" width="20.109375" bestFit="1"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4.8867187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7.44140625" bestFit="1" customWidth="1"/>
    <col min="11537" max="11537" width="20.109375" bestFit="1"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4.8867187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7.44140625" bestFit="1" customWidth="1"/>
    <col min="11793" max="11793" width="20.109375" bestFit="1"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4.8867187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7.44140625" bestFit="1" customWidth="1"/>
    <col min="12049" max="12049" width="20.109375" bestFit="1"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4.8867187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7.44140625" bestFit="1" customWidth="1"/>
    <col min="12305" max="12305" width="20.109375" bestFit="1"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4.8867187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7.44140625" bestFit="1" customWidth="1"/>
    <col min="12561" max="12561" width="20.109375" bestFit="1"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4.8867187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7.44140625" bestFit="1" customWidth="1"/>
    <col min="12817" max="12817" width="20.109375" bestFit="1"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4.8867187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7.44140625" bestFit="1" customWidth="1"/>
    <col min="13073" max="13073" width="20.109375" bestFit="1"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4.8867187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7.44140625" bestFit="1" customWidth="1"/>
    <col min="13329" max="13329" width="20.109375" bestFit="1"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4.8867187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7.44140625" bestFit="1" customWidth="1"/>
    <col min="13585" max="13585" width="20.109375" bestFit="1"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4.8867187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7.44140625" bestFit="1" customWidth="1"/>
    <col min="13841" max="13841" width="20.109375" bestFit="1"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4.8867187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7.44140625" bestFit="1" customWidth="1"/>
    <col min="14097" max="14097" width="20.109375" bestFit="1"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4.8867187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7.44140625" bestFit="1" customWidth="1"/>
    <col min="14353" max="14353" width="20.109375" bestFit="1"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4.8867187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7.44140625" bestFit="1" customWidth="1"/>
    <col min="14609" max="14609" width="20.109375" bestFit="1"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4.8867187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7.44140625" bestFit="1" customWidth="1"/>
    <col min="14865" max="14865" width="20.109375" bestFit="1"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4.8867187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7.44140625" bestFit="1" customWidth="1"/>
    <col min="15121" max="15121" width="20.109375" bestFit="1"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4.8867187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7.44140625" bestFit="1" customWidth="1"/>
    <col min="15377" max="15377" width="20.109375" bestFit="1"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4.8867187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7.44140625" bestFit="1" customWidth="1"/>
    <col min="15633" max="15633" width="20.109375" bestFit="1"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4.8867187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7.44140625" bestFit="1" customWidth="1"/>
    <col min="15889" max="15889" width="20.109375" bestFit="1"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4.8867187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7.44140625" bestFit="1" customWidth="1"/>
    <col min="16145" max="16145" width="20.109375" bestFit="1"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5" customHeight="1" thickBot="1" x14ac:dyDescent="0.35">
      <c r="B1" s="3881"/>
      <c r="F1" s="202"/>
      <c r="G1" s="202">
        <f>C3</f>
        <v>18230432</v>
      </c>
      <c r="H1" s="202" t="str">
        <f>C4</f>
        <v>Home Appliances</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18230432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416</v>
      </c>
      <c r="F4" s="202">
        <v>2011</v>
      </c>
      <c r="G4" s="210">
        <f>B12</f>
        <v>94569</v>
      </c>
      <c r="H4" s="211">
        <f>B17</f>
        <v>32124</v>
      </c>
      <c r="I4" s="211">
        <f>B22</f>
        <v>79817</v>
      </c>
      <c r="J4" s="211">
        <f>B27</f>
        <v>192000</v>
      </c>
      <c r="K4" s="211">
        <f>B32</f>
        <v>1200</v>
      </c>
      <c r="L4" s="211">
        <f>B37</f>
        <v>0</v>
      </c>
      <c r="M4" s="211">
        <f>B42</f>
        <v>7092</v>
      </c>
      <c r="N4" s="211">
        <f>B47</f>
        <v>3540</v>
      </c>
      <c r="O4" s="211">
        <f>B52</f>
        <v>1186418</v>
      </c>
      <c r="P4" s="211">
        <f>B53</f>
        <v>0</v>
      </c>
      <c r="Q4" s="213">
        <f>B54</f>
        <v>1596760</v>
      </c>
      <c r="R4" s="214">
        <f>T54</f>
        <v>8360823</v>
      </c>
      <c r="S4" s="331">
        <f>O4/Q4</f>
        <v>0.7430158571106491</v>
      </c>
      <c r="T4" s="331">
        <f>(J4+(H4*1.63))/Q4</f>
        <v>0.15303622335228839</v>
      </c>
      <c r="U4" s="331">
        <f>L4/Q4</f>
        <v>0</v>
      </c>
      <c r="V4" s="216">
        <f>Q4/R4</f>
        <v>0.19098119886044712</v>
      </c>
    </row>
    <row r="5" spans="2:22" ht="16.2" thickBot="1" x14ac:dyDescent="0.35">
      <c r="B5" s="202" t="s">
        <v>34</v>
      </c>
      <c r="F5" s="202">
        <v>2012</v>
      </c>
      <c r="G5" s="217">
        <f>D12</f>
        <v>222336</v>
      </c>
      <c r="H5" s="218">
        <f>D17</f>
        <v>63000</v>
      </c>
      <c r="I5" s="218">
        <f>D22</f>
        <v>179761.68</v>
      </c>
      <c r="J5" s="218">
        <f>D27</f>
        <v>625000</v>
      </c>
      <c r="K5" s="218">
        <f>D32</f>
        <v>0</v>
      </c>
      <c r="L5" s="218">
        <f>D37</f>
        <v>905000</v>
      </c>
      <c r="M5" s="218">
        <f>D42</f>
        <v>18000</v>
      </c>
      <c r="N5" s="218">
        <f>D47</f>
        <v>10000</v>
      </c>
      <c r="O5" s="218">
        <f>D52</f>
        <v>6102890</v>
      </c>
      <c r="P5" s="218">
        <f>D53</f>
        <v>0</v>
      </c>
      <c r="Q5" s="219">
        <f>SUM(G5:P5)</f>
        <v>8125987.6799999997</v>
      </c>
      <c r="R5" s="220">
        <f>P54</f>
        <v>25116120</v>
      </c>
      <c r="S5" s="332">
        <f>O5/Q5</f>
        <v>0.75103362696705445</v>
      </c>
      <c r="T5" s="332">
        <f>(J5+(H5*1.63))/Q5</f>
        <v>8.9550960284005748E-2</v>
      </c>
      <c r="U5" s="332">
        <f>L5/Q5</f>
        <v>0.11137107704795339</v>
      </c>
      <c r="V5" s="222">
        <f>Q5/R5</f>
        <v>0.3235367437327103</v>
      </c>
    </row>
    <row r="6" spans="2:22" ht="16.2" thickBot="1" x14ac:dyDescent="0.35">
      <c r="C6" s="202" t="s">
        <v>414</v>
      </c>
      <c r="F6" s="202">
        <v>2013</v>
      </c>
      <c r="G6" s="223">
        <f>E12</f>
        <v>229006</v>
      </c>
      <c r="H6" s="224">
        <f>E17</f>
        <v>64575</v>
      </c>
      <c r="I6" s="224">
        <f>E22</f>
        <v>184956.03</v>
      </c>
      <c r="J6" s="224">
        <f>E27</f>
        <v>480000</v>
      </c>
      <c r="K6" s="224">
        <f>E32</f>
        <v>0</v>
      </c>
      <c r="L6" s="224">
        <f>E37</f>
        <v>820000</v>
      </c>
      <c r="M6" s="224">
        <f>E42</f>
        <v>18000</v>
      </c>
      <c r="N6" s="224">
        <f>E47</f>
        <v>10000</v>
      </c>
      <c r="O6" s="224">
        <f>E52</f>
        <v>6546800</v>
      </c>
      <c r="P6" s="224">
        <f>E53</f>
        <v>0</v>
      </c>
      <c r="Q6" s="225">
        <f>SUM(G6:P6)</f>
        <v>8353337.0300000003</v>
      </c>
      <c r="R6" s="226">
        <f>Q54</f>
        <v>26582500</v>
      </c>
      <c r="S6" s="332">
        <f>O6/Q6</f>
        <v>0.78373468908149635</v>
      </c>
      <c r="T6" s="332">
        <f>(J6+(H6*1.63))/Q6</f>
        <v>7.0062688467868506E-2</v>
      </c>
      <c r="U6" s="332">
        <f>L6/Q6</f>
        <v>9.8164361985523765E-2</v>
      </c>
      <c r="V6" s="222">
        <f>Q6/R6</f>
        <v>0.31424196482648359</v>
      </c>
    </row>
    <row r="7" spans="2:22" ht="16.2" thickBot="1" x14ac:dyDescent="0.35">
      <c r="C7" s="227" t="s">
        <v>415</v>
      </c>
      <c r="F7" s="228" t="s">
        <v>140</v>
      </c>
      <c r="G7" s="229">
        <f>SUM(G5:G6)</f>
        <v>451342</v>
      </c>
      <c r="H7" s="229">
        <f t="shared" ref="H7:P7" si="0">SUM(H5:H6)</f>
        <v>127575</v>
      </c>
      <c r="I7" s="229">
        <f t="shared" si="0"/>
        <v>364717.70999999996</v>
      </c>
      <c r="J7" s="229">
        <f t="shared" si="0"/>
        <v>1105000</v>
      </c>
      <c r="K7" s="229">
        <f t="shared" si="0"/>
        <v>0</v>
      </c>
      <c r="L7" s="229">
        <f t="shared" si="0"/>
        <v>1725000</v>
      </c>
      <c r="M7" s="229">
        <f t="shared" si="0"/>
        <v>36000</v>
      </c>
      <c r="N7" s="229">
        <f t="shared" si="0"/>
        <v>20000</v>
      </c>
      <c r="O7" s="229">
        <f t="shared" si="0"/>
        <v>12649690</v>
      </c>
      <c r="P7" s="229">
        <f t="shared" si="0"/>
        <v>0</v>
      </c>
      <c r="Q7" s="230">
        <f>SUM(G7:P7)</f>
        <v>16479324.710000001</v>
      </c>
      <c r="R7" s="231">
        <f>R54</f>
        <v>51698620</v>
      </c>
      <c r="S7" s="332">
        <f>O7/Q7</f>
        <v>0.7676097305324594</v>
      </c>
      <c r="T7" s="332">
        <f>(J7+(H7*1.63))/Q7</f>
        <v>7.9672393930272881E-2</v>
      </c>
      <c r="U7" s="332">
        <f>L7/Q7</f>
        <v>0.1046766193613039</v>
      </c>
      <c r="V7" s="222">
        <f>Q7/R7</f>
        <v>0.31875753569437637</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94569</v>
      </c>
      <c r="C12" s="244" t="s">
        <v>161</v>
      </c>
      <c r="D12" s="245">
        <f>SUM(D13:D16)</f>
        <v>222336</v>
      </c>
      <c r="E12" s="245">
        <f>SUM(E13:E16)</f>
        <v>229006</v>
      </c>
      <c r="F12" s="246">
        <f>D12+E12</f>
        <v>451342</v>
      </c>
      <c r="H12" s="135"/>
      <c r="I12" s="4065" t="s">
        <v>424</v>
      </c>
      <c r="J12" s="4066"/>
      <c r="K12" s="4067"/>
      <c r="L12" s="4068">
        <v>65</v>
      </c>
      <c r="M12" s="4071">
        <v>5000</v>
      </c>
      <c r="N12" s="4071">
        <v>6500</v>
      </c>
      <c r="O12" s="3541">
        <f>M12+N12</f>
        <v>11500</v>
      </c>
      <c r="P12" s="2547">
        <f>M12*$D62</f>
        <v>325000</v>
      </c>
      <c r="Q12" s="3542">
        <f>N12*$D62</f>
        <v>422500</v>
      </c>
      <c r="R12" s="254">
        <f>P12+Q12</f>
        <v>747500</v>
      </c>
      <c r="T12" s="309">
        <v>325000</v>
      </c>
    </row>
    <row r="13" spans="2:22" ht="13.8" x14ac:dyDescent="0.3">
      <c r="B13" s="256"/>
      <c r="C13" s="257" t="s">
        <v>265</v>
      </c>
      <c r="D13" s="3479">
        <v>50025.599999999999</v>
      </c>
      <c r="E13" s="3479">
        <v>51526.35</v>
      </c>
      <c r="F13" s="258">
        <f>SUM(D13:E13)</f>
        <v>101551.95</v>
      </c>
      <c r="H13" s="135"/>
      <c r="I13" s="4061" t="s">
        <v>425</v>
      </c>
      <c r="J13" s="4062"/>
      <c r="K13" s="4063"/>
      <c r="L13" s="4068">
        <v>86</v>
      </c>
      <c r="M13" s="4071">
        <v>2500</v>
      </c>
      <c r="N13" s="4071">
        <v>3500</v>
      </c>
      <c r="O13" s="3541">
        <f t="shared" ref="O13:O53" si="1">M13+N13</f>
        <v>6000</v>
      </c>
      <c r="P13" s="3542">
        <f t="shared" ref="P13:P53" si="2">M13*$D63</f>
        <v>215000</v>
      </c>
      <c r="Q13" s="3542">
        <f t="shared" ref="Q13:Q53" si="3">N13*$D63</f>
        <v>301000</v>
      </c>
      <c r="R13" s="254">
        <f t="shared" ref="R13:R53" si="4">P13+Q13</f>
        <v>516000</v>
      </c>
      <c r="T13" s="263">
        <v>258000</v>
      </c>
    </row>
    <row r="14" spans="2:22" ht="13.8" x14ac:dyDescent="0.3">
      <c r="B14" s="264"/>
      <c r="C14" s="257" t="s">
        <v>417</v>
      </c>
      <c r="D14" s="3480">
        <v>61142.400000000001</v>
      </c>
      <c r="E14" s="3480">
        <v>62976.65</v>
      </c>
      <c r="F14" s="258">
        <f t="shared" ref="F14:F24" si="5">SUM(D14:E14)</f>
        <v>124119.05</v>
      </c>
      <c r="H14" s="135"/>
      <c r="I14" s="4061" t="s">
        <v>426</v>
      </c>
      <c r="J14" s="4062"/>
      <c r="K14" s="4063"/>
      <c r="L14" s="4068">
        <v>42</v>
      </c>
      <c r="M14" s="4071">
        <v>4500</v>
      </c>
      <c r="N14" s="4071">
        <v>5000</v>
      </c>
      <c r="O14" s="3541">
        <f t="shared" si="1"/>
        <v>9500</v>
      </c>
      <c r="P14" s="3542">
        <f t="shared" si="2"/>
        <v>189000</v>
      </c>
      <c r="Q14" s="3542">
        <f t="shared" si="3"/>
        <v>210000</v>
      </c>
      <c r="R14" s="254">
        <f t="shared" si="4"/>
        <v>399000</v>
      </c>
      <c r="T14" s="263">
        <v>42000</v>
      </c>
    </row>
    <row r="15" spans="2:22" ht="13.8" x14ac:dyDescent="0.3">
      <c r="B15" s="264"/>
      <c r="C15" s="265" t="s">
        <v>418</v>
      </c>
      <c r="D15" s="3481">
        <v>44467.199999999997</v>
      </c>
      <c r="E15" s="3481">
        <v>45801.2</v>
      </c>
      <c r="F15" s="258">
        <f t="shared" si="5"/>
        <v>90268.4</v>
      </c>
      <c r="H15" s="135"/>
      <c r="I15" s="4061" t="s">
        <v>427</v>
      </c>
      <c r="J15" s="4062"/>
      <c r="K15" s="4063"/>
      <c r="L15" s="4068">
        <v>482</v>
      </c>
      <c r="M15" s="4071">
        <v>15000</v>
      </c>
      <c r="N15" s="4071">
        <v>15000</v>
      </c>
      <c r="O15" s="3541">
        <f t="shared" si="1"/>
        <v>30000</v>
      </c>
      <c r="P15" s="3542">
        <f t="shared" si="2"/>
        <v>7230000</v>
      </c>
      <c r="Q15" s="3542">
        <f t="shared" si="3"/>
        <v>7230000</v>
      </c>
      <c r="R15" s="254">
        <f t="shared" si="4"/>
        <v>14460000</v>
      </c>
      <c r="T15" s="263">
        <v>0</v>
      </c>
    </row>
    <row r="16" spans="2:22" ht="14.4" thickBot="1" x14ac:dyDescent="0.35">
      <c r="B16" s="264"/>
      <c r="C16" s="265" t="s">
        <v>419</v>
      </c>
      <c r="D16" s="3481">
        <v>66700.799999999988</v>
      </c>
      <c r="E16" s="3481">
        <v>68701.799999999988</v>
      </c>
      <c r="F16" s="258">
        <f t="shared" si="5"/>
        <v>135402.59999999998</v>
      </c>
      <c r="H16" s="135"/>
      <c r="I16" s="4061" t="s">
        <v>428</v>
      </c>
      <c r="J16" s="4062"/>
      <c r="K16" s="4063"/>
      <c r="L16" s="4068">
        <v>555</v>
      </c>
      <c r="M16" s="4071">
        <v>3000</v>
      </c>
      <c r="N16" s="4071">
        <v>4000</v>
      </c>
      <c r="O16" s="3541">
        <f t="shared" si="1"/>
        <v>7000</v>
      </c>
      <c r="P16" s="3542">
        <f t="shared" si="2"/>
        <v>1665000</v>
      </c>
      <c r="Q16" s="3542">
        <f t="shared" si="3"/>
        <v>2220000</v>
      </c>
      <c r="R16" s="254">
        <f t="shared" si="4"/>
        <v>3885000</v>
      </c>
      <c r="T16" s="263">
        <v>0</v>
      </c>
    </row>
    <row r="17" spans="2:20" ht="14.4" thickBot="1" x14ac:dyDescent="0.35">
      <c r="B17" s="272">
        <v>32124</v>
      </c>
      <c r="C17" s="244" t="s">
        <v>166</v>
      </c>
      <c r="D17" s="245">
        <f>SUM(D18:D21)</f>
        <v>63000</v>
      </c>
      <c r="E17" s="245">
        <f>SUM(E18:E21)</f>
        <v>64575</v>
      </c>
      <c r="F17" s="246">
        <f>D17+E17</f>
        <v>127575</v>
      </c>
      <c r="H17" s="135"/>
      <c r="I17" s="4061" t="s">
        <v>429</v>
      </c>
      <c r="J17" s="4062"/>
      <c r="K17" s="4063"/>
      <c r="L17" s="4068">
        <v>482</v>
      </c>
      <c r="M17" s="4071">
        <v>11000</v>
      </c>
      <c r="N17" s="4071">
        <v>13000</v>
      </c>
      <c r="O17" s="3541">
        <f t="shared" si="1"/>
        <v>24000</v>
      </c>
      <c r="P17" s="3542">
        <f t="shared" si="2"/>
        <v>5302000</v>
      </c>
      <c r="Q17" s="3542">
        <f t="shared" si="3"/>
        <v>6266000</v>
      </c>
      <c r="R17" s="254">
        <f t="shared" si="4"/>
        <v>11568000</v>
      </c>
      <c r="T17" s="263">
        <v>3137193</v>
      </c>
    </row>
    <row r="18" spans="2:20" ht="13.8" x14ac:dyDescent="0.3">
      <c r="B18" s="256"/>
      <c r="C18" s="346" t="s">
        <v>420</v>
      </c>
      <c r="D18" s="3482">
        <v>45000</v>
      </c>
      <c r="E18" s="3482">
        <v>46125</v>
      </c>
      <c r="F18" s="258">
        <f t="shared" si="5"/>
        <v>91125</v>
      </c>
      <c r="H18" s="135"/>
      <c r="I18" s="4061" t="s">
        <v>430</v>
      </c>
      <c r="J18" s="4062"/>
      <c r="K18" s="4063"/>
      <c r="L18" s="4068">
        <v>555</v>
      </c>
      <c r="M18" s="4071">
        <v>3000</v>
      </c>
      <c r="N18" s="4071">
        <v>4000</v>
      </c>
      <c r="O18" s="3541">
        <f t="shared" si="1"/>
        <v>7000</v>
      </c>
      <c r="P18" s="3542">
        <f t="shared" si="2"/>
        <v>1665000</v>
      </c>
      <c r="Q18" s="3542">
        <f t="shared" si="3"/>
        <v>2220000</v>
      </c>
      <c r="R18" s="254">
        <f t="shared" si="4"/>
        <v>3885000</v>
      </c>
      <c r="T18" s="263">
        <v>1548020</v>
      </c>
    </row>
    <row r="19" spans="2:20" ht="13.8" x14ac:dyDescent="0.3">
      <c r="B19" s="264"/>
      <c r="C19" s="348" t="s">
        <v>421</v>
      </c>
      <c r="D19" s="3482">
        <v>18000</v>
      </c>
      <c r="E19" s="3482">
        <v>18450</v>
      </c>
      <c r="F19" s="258">
        <f t="shared" si="5"/>
        <v>36450</v>
      </c>
      <c r="H19" s="135"/>
      <c r="I19" s="4061" t="s">
        <v>431</v>
      </c>
      <c r="J19" s="4062"/>
      <c r="K19" s="4063"/>
      <c r="L19" s="4068">
        <v>112</v>
      </c>
      <c r="M19" s="4071">
        <v>0</v>
      </c>
      <c r="N19" s="4071">
        <v>7500</v>
      </c>
      <c r="O19" s="3541">
        <f t="shared" si="1"/>
        <v>7500</v>
      </c>
      <c r="P19" s="3542">
        <f t="shared" si="2"/>
        <v>0</v>
      </c>
      <c r="Q19" s="3542">
        <f t="shared" si="3"/>
        <v>840000</v>
      </c>
      <c r="R19" s="254">
        <f t="shared" si="4"/>
        <v>840000</v>
      </c>
      <c r="T19" s="263">
        <v>3050610</v>
      </c>
    </row>
    <row r="20" spans="2:20" ht="13.8" x14ac:dyDescent="0.3">
      <c r="B20" s="264"/>
      <c r="C20" s="265" t="s">
        <v>164</v>
      </c>
      <c r="D20" s="268">
        <v>0</v>
      </c>
      <c r="E20" s="268"/>
      <c r="F20" s="258">
        <f t="shared" si="5"/>
        <v>0</v>
      </c>
      <c r="H20" s="135"/>
      <c r="I20" s="4061" t="s">
        <v>432</v>
      </c>
      <c r="J20" s="4062"/>
      <c r="K20" s="4063"/>
      <c r="L20" s="4068">
        <v>167</v>
      </c>
      <c r="M20" s="4071">
        <v>0</v>
      </c>
      <c r="N20" s="4071">
        <v>10000</v>
      </c>
      <c r="O20" s="3541">
        <f t="shared" si="1"/>
        <v>10000</v>
      </c>
      <c r="P20" s="3542">
        <f t="shared" si="2"/>
        <v>0</v>
      </c>
      <c r="Q20" s="3542">
        <f t="shared" si="3"/>
        <v>1670000</v>
      </c>
      <c r="R20" s="254">
        <f t="shared" si="4"/>
        <v>1670000</v>
      </c>
      <c r="T20" s="263">
        <v>0</v>
      </c>
    </row>
    <row r="21" spans="2:20" ht="14.4" thickBot="1" x14ac:dyDescent="0.35">
      <c r="B21" s="264"/>
      <c r="C21" s="265" t="s">
        <v>165</v>
      </c>
      <c r="D21" s="268">
        <v>0</v>
      </c>
      <c r="E21" s="268"/>
      <c r="F21" s="258">
        <f t="shared" si="5"/>
        <v>0</v>
      </c>
      <c r="H21" s="135"/>
      <c r="I21" s="4061" t="s">
        <v>433</v>
      </c>
      <c r="J21" s="4062"/>
      <c r="K21" s="4063"/>
      <c r="L21" s="4068">
        <v>209</v>
      </c>
      <c r="M21" s="4071">
        <v>0</v>
      </c>
      <c r="N21" s="4071">
        <v>9000</v>
      </c>
      <c r="O21" s="3541">
        <f t="shared" si="1"/>
        <v>9000</v>
      </c>
      <c r="P21" s="3542">
        <f t="shared" si="2"/>
        <v>0</v>
      </c>
      <c r="Q21" s="3542">
        <f t="shared" si="3"/>
        <v>1881000</v>
      </c>
      <c r="R21" s="254">
        <f t="shared" si="4"/>
        <v>1881000</v>
      </c>
      <c r="T21" s="263">
        <v>0</v>
      </c>
    </row>
    <row r="22" spans="2:20" ht="14.4" thickBot="1" x14ac:dyDescent="0.35">
      <c r="B22" s="272">
        <v>79817</v>
      </c>
      <c r="C22" s="244" t="s">
        <v>167</v>
      </c>
      <c r="D22" s="245">
        <f>SUM(D23:D26)</f>
        <v>179761.68</v>
      </c>
      <c r="E22" s="245">
        <f>SUM(E23:E26)</f>
        <v>184956.03</v>
      </c>
      <c r="F22" s="246">
        <f>D22+E22</f>
        <v>364717.70999999996</v>
      </c>
      <c r="G22" s="55"/>
      <c r="H22" s="135"/>
      <c r="I22" s="4061" t="s">
        <v>434</v>
      </c>
      <c r="J22" s="4062"/>
      <c r="K22" s="4063"/>
      <c r="L22" s="4068">
        <v>149</v>
      </c>
      <c r="M22" s="4071">
        <v>2600</v>
      </c>
      <c r="N22" s="4071">
        <v>0</v>
      </c>
      <c r="O22" s="3541">
        <f t="shared" si="1"/>
        <v>2600</v>
      </c>
      <c r="P22" s="3542">
        <f t="shared" si="2"/>
        <v>387400</v>
      </c>
      <c r="Q22" s="3542">
        <f t="shared" si="3"/>
        <v>0</v>
      </c>
      <c r="R22" s="254">
        <f t="shared" si="4"/>
        <v>387400</v>
      </c>
      <c r="T22" s="263">
        <v>0</v>
      </c>
    </row>
    <row r="23" spans="2:20" ht="13.8" x14ac:dyDescent="0.3">
      <c r="B23" s="256"/>
      <c r="C23" s="257" t="s">
        <v>168</v>
      </c>
      <c r="D23" s="258">
        <f>0.63*D12</f>
        <v>140071.67999999999</v>
      </c>
      <c r="E23" s="258">
        <f>0.63*E12</f>
        <v>144273.78</v>
      </c>
      <c r="F23" s="258">
        <f t="shared" si="5"/>
        <v>284345.45999999996</v>
      </c>
      <c r="H23" s="135"/>
      <c r="I23" s="4061" t="s">
        <v>435</v>
      </c>
      <c r="J23" s="4062"/>
      <c r="K23" s="4063"/>
      <c r="L23" s="4068">
        <v>219</v>
      </c>
      <c r="M23" s="4071">
        <v>3500</v>
      </c>
      <c r="N23" s="4071">
        <v>0</v>
      </c>
      <c r="O23" s="3541">
        <f t="shared" si="1"/>
        <v>3500</v>
      </c>
      <c r="P23" s="3542">
        <f t="shared" si="2"/>
        <v>766500</v>
      </c>
      <c r="Q23" s="3542">
        <f t="shared" si="3"/>
        <v>0</v>
      </c>
      <c r="R23" s="254">
        <f t="shared" si="4"/>
        <v>766500</v>
      </c>
      <c r="T23" s="263">
        <v>0</v>
      </c>
    </row>
    <row r="24" spans="2:20" ht="13.8" x14ac:dyDescent="0.3">
      <c r="B24" s="256"/>
      <c r="C24" s="257" t="s">
        <v>169</v>
      </c>
      <c r="D24" s="266">
        <f>0.63*D17</f>
        <v>39690</v>
      </c>
      <c r="E24" s="266">
        <f>0.63*E17</f>
        <v>40682.25</v>
      </c>
      <c r="F24" s="258">
        <f t="shared" si="5"/>
        <v>80372.25</v>
      </c>
      <c r="H24" s="135"/>
      <c r="I24" s="4061" t="s">
        <v>436</v>
      </c>
      <c r="J24" s="4062"/>
      <c r="K24" s="4063"/>
      <c r="L24" s="4068">
        <v>240</v>
      </c>
      <c r="M24" s="4071">
        <v>3335</v>
      </c>
      <c r="N24" s="4071">
        <v>0</v>
      </c>
      <c r="O24" s="3541">
        <f t="shared" si="1"/>
        <v>3335</v>
      </c>
      <c r="P24" s="3542">
        <f t="shared" si="2"/>
        <v>800400</v>
      </c>
      <c r="Q24" s="3542">
        <f t="shared" si="3"/>
        <v>0</v>
      </c>
      <c r="R24" s="254">
        <f t="shared" si="4"/>
        <v>800400</v>
      </c>
      <c r="T24" s="263">
        <v>0</v>
      </c>
    </row>
    <row r="25" spans="2:20" ht="13.8" x14ac:dyDescent="0.3">
      <c r="B25" s="264"/>
      <c r="C25" s="265"/>
      <c r="D25" s="268"/>
      <c r="E25" s="268"/>
      <c r="F25" s="268"/>
      <c r="H25" s="135"/>
      <c r="I25" s="4061" t="s">
        <v>437</v>
      </c>
      <c r="J25" s="4062"/>
      <c r="K25" s="4063"/>
      <c r="L25" s="4068">
        <v>84</v>
      </c>
      <c r="M25" s="4071">
        <v>45</v>
      </c>
      <c r="N25" s="4071">
        <v>0</v>
      </c>
      <c r="O25" s="3541">
        <f t="shared" si="1"/>
        <v>45</v>
      </c>
      <c r="P25" s="3542">
        <f t="shared" si="2"/>
        <v>3780</v>
      </c>
      <c r="Q25" s="3542">
        <f t="shared" si="3"/>
        <v>0</v>
      </c>
      <c r="R25" s="254">
        <f t="shared" si="4"/>
        <v>3780</v>
      </c>
      <c r="T25" s="263">
        <v>0</v>
      </c>
    </row>
    <row r="26" spans="2:20" ht="14.4" thickBot="1" x14ac:dyDescent="0.35">
      <c r="B26" s="264"/>
      <c r="C26" s="265"/>
      <c r="D26" s="268"/>
      <c r="E26" s="268"/>
      <c r="F26" s="268"/>
      <c r="H26" s="135"/>
      <c r="I26" s="4061" t="s">
        <v>438</v>
      </c>
      <c r="J26" s="4062"/>
      <c r="K26" s="4063"/>
      <c r="L26" s="4068">
        <v>108</v>
      </c>
      <c r="M26" s="4071">
        <v>65</v>
      </c>
      <c r="N26" s="4071">
        <v>0</v>
      </c>
      <c r="O26" s="3541">
        <f t="shared" si="1"/>
        <v>65</v>
      </c>
      <c r="P26" s="3542">
        <f t="shared" si="2"/>
        <v>7020</v>
      </c>
      <c r="Q26" s="3542">
        <f t="shared" si="3"/>
        <v>0</v>
      </c>
      <c r="R26" s="254">
        <f t="shared" si="4"/>
        <v>7020</v>
      </c>
      <c r="T26" s="263">
        <v>0</v>
      </c>
    </row>
    <row r="27" spans="2:20" ht="14.4" thickBot="1" x14ac:dyDescent="0.35">
      <c r="B27" s="272">
        <v>192000</v>
      </c>
      <c r="C27" s="244" t="s">
        <v>170</v>
      </c>
      <c r="D27" s="245">
        <f>SUM(D28:D31)</f>
        <v>625000</v>
      </c>
      <c r="E27" s="245">
        <f>SUM(E28:E31)</f>
        <v>480000</v>
      </c>
      <c r="F27" s="246">
        <f>D27+E27</f>
        <v>1105000</v>
      </c>
      <c r="H27" s="135"/>
      <c r="I27" s="4061" t="s">
        <v>439</v>
      </c>
      <c r="J27" s="4062"/>
      <c r="K27" s="4063"/>
      <c r="L27" s="4068">
        <v>114</v>
      </c>
      <c r="M27" s="4071">
        <v>55</v>
      </c>
      <c r="N27" s="4071">
        <v>0</v>
      </c>
      <c r="O27" s="3541">
        <f t="shared" si="1"/>
        <v>55</v>
      </c>
      <c r="P27" s="3542">
        <f t="shared" si="2"/>
        <v>6270</v>
      </c>
      <c r="Q27" s="3542">
        <f t="shared" si="3"/>
        <v>0</v>
      </c>
      <c r="R27" s="254">
        <f t="shared" si="4"/>
        <v>6270</v>
      </c>
      <c r="T27" s="263">
        <v>0</v>
      </c>
    </row>
    <row r="28" spans="2:20" ht="13.8" x14ac:dyDescent="0.3">
      <c r="B28" s="256"/>
      <c r="C28" s="257" t="s">
        <v>162</v>
      </c>
      <c r="D28" s="258">
        <v>625000</v>
      </c>
      <c r="E28" s="258">
        <v>480000</v>
      </c>
      <c r="F28" s="258">
        <f t="shared" ref="F28:F36" si="6">SUM(D28:E28)</f>
        <v>1105000</v>
      </c>
      <c r="H28" s="135"/>
      <c r="I28" s="4061" t="s">
        <v>440</v>
      </c>
      <c r="J28" s="4062"/>
      <c r="K28" s="4063"/>
      <c r="L28" s="4068">
        <v>81</v>
      </c>
      <c r="M28" s="4071">
        <v>2700</v>
      </c>
      <c r="N28" s="4071">
        <v>0</v>
      </c>
      <c r="O28" s="3541">
        <f t="shared" si="1"/>
        <v>2700</v>
      </c>
      <c r="P28" s="3542">
        <f t="shared" si="2"/>
        <v>218700</v>
      </c>
      <c r="Q28" s="3542">
        <f t="shared" si="3"/>
        <v>0</v>
      </c>
      <c r="R28" s="254">
        <f t="shared" si="4"/>
        <v>218700</v>
      </c>
      <c r="T28" s="263">
        <v>0</v>
      </c>
    </row>
    <row r="29" spans="2:20" ht="13.8" x14ac:dyDescent="0.3">
      <c r="B29" s="264"/>
      <c r="C29" s="265" t="s">
        <v>163</v>
      </c>
      <c r="D29" s="266">
        <v>0</v>
      </c>
      <c r="E29" s="266"/>
      <c r="F29" s="258">
        <f t="shared" si="6"/>
        <v>0</v>
      </c>
      <c r="H29" s="135"/>
      <c r="I29" s="4061" t="s">
        <v>441</v>
      </c>
      <c r="J29" s="4062"/>
      <c r="K29" s="4063"/>
      <c r="L29" s="4068">
        <v>130</v>
      </c>
      <c r="M29" s="4071">
        <v>3700</v>
      </c>
      <c r="N29" s="4071">
        <v>0</v>
      </c>
      <c r="O29" s="3541">
        <f t="shared" si="1"/>
        <v>3700</v>
      </c>
      <c r="P29" s="3542">
        <f t="shared" si="2"/>
        <v>481000</v>
      </c>
      <c r="Q29" s="3542">
        <f t="shared" si="3"/>
        <v>0</v>
      </c>
      <c r="R29" s="254">
        <f t="shared" si="4"/>
        <v>481000</v>
      </c>
      <c r="T29" s="263">
        <v>0</v>
      </c>
    </row>
    <row r="30" spans="2:20" ht="13.8" x14ac:dyDescent="0.3">
      <c r="B30" s="264"/>
      <c r="C30" s="265" t="s">
        <v>164</v>
      </c>
      <c r="D30" s="266">
        <v>0</v>
      </c>
      <c r="E30" s="266"/>
      <c r="F30" s="258">
        <f t="shared" si="6"/>
        <v>0</v>
      </c>
      <c r="H30" s="135"/>
      <c r="I30" s="4061" t="s">
        <v>442</v>
      </c>
      <c r="J30" s="4062"/>
      <c r="K30" s="4063"/>
      <c r="L30" s="4068">
        <v>145</v>
      </c>
      <c r="M30" s="4071">
        <v>3500</v>
      </c>
      <c r="N30" s="4071">
        <v>0</v>
      </c>
      <c r="O30" s="3541">
        <f t="shared" si="1"/>
        <v>3500</v>
      </c>
      <c r="P30" s="3542">
        <f t="shared" si="2"/>
        <v>507500</v>
      </c>
      <c r="Q30" s="3542">
        <f t="shared" si="3"/>
        <v>0</v>
      </c>
      <c r="R30" s="254">
        <f t="shared" si="4"/>
        <v>507500</v>
      </c>
      <c r="T30" s="263">
        <v>0</v>
      </c>
    </row>
    <row r="31" spans="2:20" ht="14.4" thickBot="1" x14ac:dyDescent="0.35">
      <c r="B31" s="264"/>
      <c r="C31" s="265" t="s">
        <v>165</v>
      </c>
      <c r="D31" s="266">
        <v>0</v>
      </c>
      <c r="E31" s="266"/>
      <c r="F31" s="258">
        <f t="shared" si="6"/>
        <v>0</v>
      </c>
      <c r="H31" s="135"/>
      <c r="I31" s="4061" t="s">
        <v>443</v>
      </c>
      <c r="J31" s="4062"/>
      <c r="K31" s="4063"/>
      <c r="L31" s="4068">
        <v>16</v>
      </c>
      <c r="M31" s="4071">
        <v>700</v>
      </c>
      <c r="N31" s="4071">
        <v>0</v>
      </c>
      <c r="O31" s="3541">
        <f t="shared" si="1"/>
        <v>700</v>
      </c>
      <c r="P31" s="3542">
        <f t="shared" si="2"/>
        <v>11200</v>
      </c>
      <c r="Q31" s="3542">
        <f t="shared" si="3"/>
        <v>0</v>
      </c>
      <c r="R31" s="254">
        <f t="shared" si="4"/>
        <v>11200</v>
      </c>
      <c r="T31" s="263">
        <v>0</v>
      </c>
    </row>
    <row r="32" spans="2:20" ht="14.4" thickBot="1" x14ac:dyDescent="0.35">
      <c r="B32" s="272">
        <v>1200</v>
      </c>
      <c r="C32" s="244" t="s">
        <v>171</v>
      </c>
      <c r="D32" s="245">
        <f>SUM(D33:D36)</f>
        <v>0</v>
      </c>
      <c r="E32" s="245">
        <f>SUM(E33:E36)</f>
        <v>0</v>
      </c>
      <c r="F32" s="246">
        <f>D32+E32</f>
        <v>0</v>
      </c>
      <c r="H32" s="135"/>
      <c r="I32" s="4061" t="s">
        <v>444</v>
      </c>
      <c r="J32" s="4062"/>
      <c r="K32" s="4063"/>
      <c r="L32" s="4068">
        <v>20</v>
      </c>
      <c r="M32" s="4071">
        <v>900</v>
      </c>
      <c r="N32" s="4071">
        <v>0</v>
      </c>
      <c r="O32" s="3541">
        <f t="shared" si="1"/>
        <v>900</v>
      </c>
      <c r="P32" s="3542">
        <f t="shared" si="2"/>
        <v>18000</v>
      </c>
      <c r="Q32" s="3542">
        <f t="shared" si="3"/>
        <v>0</v>
      </c>
      <c r="R32" s="254">
        <f t="shared" si="4"/>
        <v>18000</v>
      </c>
      <c r="T32" s="263">
        <v>0</v>
      </c>
    </row>
    <row r="33" spans="2:20" ht="13.8" x14ac:dyDescent="0.3">
      <c r="B33" s="264"/>
      <c r="C33" s="265" t="s">
        <v>162</v>
      </c>
      <c r="D33" s="266">
        <v>0</v>
      </c>
      <c r="E33" s="266">
        <v>0</v>
      </c>
      <c r="F33" s="258">
        <f t="shared" si="6"/>
        <v>0</v>
      </c>
      <c r="H33" s="135"/>
      <c r="I33" s="4061" t="s">
        <v>445</v>
      </c>
      <c r="J33" s="4062"/>
      <c r="K33" s="4063"/>
      <c r="L33" s="4068">
        <v>20</v>
      </c>
      <c r="M33" s="4071">
        <v>900</v>
      </c>
      <c r="N33" s="4071">
        <v>0</v>
      </c>
      <c r="O33" s="3541">
        <f t="shared" si="1"/>
        <v>900</v>
      </c>
      <c r="P33" s="3542">
        <f t="shared" si="2"/>
        <v>18000</v>
      </c>
      <c r="Q33" s="3542">
        <f t="shared" si="3"/>
        <v>0</v>
      </c>
      <c r="R33" s="254">
        <f t="shared" si="4"/>
        <v>18000</v>
      </c>
      <c r="T33" s="263">
        <v>0</v>
      </c>
    </row>
    <row r="34" spans="2:20" ht="13.8" x14ac:dyDescent="0.3">
      <c r="B34" s="264"/>
      <c r="C34" s="265" t="s">
        <v>163</v>
      </c>
      <c r="D34" s="266">
        <v>0</v>
      </c>
      <c r="E34" s="266"/>
      <c r="F34" s="258">
        <f t="shared" si="6"/>
        <v>0</v>
      </c>
      <c r="H34" s="135"/>
      <c r="I34" s="4061" t="s">
        <v>446</v>
      </c>
      <c r="J34" s="4062"/>
      <c r="K34" s="4063"/>
      <c r="L34" s="4068">
        <v>755</v>
      </c>
      <c r="M34" s="4069">
        <v>4370</v>
      </c>
      <c r="N34" s="4069">
        <v>4400</v>
      </c>
      <c r="O34" s="3541">
        <f t="shared" si="1"/>
        <v>8770</v>
      </c>
      <c r="P34" s="3542">
        <f t="shared" si="2"/>
        <v>3299350</v>
      </c>
      <c r="Q34" s="3542">
        <f t="shared" si="3"/>
        <v>3322000</v>
      </c>
      <c r="R34" s="254">
        <f t="shared" si="4"/>
        <v>6621350</v>
      </c>
      <c r="T34" s="263">
        <v>0</v>
      </c>
    </row>
    <row r="35" spans="2:20" ht="13.8" x14ac:dyDescent="0.3">
      <c r="B35" s="264"/>
      <c r="C35" s="265" t="s">
        <v>164</v>
      </c>
      <c r="D35" s="266">
        <v>0</v>
      </c>
      <c r="E35" s="266"/>
      <c r="F35" s="258">
        <f t="shared" si="6"/>
        <v>0</v>
      </c>
      <c r="H35" s="135"/>
      <c r="I35" s="4061">
        <v>0</v>
      </c>
      <c r="J35" s="4062"/>
      <c r="K35" s="4063"/>
      <c r="L35" s="4068">
        <v>0</v>
      </c>
      <c r="M35" s="4069">
        <v>0</v>
      </c>
      <c r="N35" s="4069">
        <v>0</v>
      </c>
      <c r="O35" s="3541">
        <f t="shared" si="1"/>
        <v>0</v>
      </c>
      <c r="P35" s="3542">
        <f t="shared" si="2"/>
        <v>0</v>
      </c>
      <c r="Q35" s="3542">
        <f t="shared" si="3"/>
        <v>0</v>
      </c>
      <c r="R35" s="254">
        <f t="shared" si="4"/>
        <v>0</v>
      </c>
      <c r="T35" s="263">
        <v>0</v>
      </c>
    </row>
    <row r="36" spans="2:20" ht="14.4" thickBot="1" x14ac:dyDescent="0.35">
      <c r="B36" s="264"/>
      <c r="C36" s="265" t="s">
        <v>165</v>
      </c>
      <c r="D36" s="266">
        <v>0</v>
      </c>
      <c r="E36" s="266"/>
      <c r="F36" s="258">
        <f t="shared" si="6"/>
        <v>0</v>
      </c>
      <c r="H36" s="135"/>
      <c r="I36" s="4061" t="s">
        <v>1098</v>
      </c>
      <c r="J36" s="4062"/>
      <c r="K36" s="4063"/>
      <c r="L36" s="4068">
        <v>398</v>
      </c>
      <c r="M36" s="4069">
        <v>4000</v>
      </c>
      <c r="N36" s="4069">
        <v>0</v>
      </c>
      <c r="O36" s="3541">
        <f t="shared" si="1"/>
        <v>4000</v>
      </c>
      <c r="P36" s="3542">
        <f t="shared" si="2"/>
        <v>1592000</v>
      </c>
      <c r="Q36" s="3542">
        <f t="shared" si="3"/>
        <v>0</v>
      </c>
      <c r="R36" s="254">
        <f t="shared" si="4"/>
        <v>1592000</v>
      </c>
      <c r="T36" s="263">
        <v>0</v>
      </c>
    </row>
    <row r="37" spans="2:20" ht="14.4" thickBot="1" x14ac:dyDescent="0.35">
      <c r="B37" s="272">
        <v>0</v>
      </c>
      <c r="C37" s="244" t="s">
        <v>172</v>
      </c>
      <c r="D37" s="245">
        <f>SUM(D38:D41)</f>
        <v>905000</v>
      </c>
      <c r="E37" s="245">
        <f>SUM(E38:E41)</f>
        <v>820000</v>
      </c>
      <c r="F37" s="246">
        <f>D37+E37</f>
        <v>1725000</v>
      </c>
      <c r="H37" s="135"/>
      <c r="I37" s="4061" t="s">
        <v>1099</v>
      </c>
      <c r="J37" s="4062"/>
      <c r="K37" s="4064"/>
      <c r="L37" s="4068">
        <v>136</v>
      </c>
      <c r="M37" s="4069">
        <v>3000</v>
      </c>
      <c r="N37" s="4069">
        <v>0</v>
      </c>
      <c r="O37" s="3541">
        <f t="shared" si="1"/>
        <v>3000</v>
      </c>
      <c r="P37" s="3542">
        <f t="shared" si="2"/>
        <v>408000</v>
      </c>
      <c r="Q37" s="3542">
        <f t="shared" si="3"/>
        <v>0</v>
      </c>
      <c r="R37" s="254">
        <f t="shared" si="4"/>
        <v>408000</v>
      </c>
      <c r="T37" s="263">
        <v>0</v>
      </c>
    </row>
    <row r="38" spans="2:20" ht="13.8" x14ac:dyDescent="0.3">
      <c r="B38" s="264"/>
      <c r="C38" s="265" t="s">
        <v>422</v>
      </c>
      <c r="D38" s="3544">
        <v>355000</v>
      </c>
      <c r="E38" s="3544">
        <v>375000</v>
      </c>
      <c r="F38" s="258">
        <f t="shared" ref="F38:F51" si="7">SUM(D38:E38)</f>
        <v>730000</v>
      </c>
      <c r="H38" s="135"/>
      <c r="I38" s="259">
        <f t="shared" ref="I38:I53" si="8">C88</f>
        <v>0</v>
      </c>
      <c r="J38" s="260"/>
      <c r="K38" s="270"/>
      <c r="L38" s="250">
        <f t="shared" ref="L38:L53" si="9">D88</f>
        <v>0</v>
      </c>
      <c r="M38" s="3540">
        <v>0</v>
      </c>
      <c r="N38" s="3540">
        <v>0</v>
      </c>
      <c r="O38" s="3541">
        <f t="shared" si="1"/>
        <v>0</v>
      </c>
      <c r="P38" s="3542">
        <f t="shared" si="2"/>
        <v>0</v>
      </c>
      <c r="Q38" s="3542">
        <f t="shared" si="3"/>
        <v>0</v>
      </c>
      <c r="R38" s="254">
        <f t="shared" si="4"/>
        <v>0</v>
      </c>
      <c r="T38" s="263">
        <v>0</v>
      </c>
    </row>
    <row r="39" spans="2:20" ht="13.8" x14ac:dyDescent="0.3">
      <c r="B39" s="264"/>
      <c r="C39" s="265" t="s">
        <v>423</v>
      </c>
      <c r="D39" s="3543">
        <v>410000</v>
      </c>
      <c r="E39" s="3543">
        <v>385000</v>
      </c>
      <c r="F39" s="258">
        <f t="shared" si="7"/>
        <v>795000</v>
      </c>
      <c r="H39" s="135"/>
      <c r="I39" s="259" t="str">
        <f t="shared" si="8"/>
        <v>Measure 28</v>
      </c>
      <c r="J39" s="260"/>
      <c r="K39" s="270"/>
      <c r="L39" s="250">
        <f t="shared" si="9"/>
        <v>0</v>
      </c>
      <c r="M39" s="267">
        <v>0</v>
      </c>
      <c r="N39" s="267">
        <v>0</v>
      </c>
      <c r="O39" s="3541">
        <f t="shared" si="1"/>
        <v>0</v>
      </c>
      <c r="P39" s="3542">
        <f t="shared" si="2"/>
        <v>0</v>
      </c>
      <c r="Q39" s="3542">
        <f t="shared" si="3"/>
        <v>0</v>
      </c>
      <c r="R39" s="254">
        <f t="shared" si="4"/>
        <v>0</v>
      </c>
      <c r="T39" s="263">
        <v>0</v>
      </c>
    </row>
    <row r="40" spans="2:20" ht="13.8" x14ac:dyDescent="0.3">
      <c r="B40" s="264"/>
      <c r="C40" s="265" t="s">
        <v>164</v>
      </c>
      <c r="D40" s="3543">
        <v>140000</v>
      </c>
      <c r="E40" s="3543">
        <v>60000</v>
      </c>
      <c r="F40" s="258">
        <f t="shared" si="7"/>
        <v>200000</v>
      </c>
      <c r="H40" s="135"/>
      <c r="I40" s="259" t="str">
        <f t="shared" si="8"/>
        <v>Measure 29</v>
      </c>
      <c r="J40" s="260"/>
      <c r="K40" s="270"/>
      <c r="L40" s="250">
        <f t="shared" si="9"/>
        <v>0</v>
      </c>
      <c r="M40" s="267">
        <v>0</v>
      </c>
      <c r="N40" s="267">
        <v>0</v>
      </c>
      <c r="O40" s="3541">
        <f t="shared" si="1"/>
        <v>0</v>
      </c>
      <c r="P40" s="3542">
        <f t="shared" si="2"/>
        <v>0</v>
      </c>
      <c r="Q40" s="3542">
        <f t="shared" si="3"/>
        <v>0</v>
      </c>
      <c r="R40" s="254">
        <f t="shared" si="4"/>
        <v>0</v>
      </c>
      <c r="T40" s="263">
        <v>0</v>
      </c>
    </row>
    <row r="41" spans="2:20" ht="14.4" thickBot="1" x14ac:dyDescent="0.35">
      <c r="B41" s="264"/>
      <c r="C41" s="265" t="s">
        <v>165</v>
      </c>
      <c r="D41" s="266">
        <v>0</v>
      </c>
      <c r="E41" s="266"/>
      <c r="F41" s="258">
        <f t="shared" si="7"/>
        <v>0</v>
      </c>
      <c r="H41" s="135"/>
      <c r="I41" s="259" t="str">
        <f t="shared" si="8"/>
        <v>Measure 30</v>
      </c>
      <c r="J41" s="260"/>
      <c r="K41" s="270"/>
      <c r="L41" s="250">
        <f t="shared" si="9"/>
        <v>0</v>
      </c>
      <c r="M41" s="267">
        <v>0</v>
      </c>
      <c r="N41" s="267">
        <v>0</v>
      </c>
      <c r="O41" s="3541">
        <f t="shared" si="1"/>
        <v>0</v>
      </c>
      <c r="P41" s="3542">
        <f t="shared" si="2"/>
        <v>0</v>
      </c>
      <c r="Q41" s="3542">
        <f t="shared" si="3"/>
        <v>0</v>
      </c>
      <c r="R41" s="254">
        <f t="shared" si="4"/>
        <v>0</v>
      </c>
      <c r="T41" s="263">
        <v>0</v>
      </c>
    </row>
    <row r="42" spans="2:20" ht="14.4" thickBot="1" x14ac:dyDescent="0.35">
      <c r="B42" s="272">
        <v>7092</v>
      </c>
      <c r="C42" s="244" t="s">
        <v>173</v>
      </c>
      <c r="D42" s="245">
        <f>SUM(D43:D46)</f>
        <v>18000</v>
      </c>
      <c r="E42" s="245">
        <f>SUM(E43:E46)</f>
        <v>18000</v>
      </c>
      <c r="F42" s="246">
        <f>D42+E42</f>
        <v>36000</v>
      </c>
      <c r="H42" s="135"/>
      <c r="I42" s="259" t="str">
        <f t="shared" si="8"/>
        <v>Measure 31</v>
      </c>
      <c r="J42" s="260"/>
      <c r="K42" s="270"/>
      <c r="L42" s="250">
        <f t="shared" si="9"/>
        <v>0</v>
      </c>
      <c r="M42" s="267">
        <v>0</v>
      </c>
      <c r="N42" s="267">
        <v>0</v>
      </c>
      <c r="O42" s="3541">
        <f t="shared" si="1"/>
        <v>0</v>
      </c>
      <c r="P42" s="3542">
        <f t="shared" si="2"/>
        <v>0</v>
      </c>
      <c r="Q42" s="3542">
        <f t="shared" si="3"/>
        <v>0</v>
      </c>
      <c r="R42" s="254">
        <f t="shared" si="4"/>
        <v>0</v>
      </c>
      <c r="T42" s="263">
        <v>0</v>
      </c>
    </row>
    <row r="43" spans="2:20" ht="13.8" x14ac:dyDescent="0.3">
      <c r="B43" s="264"/>
      <c r="C43" s="265" t="s">
        <v>162</v>
      </c>
      <c r="D43" s="266">
        <v>18000</v>
      </c>
      <c r="E43" s="266">
        <v>18000</v>
      </c>
      <c r="F43" s="258">
        <f t="shared" si="7"/>
        <v>36000</v>
      </c>
      <c r="H43" s="135"/>
      <c r="I43" s="259" t="str">
        <f t="shared" si="8"/>
        <v>Measure 32</v>
      </c>
      <c r="J43" s="260"/>
      <c r="K43" s="270"/>
      <c r="L43" s="250">
        <f t="shared" si="9"/>
        <v>0</v>
      </c>
      <c r="M43" s="267">
        <v>0</v>
      </c>
      <c r="N43" s="267">
        <v>0</v>
      </c>
      <c r="O43" s="3541">
        <f t="shared" si="1"/>
        <v>0</v>
      </c>
      <c r="P43" s="3542">
        <f t="shared" si="2"/>
        <v>0</v>
      </c>
      <c r="Q43" s="3542">
        <f t="shared" si="3"/>
        <v>0</v>
      </c>
      <c r="R43" s="254">
        <f t="shared" si="4"/>
        <v>0</v>
      </c>
      <c r="T43" s="263">
        <v>0</v>
      </c>
    </row>
    <row r="44" spans="2:20" ht="13.8" x14ac:dyDescent="0.3">
      <c r="B44" s="264"/>
      <c r="C44" s="265" t="s">
        <v>163</v>
      </c>
      <c r="D44" s="266">
        <v>0</v>
      </c>
      <c r="E44" s="266"/>
      <c r="F44" s="258">
        <f t="shared" si="7"/>
        <v>0</v>
      </c>
      <c r="H44" s="135"/>
      <c r="I44" s="259" t="str">
        <f t="shared" si="8"/>
        <v>Measure 33</v>
      </c>
      <c r="J44" s="260"/>
      <c r="K44" s="270"/>
      <c r="L44" s="250">
        <f t="shared" si="9"/>
        <v>0</v>
      </c>
      <c r="M44" s="267">
        <v>0</v>
      </c>
      <c r="N44" s="267">
        <v>0</v>
      </c>
      <c r="O44" s="3541">
        <f t="shared" si="1"/>
        <v>0</v>
      </c>
      <c r="P44" s="3542">
        <f t="shared" si="2"/>
        <v>0</v>
      </c>
      <c r="Q44" s="3542">
        <f t="shared" si="3"/>
        <v>0</v>
      </c>
      <c r="R44" s="254">
        <f t="shared" si="4"/>
        <v>0</v>
      </c>
      <c r="T44" s="263">
        <v>0</v>
      </c>
    </row>
    <row r="45" spans="2:20" ht="13.8" x14ac:dyDescent="0.3">
      <c r="B45" s="264"/>
      <c r="C45" s="265" t="s">
        <v>164</v>
      </c>
      <c r="D45" s="266">
        <v>0</v>
      </c>
      <c r="E45" s="266"/>
      <c r="F45" s="258">
        <f t="shared" si="7"/>
        <v>0</v>
      </c>
      <c r="H45" s="135"/>
      <c r="I45" s="259" t="str">
        <f t="shared" si="8"/>
        <v>Measure 34</v>
      </c>
      <c r="J45" s="260"/>
      <c r="K45" s="270"/>
      <c r="L45" s="250">
        <f t="shared" si="9"/>
        <v>0</v>
      </c>
      <c r="M45" s="267">
        <v>0</v>
      </c>
      <c r="N45" s="267">
        <v>0</v>
      </c>
      <c r="O45" s="3541">
        <f t="shared" si="1"/>
        <v>0</v>
      </c>
      <c r="P45" s="3542">
        <f t="shared" si="2"/>
        <v>0</v>
      </c>
      <c r="Q45" s="3542">
        <f t="shared" si="3"/>
        <v>0</v>
      </c>
      <c r="R45" s="254">
        <f t="shared" si="4"/>
        <v>0</v>
      </c>
      <c r="T45" s="263">
        <v>0</v>
      </c>
    </row>
    <row r="46" spans="2:20" ht="14.4" thickBot="1" x14ac:dyDescent="0.35">
      <c r="B46" s="264"/>
      <c r="C46" s="265" t="s">
        <v>165</v>
      </c>
      <c r="D46" s="266">
        <v>0</v>
      </c>
      <c r="E46" s="266"/>
      <c r="F46" s="258">
        <f t="shared" si="7"/>
        <v>0</v>
      </c>
      <c r="H46" s="135"/>
      <c r="I46" s="259" t="str">
        <f t="shared" si="8"/>
        <v>Measure 35</v>
      </c>
      <c r="J46" s="260"/>
      <c r="K46" s="270"/>
      <c r="L46" s="250">
        <f t="shared" si="9"/>
        <v>0</v>
      </c>
      <c r="M46" s="267">
        <v>0</v>
      </c>
      <c r="N46" s="267">
        <v>0</v>
      </c>
      <c r="O46" s="3541">
        <f t="shared" si="1"/>
        <v>0</v>
      </c>
      <c r="P46" s="3542">
        <f t="shared" si="2"/>
        <v>0</v>
      </c>
      <c r="Q46" s="3542">
        <f t="shared" si="3"/>
        <v>0</v>
      </c>
      <c r="R46" s="254">
        <f t="shared" si="4"/>
        <v>0</v>
      </c>
      <c r="T46" s="263">
        <v>0</v>
      </c>
    </row>
    <row r="47" spans="2:20" ht="14.4" thickBot="1" x14ac:dyDescent="0.35">
      <c r="B47" s="272">
        <v>3540</v>
      </c>
      <c r="C47" s="244" t="s">
        <v>174</v>
      </c>
      <c r="D47" s="245">
        <f>SUM(D48:D51)</f>
        <v>10000</v>
      </c>
      <c r="E47" s="245">
        <f>SUM(E48:E51)</f>
        <v>10000</v>
      </c>
      <c r="F47" s="246">
        <f>D47+E47</f>
        <v>20000</v>
      </c>
      <c r="H47" s="135"/>
      <c r="I47" s="259" t="str">
        <f t="shared" si="8"/>
        <v>Measure 36</v>
      </c>
      <c r="J47" s="260"/>
      <c r="K47" s="270"/>
      <c r="L47" s="250">
        <f t="shared" si="9"/>
        <v>0</v>
      </c>
      <c r="M47" s="267">
        <v>0</v>
      </c>
      <c r="N47" s="267">
        <v>0</v>
      </c>
      <c r="O47" s="3541">
        <f t="shared" si="1"/>
        <v>0</v>
      </c>
      <c r="P47" s="3542">
        <f t="shared" si="2"/>
        <v>0</v>
      </c>
      <c r="Q47" s="3542">
        <f t="shared" si="3"/>
        <v>0</v>
      </c>
      <c r="R47" s="254">
        <f t="shared" si="4"/>
        <v>0</v>
      </c>
      <c r="T47" s="263">
        <v>0</v>
      </c>
    </row>
    <row r="48" spans="2:20" ht="13.8" x14ac:dyDescent="0.3">
      <c r="B48" s="264"/>
      <c r="C48" s="265" t="s">
        <v>162</v>
      </c>
      <c r="D48" s="266">
        <v>10000</v>
      </c>
      <c r="E48" s="266">
        <v>10000</v>
      </c>
      <c r="F48" s="258">
        <f t="shared" si="7"/>
        <v>20000</v>
      </c>
      <c r="H48" s="135"/>
      <c r="I48" s="259" t="str">
        <f t="shared" si="8"/>
        <v>Measure 37</v>
      </c>
      <c r="J48" s="260"/>
      <c r="K48" s="270"/>
      <c r="L48" s="250">
        <f t="shared" si="9"/>
        <v>0</v>
      </c>
      <c r="M48" s="267">
        <v>0</v>
      </c>
      <c r="N48" s="267">
        <v>0</v>
      </c>
      <c r="O48" s="3541">
        <f t="shared" si="1"/>
        <v>0</v>
      </c>
      <c r="P48" s="3542">
        <f t="shared" si="2"/>
        <v>0</v>
      </c>
      <c r="Q48" s="3542">
        <f t="shared" si="3"/>
        <v>0</v>
      </c>
      <c r="R48" s="254">
        <f t="shared" si="4"/>
        <v>0</v>
      </c>
      <c r="T48" s="263">
        <v>0</v>
      </c>
    </row>
    <row r="49" spans="2:24" ht="13.8" x14ac:dyDescent="0.3">
      <c r="B49" s="264"/>
      <c r="C49" s="265" t="s">
        <v>163</v>
      </c>
      <c r="D49" s="266">
        <v>0</v>
      </c>
      <c r="E49" s="266"/>
      <c r="F49" s="258">
        <f t="shared" si="7"/>
        <v>0</v>
      </c>
      <c r="I49" s="259" t="str">
        <f t="shared" si="8"/>
        <v>Measure 38</v>
      </c>
      <c r="J49" s="260"/>
      <c r="K49" s="261"/>
      <c r="L49" s="250">
        <f t="shared" si="9"/>
        <v>0</v>
      </c>
      <c r="M49" s="267">
        <v>0</v>
      </c>
      <c r="N49" s="267">
        <v>0</v>
      </c>
      <c r="O49" s="3541">
        <f t="shared" si="1"/>
        <v>0</v>
      </c>
      <c r="P49" s="3542">
        <f t="shared" si="2"/>
        <v>0</v>
      </c>
      <c r="Q49" s="3542">
        <f t="shared" si="3"/>
        <v>0</v>
      </c>
      <c r="R49" s="254">
        <f t="shared" si="4"/>
        <v>0</v>
      </c>
      <c r="T49" s="263">
        <v>0</v>
      </c>
    </row>
    <row r="50" spans="2:24" ht="13.8" x14ac:dyDescent="0.3">
      <c r="B50" s="264"/>
      <c r="C50" s="265" t="s">
        <v>164</v>
      </c>
      <c r="D50" s="266">
        <v>0</v>
      </c>
      <c r="E50" s="266"/>
      <c r="F50" s="258">
        <f t="shared" si="7"/>
        <v>0</v>
      </c>
      <c r="I50" s="259" t="str">
        <f t="shared" si="8"/>
        <v>Measure 39</v>
      </c>
      <c r="J50" s="260"/>
      <c r="K50" s="261"/>
      <c r="L50" s="250">
        <f t="shared" si="9"/>
        <v>0</v>
      </c>
      <c r="M50" s="267">
        <v>0</v>
      </c>
      <c r="N50" s="267">
        <v>0</v>
      </c>
      <c r="O50" s="3541">
        <f t="shared" si="1"/>
        <v>0</v>
      </c>
      <c r="P50" s="3542">
        <f t="shared" si="2"/>
        <v>0</v>
      </c>
      <c r="Q50" s="3542">
        <f t="shared" si="3"/>
        <v>0</v>
      </c>
      <c r="R50" s="254">
        <f t="shared" si="4"/>
        <v>0</v>
      </c>
      <c r="T50" s="263">
        <v>0</v>
      </c>
    </row>
    <row r="51" spans="2:24" ht="14.4" thickBot="1" x14ac:dyDescent="0.35">
      <c r="B51" s="264"/>
      <c r="C51" s="265" t="s">
        <v>165</v>
      </c>
      <c r="D51" s="266">
        <v>0</v>
      </c>
      <c r="E51" s="266"/>
      <c r="F51" s="258">
        <f t="shared" si="7"/>
        <v>0</v>
      </c>
      <c r="I51" s="259" t="str">
        <f t="shared" si="8"/>
        <v>Measure 40</v>
      </c>
      <c r="J51" s="260"/>
      <c r="K51" s="261"/>
      <c r="L51" s="250">
        <f t="shared" si="9"/>
        <v>0</v>
      </c>
      <c r="M51" s="267">
        <v>0</v>
      </c>
      <c r="N51" s="267">
        <v>0</v>
      </c>
      <c r="O51" s="3541">
        <f t="shared" si="1"/>
        <v>0</v>
      </c>
      <c r="P51" s="3542">
        <f t="shared" si="2"/>
        <v>0</v>
      </c>
      <c r="Q51" s="3542">
        <f t="shared" si="3"/>
        <v>0</v>
      </c>
      <c r="R51" s="254">
        <f t="shared" si="4"/>
        <v>0</v>
      </c>
      <c r="T51" s="263">
        <v>0</v>
      </c>
    </row>
    <row r="52" spans="2:24" ht="14.4" thickBot="1" x14ac:dyDescent="0.35">
      <c r="B52" s="272">
        <v>1186418</v>
      </c>
      <c r="C52" s="244" t="s">
        <v>175</v>
      </c>
      <c r="D52" s="245">
        <f>S104</f>
        <v>6102890</v>
      </c>
      <c r="E52" s="245">
        <f>T104</f>
        <v>6546800</v>
      </c>
      <c r="F52" s="246">
        <f>U104</f>
        <v>12649690</v>
      </c>
      <c r="G52" s="271" t="s">
        <v>176</v>
      </c>
      <c r="I52" s="259" t="str">
        <f t="shared" si="8"/>
        <v>Measure 41</v>
      </c>
      <c r="J52" s="260"/>
      <c r="K52" s="261"/>
      <c r="L52" s="250">
        <f t="shared" si="9"/>
        <v>0</v>
      </c>
      <c r="M52" s="267">
        <v>0</v>
      </c>
      <c r="N52" s="267">
        <v>0</v>
      </c>
      <c r="O52" s="3541">
        <f t="shared" si="1"/>
        <v>0</v>
      </c>
      <c r="P52" s="3542">
        <f t="shared" si="2"/>
        <v>0</v>
      </c>
      <c r="Q52" s="3542">
        <f t="shared" si="3"/>
        <v>0</v>
      </c>
      <c r="R52" s="254">
        <f t="shared" si="4"/>
        <v>0</v>
      </c>
      <c r="T52" s="263">
        <v>0</v>
      </c>
    </row>
    <row r="53" spans="2:24" ht="14.4" thickBot="1" x14ac:dyDescent="0.35">
      <c r="B53" s="272">
        <v>0</v>
      </c>
      <c r="C53" s="244" t="s">
        <v>177</v>
      </c>
      <c r="D53" s="245">
        <v>0</v>
      </c>
      <c r="E53" s="245">
        <v>0</v>
      </c>
      <c r="F53" s="246">
        <v>0</v>
      </c>
      <c r="I53" s="259" t="str">
        <f t="shared" si="8"/>
        <v>Measure 42</v>
      </c>
      <c r="J53" s="260"/>
      <c r="K53" s="261"/>
      <c r="L53" s="250">
        <f t="shared" si="9"/>
        <v>0</v>
      </c>
      <c r="M53" s="267">
        <v>0</v>
      </c>
      <c r="N53" s="267">
        <v>0</v>
      </c>
      <c r="O53" s="3541">
        <f t="shared" si="1"/>
        <v>0</v>
      </c>
      <c r="P53" s="3542">
        <f t="shared" si="2"/>
        <v>0</v>
      </c>
      <c r="Q53" s="3542">
        <f t="shared" si="3"/>
        <v>0</v>
      </c>
      <c r="R53" s="254">
        <f t="shared" si="4"/>
        <v>0</v>
      </c>
      <c r="T53" s="263">
        <v>0</v>
      </c>
    </row>
    <row r="54" spans="2:24" ht="13.8" x14ac:dyDescent="0.3">
      <c r="B54" s="273">
        <f>B12+B17+B22+B27+B32+B37+B42+B47+B52+B53</f>
        <v>1596760</v>
      </c>
      <c r="C54" s="274" t="s">
        <v>178</v>
      </c>
      <c r="D54" s="273">
        <f>D12+D17+D22+D27+D32+D37+D42+D47+D52+D53</f>
        <v>8125987.6799999997</v>
      </c>
      <c r="E54" s="273">
        <f>E12+E17+E22+E27+E32+E37+E42+E47+E52+E53</f>
        <v>8353337.0300000003</v>
      </c>
      <c r="F54" s="273">
        <f>F12+F17+F22+F27+F32+F37+F42+F47+F52+F53</f>
        <v>16479324.710000001</v>
      </c>
      <c r="P54" s="275">
        <f>SUM(P12:P53)</f>
        <v>25116120</v>
      </c>
      <c r="Q54" s="275">
        <f>SUM(Q12:Q53)</f>
        <v>26582500</v>
      </c>
      <c r="R54" s="275">
        <f>SUM(R12:R53)</f>
        <v>51698620</v>
      </c>
      <c r="T54" s="275">
        <f>SUM(T12:T53)</f>
        <v>8360823</v>
      </c>
    </row>
    <row r="55" spans="2:24" ht="13.8" x14ac:dyDescent="0.3">
      <c r="C55" s="274"/>
      <c r="D55" s="273"/>
      <c r="E55" s="273"/>
      <c r="F55" s="273"/>
    </row>
    <row r="56" spans="2:24" ht="13.8" x14ac:dyDescent="0.3">
      <c r="C56" s="274" t="s">
        <v>179</v>
      </c>
      <c r="D56" s="273">
        <f>D54-D52</f>
        <v>2023097.6799999997</v>
      </c>
      <c r="E56" s="273">
        <f>E54-E52</f>
        <v>1806537.0300000003</v>
      </c>
      <c r="F56" s="273">
        <f>F54-F52</f>
        <v>3829634.7100000009</v>
      </c>
    </row>
    <row r="57" spans="2:24" ht="13.8" x14ac:dyDescent="0.3">
      <c r="C57" s="274" t="s">
        <v>180</v>
      </c>
      <c r="D57" s="276">
        <f>D52</f>
        <v>6102890</v>
      </c>
      <c r="E57" s="276">
        <f>E52</f>
        <v>6546800</v>
      </c>
      <c r="F57" s="276">
        <f>F52</f>
        <v>12649690</v>
      </c>
      <c r="G57" s="335">
        <f>F57/(F56+F57)</f>
        <v>0.7676097305324594</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048" t="s">
        <v>424</v>
      </c>
      <c r="D62" s="4049">
        <v>65</v>
      </c>
      <c r="E62" s="4049" t="s">
        <v>206</v>
      </c>
      <c r="F62" s="4049" t="s">
        <v>211</v>
      </c>
      <c r="G62" s="4050">
        <v>38</v>
      </c>
      <c r="H62" s="4050">
        <v>35</v>
      </c>
      <c r="I62" s="4051">
        <v>1.3366168869411296E-2</v>
      </c>
      <c r="J62" s="4049">
        <v>20</v>
      </c>
      <c r="K62" s="4049" t="s">
        <v>291</v>
      </c>
      <c r="L62" s="4053">
        <v>1.7257948058557568</v>
      </c>
      <c r="M62" s="4053">
        <v>1.7642170068165217</v>
      </c>
      <c r="N62" s="4055">
        <v>419692.45535801939</v>
      </c>
      <c r="O62" s="4055">
        <v>451607.34897504066</v>
      </c>
      <c r="P62" s="4055">
        <v>724303.05951371894</v>
      </c>
      <c r="Q62" s="4055">
        <v>796733.36546509061</v>
      </c>
      <c r="R62" s="4052">
        <v>1.081</v>
      </c>
      <c r="S62" s="4060">
        <f>M12*$H62</f>
        <v>175000</v>
      </c>
      <c r="T62" s="4060">
        <f>N12*$H62</f>
        <v>227500</v>
      </c>
      <c r="U62" s="4060">
        <f>SUM(S62:T62)</f>
        <v>402500</v>
      </c>
      <c r="V62" s="338">
        <f>U62/(U62+(I62*F$56))</f>
        <v>0.88717445543377527</v>
      </c>
      <c r="W62" s="338">
        <f t="shared" ref="W62:W80" si="10">(I62*((F$17*1.63)+F$27))/(U62+(I62*F$56))</f>
        <v>3.8680970819793194E-2</v>
      </c>
      <c r="X62" s="338">
        <f>(I62*F$37)/(U62+(I62*F$56))</f>
        <v>5.082052966266791E-2</v>
      </c>
    </row>
    <row r="63" spans="2:24" ht="13.8" x14ac:dyDescent="0.3">
      <c r="B63" s="296"/>
      <c r="C63" s="4048" t="s">
        <v>425</v>
      </c>
      <c r="D63" s="4048">
        <v>86</v>
      </c>
      <c r="E63" s="4048" t="s">
        <v>206</v>
      </c>
      <c r="F63" s="4049" t="s">
        <v>211</v>
      </c>
      <c r="G63" s="4050">
        <v>77</v>
      </c>
      <c r="H63" s="4050">
        <v>35</v>
      </c>
      <c r="I63" s="4051">
        <v>8.8422347905336273E-3</v>
      </c>
      <c r="J63" s="4049">
        <v>20</v>
      </c>
      <c r="K63" s="4049" t="s">
        <v>291</v>
      </c>
      <c r="L63" s="4053">
        <v>2.2163556154196851</v>
      </c>
      <c r="M63" s="4053">
        <v>1.1989909695825312</v>
      </c>
      <c r="N63" s="4055">
        <v>225589.75880462272</v>
      </c>
      <c r="O63" s="4055">
        <v>458707.24261590862</v>
      </c>
      <c r="P63" s="4055">
        <v>499987.12870779791</v>
      </c>
      <c r="Q63" s="4055">
        <v>549985.84157857765</v>
      </c>
      <c r="R63" s="4052">
        <v>1.081</v>
      </c>
      <c r="S63" s="4070">
        <f t="shared" ref="S63:S103" si="11">M13*$H63</f>
        <v>87500</v>
      </c>
      <c r="T63" s="4070">
        <f t="shared" ref="T63:T103" si="12">N13*$H63</f>
        <v>122500</v>
      </c>
      <c r="U63" s="4060">
        <f t="shared" ref="U63:U103" si="13">SUM(S63:T63)</f>
        <v>210000</v>
      </c>
      <c r="V63" s="338">
        <f t="shared" ref="V63:V80" si="14">U63/(U63+(I63*F$56))</f>
        <v>0.86114090848860547</v>
      </c>
      <c r="W63" s="338">
        <f t="shared" si="10"/>
        <v>4.7606280009244988E-2</v>
      </c>
      <c r="X63" s="338">
        <f t="shared" ref="X63:X80" si="15">(I63*F$37)/(U63+(I63*F$56))</f>
        <v>6.2546940111986679E-2</v>
      </c>
    </row>
    <row r="64" spans="2:24" ht="13.8" x14ac:dyDescent="0.3">
      <c r="B64" s="296"/>
      <c r="C64" s="4048" t="s">
        <v>426</v>
      </c>
      <c r="D64" s="4049">
        <v>42</v>
      </c>
      <c r="E64" s="4048" t="s">
        <v>206</v>
      </c>
      <c r="F64" s="4049" t="s">
        <v>211</v>
      </c>
      <c r="G64" s="4050">
        <v>4</v>
      </c>
      <c r="H64" s="4050">
        <v>20</v>
      </c>
      <c r="I64" s="4051">
        <v>7.7729412809807233E-3</v>
      </c>
      <c r="J64" s="4049">
        <v>20</v>
      </c>
      <c r="K64" s="4049" t="s">
        <v>291</v>
      </c>
      <c r="L64" s="4053">
        <v>1.901709577327839</v>
      </c>
      <c r="M64" s="4053">
        <v>6.7838895454441062</v>
      </c>
      <c r="N64" s="4055">
        <v>203300.20881446407</v>
      </c>
      <c r="O64" s="4055">
        <v>62689.663023529742</v>
      </c>
      <c r="P64" s="4055">
        <v>386617.95417521585</v>
      </c>
      <c r="Q64" s="4055">
        <v>425279.74959273735</v>
      </c>
      <c r="R64" s="4052">
        <v>1.081</v>
      </c>
      <c r="S64" s="4070">
        <f t="shared" si="11"/>
        <v>90000</v>
      </c>
      <c r="T64" s="4070">
        <f t="shared" si="12"/>
        <v>100000</v>
      </c>
      <c r="U64" s="4060">
        <f t="shared" si="13"/>
        <v>190000</v>
      </c>
      <c r="V64" s="338">
        <f t="shared" si="14"/>
        <v>0.86454993461946206</v>
      </c>
      <c r="W64" s="338">
        <f t="shared" si="10"/>
        <v>4.643753368678271E-2</v>
      </c>
      <c r="X64" s="338">
        <f t="shared" si="15"/>
        <v>6.1011396771424121E-2</v>
      </c>
    </row>
    <row r="65" spans="2:24" ht="13.8" x14ac:dyDescent="0.3">
      <c r="B65" s="296"/>
      <c r="C65" s="4048" t="s">
        <v>427</v>
      </c>
      <c r="D65" s="4048">
        <v>482</v>
      </c>
      <c r="E65" s="4048" t="s">
        <v>206</v>
      </c>
      <c r="F65" s="4049" t="s">
        <v>211</v>
      </c>
      <c r="G65" s="4050">
        <v>65</v>
      </c>
      <c r="H65" s="4050">
        <v>65</v>
      </c>
      <c r="I65" s="4051">
        <v>0.29734584900259592</v>
      </c>
      <c r="J65" s="4049">
        <v>9</v>
      </c>
      <c r="K65" s="4049" t="s">
        <v>291</v>
      </c>
      <c r="L65" s="4053">
        <v>2.8619369576466513</v>
      </c>
      <c r="M65" s="4053">
        <v>3.1481306534113163</v>
      </c>
      <c r="N65" s="4055">
        <v>2857285.8318360411</v>
      </c>
      <c r="O65" s="4055">
        <v>2857285.8318360411</v>
      </c>
      <c r="P65" s="4055">
        <v>8177371.9206917211</v>
      </c>
      <c r="Q65" s="4055">
        <v>8995109.1127608921</v>
      </c>
      <c r="R65" s="4052">
        <v>1.081</v>
      </c>
      <c r="S65" s="4070">
        <f t="shared" si="11"/>
        <v>975000</v>
      </c>
      <c r="T65" s="4070">
        <f t="shared" si="12"/>
        <v>975000</v>
      </c>
      <c r="U65" s="4060">
        <f t="shared" si="13"/>
        <v>1950000</v>
      </c>
      <c r="V65" s="338">
        <f t="shared" si="14"/>
        <v>0.63132825960142402</v>
      </c>
      <c r="W65" s="338">
        <f t="shared" si="10"/>
        <v>0.12639496567259392</v>
      </c>
      <c r="X65" s="338">
        <f t="shared" si="15"/>
        <v>0.16606250996391861</v>
      </c>
    </row>
    <row r="66" spans="2:24" ht="13.8" x14ac:dyDescent="0.3">
      <c r="B66" s="296"/>
      <c r="C66" s="4048" t="s">
        <v>428</v>
      </c>
      <c r="D66" s="4049">
        <v>555</v>
      </c>
      <c r="E66" s="4048" t="s">
        <v>206</v>
      </c>
      <c r="F66" s="4049" t="s">
        <v>211</v>
      </c>
      <c r="G66" s="4050">
        <v>65</v>
      </c>
      <c r="H66" s="4050">
        <v>65</v>
      </c>
      <c r="I66" s="4051">
        <v>6.8475911284830174E-2</v>
      </c>
      <c r="J66" s="4049">
        <v>6</v>
      </c>
      <c r="K66" s="4049" t="s">
        <v>291</v>
      </c>
      <c r="L66" s="4053">
        <v>2.3678578475108378</v>
      </c>
      <c r="M66" s="4053">
        <v>2.6046436322619209</v>
      </c>
      <c r="N66" s="4055">
        <v>663494.65925556561</v>
      </c>
      <c r="O66" s="4055">
        <v>663494.65925556561</v>
      </c>
      <c r="P66" s="4055">
        <v>1571061.0356998204</v>
      </c>
      <c r="Q66" s="4055">
        <v>1728167.139269802</v>
      </c>
      <c r="R66" s="4052">
        <v>1.081</v>
      </c>
      <c r="S66" s="4070">
        <f t="shared" si="11"/>
        <v>195000</v>
      </c>
      <c r="T66" s="4070">
        <f t="shared" si="12"/>
        <v>260000</v>
      </c>
      <c r="U66" s="4060">
        <f t="shared" si="13"/>
        <v>455000</v>
      </c>
      <c r="V66" s="338">
        <f t="shared" si="14"/>
        <v>0.63437823066255339</v>
      </c>
      <c r="W66" s="338">
        <f t="shared" si="10"/>
        <v>0.12534931734826865</v>
      </c>
      <c r="X66" s="338">
        <f t="shared" si="15"/>
        <v>0.16468869745205941</v>
      </c>
    </row>
    <row r="67" spans="2:24" ht="13.8" x14ac:dyDescent="0.3">
      <c r="B67" s="296"/>
      <c r="C67" s="4048" t="s">
        <v>429</v>
      </c>
      <c r="D67" s="4048">
        <v>482</v>
      </c>
      <c r="E67" s="4048" t="s">
        <v>206</v>
      </c>
      <c r="F67" s="4049" t="s">
        <v>211</v>
      </c>
      <c r="G67" s="4050">
        <v>130</v>
      </c>
      <c r="H67" s="4050">
        <v>30</v>
      </c>
      <c r="I67" s="4051">
        <v>0.21805362260190367</v>
      </c>
      <c r="J67" s="4049">
        <v>9</v>
      </c>
      <c r="K67" s="4049" t="s">
        <v>291</v>
      </c>
      <c r="L67" s="4053">
        <v>4.5475835124330706</v>
      </c>
      <c r="M67" s="4053">
        <v>1.966837192596365</v>
      </c>
      <c r="N67" s="4055">
        <v>1438543.6834019346</v>
      </c>
      <c r="O67" s="4055">
        <v>3658710.1958903712</v>
      </c>
      <c r="P67" s="4055">
        <v>6541897.5365533773</v>
      </c>
      <c r="Q67" s="4055">
        <v>7196087.2902087141</v>
      </c>
      <c r="R67" s="4052">
        <v>1.081</v>
      </c>
      <c r="S67" s="4070">
        <f t="shared" si="11"/>
        <v>330000</v>
      </c>
      <c r="T67" s="4070">
        <f t="shared" si="12"/>
        <v>390000</v>
      </c>
      <c r="U67" s="4060">
        <f t="shared" si="13"/>
        <v>720000</v>
      </c>
      <c r="V67" s="338">
        <f t="shared" si="14"/>
        <v>0.46300293931389375</v>
      </c>
      <c r="W67" s="338">
        <f t="shared" si="10"/>
        <v>0.18410341128486013</v>
      </c>
      <c r="X67" s="338">
        <f t="shared" si="15"/>
        <v>0.24188205921173433</v>
      </c>
    </row>
    <row r="68" spans="2:24" ht="13.8" x14ac:dyDescent="0.3">
      <c r="B68" s="296"/>
      <c r="C68" s="4048" t="s">
        <v>430</v>
      </c>
      <c r="D68" s="4049">
        <v>555</v>
      </c>
      <c r="E68" s="4048" t="s">
        <v>206</v>
      </c>
      <c r="F68" s="4049" t="s">
        <v>211</v>
      </c>
      <c r="G68" s="4050">
        <v>130</v>
      </c>
      <c r="H68" s="4050">
        <v>30</v>
      </c>
      <c r="I68" s="4051">
        <v>6.8475911284830174E-2</v>
      </c>
      <c r="J68" s="4049">
        <v>6</v>
      </c>
      <c r="K68" s="4049" t="s">
        <v>291</v>
      </c>
      <c r="L68" s="4053">
        <v>3.5963178791754551</v>
      </c>
      <c r="M68" s="4053">
        <v>1.593660257703039</v>
      </c>
      <c r="N68" s="4055">
        <v>436852.66110570432</v>
      </c>
      <c r="O68" s="4055">
        <v>1084401.2272481648</v>
      </c>
      <c r="P68" s="4055">
        <v>1571061.0356998204</v>
      </c>
      <c r="Q68" s="4055">
        <v>1728167.139269802</v>
      </c>
      <c r="R68" s="4052">
        <v>1.081</v>
      </c>
      <c r="S68" s="4070">
        <f t="shared" si="11"/>
        <v>90000</v>
      </c>
      <c r="T68" s="4070">
        <f t="shared" si="12"/>
        <v>120000</v>
      </c>
      <c r="U68" s="4060">
        <f t="shared" si="13"/>
        <v>210000</v>
      </c>
      <c r="V68" s="338">
        <f t="shared" si="14"/>
        <v>0.44469128184097845</v>
      </c>
      <c r="W68" s="338">
        <f t="shared" si="10"/>
        <v>0.19038135739267736</v>
      </c>
      <c r="X68" s="338">
        <f t="shared" si="15"/>
        <v>0.25013026342251637</v>
      </c>
    </row>
    <row r="69" spans="2:24" ht="13.8" x14ac:dyDescent="0.3">
      <c r="B69" s="296"/>
      <c r="C69" s="4048" t="s">
        <v>431</v>
      </c>
      <c r="D69" s="4048">
        <v>112</v>
      </c>
      <c r="E69" s="4048" t="s">
        <v>206</v>
      </c>
      <c r="F69" s="4049" t="s">
        <v>211</v>
      </c>
      <c r="G69" s="4050">
        <v>107</v>
      </c>
      <c r="H69" s="4050">
        <v>50</v>
      </c>
      <c r="I69" s="4051">
        <v>0</v>
      </c>
      <c r="J69" s="4049">
        <v>14</v>
      </c>
      <c r="K69" s="4049" t="s">
        <v>259</v>
      </c>
      <c r="L69" s="4053">
        <v>2.1591673635059516</v>
      </c>
      <c r="M69" s="4053">
        <v>1.1098523831105358</v>
      </c>
      <c r="N69" s="4055">
        <v>346901.01757631823</v>
      </c>
      <c r="O69" s="4055">
        <v>742368.17761332099</v>
      </c>
      <c r="P69" s="4055">
        <v>749017.35551779089</v>
      </c>
      <c r="Q69" s="4055">
        <v>823919.09106956981</v>
      </c>
      <c r="R69" s="4052">
        <v>1.081</v>
      </c>
      <c r="S69" s="4070">
        <f t="shared" si="11"/>
        <v>0</v>
      </c>
      <c r="T69" s="4070">
        <f t="shared" si="12"/>
        <v>375000</v>
      </c>
      <c r="U69" s="4060">
        <f t="shared" si="13"/>
        <v>375000</v>
      </c>
      <c r="V69" s="338">
        <f t="shared" si="14"/>
        <v>1</v>
      </c>
      <c r="W69" s="338">
        <f t="shared" si="10"/>
        <v>0</v>
      </c>
      <c r="X69" s="338">
        <f t="shared" si="15"/>
        <v>0</v>
      </c>
    </row>
    <row r="70" spans="2:24" ht="13.8" x14ac:dyDescent="0.3">
      <c r="B70" s="296"/>
      <c r="C70" s="4048" t="s">
        <v>432</v>
      </c>
      <c r="D70" s="4049">
        <v>167</v>
      </c>
      <c r="E70" s="4048" t="s">
        <v>206</v>
      </c>
      <c r="F70" s="4049" t="s">
        <v>211</v>
      </c>
      <c r="G70" s="4050">
        <v>246</v>
      </c>
      <c r="H70" s="4050">
        <v>100</v>
      </c>
      <c r="I70" s="4051">
        <v>0</v>
      </c>
      <c r="J70" s="4049">
        <v>14</v>
      </c>
      <c r="K70" s="4049" t="s">
        <v>259</v>
      </c>
      <c r="L70" s="4053">
        <v>1.609736382613812</v>
      </c>
      <c r="M70" s="4053">
        <v>0.71980082149398106</v>
      </c>
      <c r="N70" s="4055">
        <v>925069.38020351529</v>
      </c>
      <c r="O70" s="4055">
        <v>2275670.6753006475</v>
      </c>
      <c r="P70" s="4055">
        <v>1489117.8377556079</v>
      </c>
      <c r="Q70" s="4055">
        <v>1638029.6215311687</v>
      </c>
      <c r="R70" s="4052">
        <v>1.081</v>
      </c>
      <c r="S70" s="4070">
        <f t="shared" si="11"/>
        <v>0</v>
      </c>
      <c r="T70" s="4070">
        <f t="shared" si="12"/>
        <v>1000000</v>
      </c>
      <c r="U70" s="4060">
        <f t="shared" si="13"/>
        <v>1000000</v>
      </c>
      <c r="V70" s="338">
        <f t="shared" si="14"/>
        <v>1</v>
      </c>
      <c r="W70" s="338">
        <f t="shared" si="10"/>
        <v>0</v>
      </c>
      <c r="X70" s="338">
        <f t="shared" si="15"/>
        <v>0</v>
      </c>
    </row>
    <row r="71" spans="2:24" ht="13.8" x14ac:dyDescent="0.3">
      <c r="B71" s="296"/>
      <c r="C71" s="4048" t="s">
        <v>433</v>
      </c>
      <c r="D71" s="4048">
        <v>209</v>
      </c>
      <c r="E71" s="4048" t="s">
        <v>206</v>
      </c>
      <c r="F71" s="4049" t="s">
        <v>211</v>
      </c>
      <c r="G71" s="4050">
        <v>209</v>
      </c>
      <c r="H71" s="4050">
        <v>100</v>
      </c>
      <c r="I71" s="4051">
        <v>0</v>
      </c>
      <c r="J71" s="4049">
        <v>14</v>
      </c>
      <c r="K71" s="4049" t="s">
        <v>259</v>
      </c>
      <c r="L71" s="4053">
        <v>2.0145802632711782</v>
      </c>
      <c r="M71" s="4053">
        <v>1.0603054017216726</v>
      </c>
      <c r="N71" s="4055">
        <v>832562.44218316372</v>
      </c>
      <c r="O71" s="4055">
        <v>1740055.5041628124</v>
      </c>
      <c r="P71" s="4055">
        <v>1677263.8639630531</v>
      </c>
      <c r="Q71" s="4055">
        <v>1844990.2503593583</v>
      </c>
      <c r="R71" s="4052">
        <v>1.081</v>
      </c>
      <c r="S71" s="4070">
        <f t="shared" si="11"/>
        <v>0</v>
      </c>
      <c r="T71" s="4070">
        <f t="shared" si="12"/>
        <v>900000</v>
      </c>
      <c r="U71" s="4060">
        <f t="shared" si="13"/>
        <v>900000</v>
      </c>
      <c r="V71" s="338">
        <f t="shared" si="14"/>
        <v>1</v>
      </c>
      <c r="W71" s="338">
        <f t="shared" si="10"/>
        <v>0</v>
      </c>
      <c r="X71" s="338">
        <f t="shared" si="15"/>
        <v>0</v>
      </c>
    </row>
    <row r="72" spans="2:24" ht="13.8" x14ac:dyDescent="0.3">
      <c r="B72" s="296"/>
      <c r="C72" s="4048" t="s">
        <v>434</v>
      </c>
      <c r="D72" s="4049">
        <v>149</v>
      </c>
      <c r="E72" s="4048" t="s">
        <v>206</v>
      </c>
      <c r="F72" s="4049" t="s">
        <v>211</v>
      </c>
      <c r="G72" s="4050">
        <v>107</v>
      </c>
      <c r="H72" s="4050">
        <v>50</v>
      </c>
      <c r="I72" s="4051">
        <v>1.5932473292338264E-2</v>
      </c>
      <c r="J72" s="4049">
        <v>14</v>
      </c>
      <c r="K72" s="4049" t="s">
        <v>259</v>
      </c>
      <c r="L72" s="4053">
        <v>1.9549208368466708</v>
      </c>
      <c r="M72" s="4053">
        <v>1.2109182769283846</v>
      </c>
      <c r="N72" s="4055">
        <v>176702.63897917356</v>
      </c>
      <c r="O72" s="4055">
        <v>313797.92112533451</v>
      </c>
      <c r="P72" s="4055">
        <v>345439.67086618114</v>
      </c>
      <c r="Q72" s="4055">
        <v>379983.63795279921</v>
      </c>
      <c r="R72" s="4052">
        <v>1.081</v>
      </c>
      <c r="S72" s="4070">
        <f t="shared" si="11"/>
        <v>130000</v>
      </c>
      <c r="T72" s="4070">
        <f t="shared" si="12"/>
        <v>0</v>
      </c>
      <c r="U72" s="4060">
        <f t="shared" si="13"/>
        <v>130000</v>
      </c>
      <c r="V72" s="338">
        <f t="shared" si="14"/>
        <v>0.68057285460592865</v>
      </c>
      <c r="W72" s="338">
        <f t="shared" si="10"/>
        <v>0.10951200933743784</v>
      </c>
      <c r="X72" s="338">
        <f t="shared" si="15"/>
        <v>0.1438810402375878</v>
      </c>
    </row>
    <row r="73" spans="2:24" ht="13.8" x14ac:dyDescent="0.3">
      <c r="B73" s="296"/>
      <c r="C73" s="4048" t="s">
        <v>435</v>
      </c>
      <c r="D73" s="4048">
        <v>219</v>
      </c>
      <c r="E73" s="4048" t="s">
        <v>206</v>
      </c>
      <c r="F73" s="4049" t="s">
        <v>211</v>
      </c>
      <c r="G73" s="4050">
        <v>246</v>
      </c>
      <c r="H73" s="4050">
        <v>100</v>
      </c>
      <c r="I73" s="4051">
        <v>3.1523595195088489E-2</v>
      </c>
      <c r="J73" s="4049">
        <v>14</v>
      </c>
      <c r="K73" s="4049" t="s">
        <v>259</v>
      </c>
      <c r="L73" s="4053">
        <v>1.5695828358449173</v>
      </c>
      <c r="M73" s="4053">
        <v>0.82785407202260486</v>
      </c>
      <c r="N73" s="4055">
        <v>435452.22418418142</v>
      </c>
      <c r="O73" s="4055">
        <v>908162.67746817775</v>
      </c>
      <c r="P73" s="4055">
        <v>683478.33690998412</v>
      </c>
      <c r="Q73" s="4055">
        <v>751826.1706009825</v>
      </c>
      <c r="R73" s="4052">
        <v>1.081</v>
      </c>
      <c r="S73" s="4070">
        <f t="shared" si="11"/>
        <v>350000</v>
      </c>
      <c r="T73" s="4070">
        <f t="shared" si="12"/>
        <v>0</v>
      </c>
      <c r="U73" s="4060">
        <f t="shared" si="13"/>
        <v>350000</v>
      </c>
      <c r="V73" s="338">
        <f t="shared" si="14"/>
        <v>0.74353572008461</v>
      </c>
      <c r="W73" s="338">
        <f t="shared" si="10"/>
        <v>8.7925898039017292E-2</v>
      </c>
      <c r="X73" s="338">
        <f t="shared" si="15"/>
        <v>0.11552038676139106</v>
      </c>
    </row>
    <row r="74" spans="2:24" ht="13.8" x14ac:dyDescent="0.3">
      <c r="B74" s="296"/>
      <c r="C74" s="4048" t="s">
        <v>436</v>
      </c>
      <c r="D74" s="4049">
        <v>240</v>
      </c>
      <c r="E74" s="4048" t="s">
        <v>206</v>
      </c>
      <c r="F74" s="4049" t="s">
        <v>211</v>
      </c>
      <c r="G74" s="4050">
        <v>209</v>
      </c>
      <c r="H74" s="4050">
        <v>100</v>
      </c>
      <c r="I74" s="4051">
        <v>3.2917789424851698E-2</v>
      </c>
      <c r="J74" s="4049">
        <v>14</v>
      </c>
      <c r="K74" s="4049" t="s">
        <v>259</v>
      </c>
      <c r="L74" s="4053">
        <v>1.6788048296615075</v>
      </c>
      <c r="M74" s="4053">
        <v>1.0310910159092244</v>
      </c>
      <c r="N74" s="4055">
        <v>425127.7603680694</v>
      </c>
      <c r="O74" s="4055">
        <v>761404.35611275025</v>
      </c>
      <c r="P74" s="4055">
        <v>713706.53732909495</v>
      </c>
      <c r="Q74" s="4055">
        <v>785077.19106200442</v>
      </c>
      <c r="R74" s="4052">
        <v>1.081</v>
      </c>
      <c r="S74" s="4070">
        <f t="shared" si="11"/>
        <v>333500</v>
      </c>
      <c r="T74" s="4070">
        <f t="shared" si="12"/>
        <v>0</v>
      </c>
      <c r="U74" s="4060">
        <f t="shared" si="13"/>
        <v>333500</v>
      </c>
      <c r="V74" s="338">
        <f t="shared" si="14"/>
        <v>0.72568923288088349</v>
      </c>
      <c r="W74" s="338">
        <f t="shared" si="10"/>
        <v>9.4044365744333447E-2</v>
      </c>
      <c r="X74" s="338">
        <f t="shared" si="15"/>
        <v>0.12355906218545736</v>
      </c>
    </row>
    <row r="75" spans="2:24" ht="13.8" x14ac:dyDescent="0.3">
      <c r="B75" s="296"/>
      <c r="C75" s="4048" t="s">
        <v>437</v>
      </c>
      <c r="D75" s="4048">
        <v>84</v>
      </c>
      <c r="E75" s="4048" t="s">
        <v>206</v>
      </c>
      <c r="F75" s="4049" t="s">
        <v>211</v>
      </c>
      <c r="G75" s="4050">
        <v>107</v>
      </c>
      <c r="H75" s="4050">
        <v>50</v>
      </c>
      <c r="I75" s="4051">
        <v>1.5545882561961445E-4</v>
      </c>
      <c r="J75" s="4049">
        <v>14</v>
      </c>
      <c r="K75" s="4049" t="s">
        <v>259</v>
      </c>
      <c r="L75" s="4053">
        <v>1.2805434364801185</v>
      </c>
      <c r="M75" s="4053">
        <v>0.74079385572441359</v>
      </c>
      <c r="N75" s="4055">
        <v>2632.1466369738328</v>
      </c>
      <c r="O75" s="4055">
        <v>5004.9495971958495</v>
      </c>
      <c r="P75" s="4055">
        <v>3370.5780998300588</v>
      </c>
      <c r="Q75" s="4055">
        <v>3707.6359098130642</v>
      </c>
      <c r="R75" s="4052">
        <v>1.081</v>
      </c>
      <c r="S75" s="4070">
        <f t="shared" si="11"/>
        <v>2250</v>
      </c>
      <c r="T75" s="4070">
        <f t="shared" si="12"/>
        <v>0</v>
      </c>
      <c r="U75" s="4060">
        <f t="shared" si="13"/>
        <v>2250</v>
      </c>
      <c r="V75" s="338">
        <f t="shared" si="14"/>
        <v>0.79076373490000262</v>
      </c>
      <c r="W75" s="338">
        <f t="shared" si="10"/>
        <v>7.1734303573646144E-2</v>
      </c>
      <c r="X75" s="338">
        <f t="shared" si="15"/>
        <v>9.4247254537103142E-2</v>
      </c>
    </row>
    <row r="76" spans="2:24" ht="13.8" x14ac:dyDescent="0.3">
      <c r="B76" s="296"/>
      <c r="C76" s="4048" t="s">
        <v>438</v>
      </c>
      <c r="D76" s="4049">
        <v>108</v>
      </c>
      <c r="E76" s="4048" t="s">
        <v>206</v>
      </c>
      <c r="F76" s="4049" t="s">
        <v>211</v>
      </c>
      <c r="G76" s="4050">
        <v>246</v>
      </c>
      <c r="H76" s="4050">
        <v>100</v>
      </c>
      <c r="I76" s="4051">
        <v>2.8870924757928401E-4</v>
      </c>
      <c r="J76" s="4049">
        <v>14</v>
      </c>
      <c r="K76" s="4049" t="s">
        <v>259</v>
      </c>
      <c r="L76" s="4053">
        <v>0.88969061694588691</v>
      </c>
      <c r="M76" s="4053">
        <v>0.43539400397244976</v>
      </c>
      <c r="N76" s="4055">
        <v>7035.7548155667064</v>
      </c>
      <c r="O76" s="4055">
        <v>15814.663233698067</v>
      </c>
      <c r="P76" s="4055">
        <v>6259.6450425415378</v>
      </c>
      <c r="Q76" s="4055">
        <v>6885.6095467956911</v>
      </c>
      <c r="R76" s="4052">
        <v>1.081</v>
      </c>
      <c r="S76" s="4070">
        <f t="shared" si="11"/>
        <v>6500</v>
      </c>
      <c r="T76" s="4070">
        <f t="shared" si="12"/>
        <v>0</v>
      </c>
      <c r="U76" s="4060">
        <f t="shared" si="13"/>
        <v>6500</v>
      </c>
      <c r="V76" s="338">
        <f t="shared" si="14"/>
        <v>0.85462770220746054</v>
      </c>
      <c r="W76" s="338">
        <f t="shared" si="10"/>
        <v>4.9839259633432713E-2</v>
      </c>
      <c r="X76" s="338">
        <f t="shared" si="15"/>
        <v>6.5480713614100974E-2</v>
      </c>
    </row>
    <row r="77" spans="2:24" ht="13.8" x14ac:dyDescent="0.3">
      <c r="B77" s="296"/>
      <c r="C77" s="4048" t="s">
        <v>439</v>
      </c>
      <c r="D77" s="4048">
        <v>114</v>
      </c>
      <c r="E77" s="4048" t="s">
        <v>206</v>
      </c>
      <c r="F77" s="4049" t="s">
        <v>211</v>
      </c>
      <c r="G77" s="4050">
        <v>209</v>
      </c>
      <c r="H77" s="4050">
        <v>100</v>
      </c>
      <c r="I77" s="4051">
        <v>2.5786424249602717E-4</v>
      </c>
      <c r="J77" s="4049">
        <v>14</v>
      </c>
      <c r="K77" s="4049" t="s">
        <v>259</v>
      </c>
      <c r="L77" s="4053">
        <v>0.93159409708161833</v>
      </c>
      <c r="M77" s="4053">
        <v>0.53259371915616649</v>
      </c>
      <c r="N77" s="4055">
        <v>6001.4115203798738</v>
      </c>
      <c r="O77" s="4055">
        <v>11547.202454699947</v>
      </c>
      <c r="P77" s="4055">
        <v>5590.8795465435105</v>
      </c>
      <c r="Q77" s="4055">
        <v>6149.9675011978607</v>
      </c>
      <c r="R77" s="4052">
        <v>1.081</v>
      </c>
      <c r="S77" s="4070">
        <f t="shared" si="11"/>
        <v>5500</v>
      </c>
      <c r="T77" s="4070">
        <f t="shared" si="12"/>
        <v>0</v>
      </c>
      <c r="U77" s="4060">
        <f t="shared" si="13"/>
        <v>5500</v>
      </c>
      <c r="V77" s="338">
        <f t="shared" si="14"/>
        <v>0.84778082186860015</v>
      </c>
      <c r="W77" s="338">
        <f t="shared" si="10"/>
        <v>5.218663566084128E-2</v>
      </c>
      <c r="X77" s="338">
        <f t="shared" si="15"/>
        <v>6.8564785458784583E-2</v>
      </c>
    </row>
    <row r="78" spans="2:24" ht="13.8" x14ac:dyDescent="0.3">
      <c r="B78" s="296"/>
      <c r="C78" s="4048" t="s">
        <v>440</v>
      </c>
      <c r="D78" s="4049">
        <v>81</v>
      </c>
      <c r="E78" s="4048" t="s">
        <v>206</v>
      </c>
      <c r="F78" s="4048" t="s">
        <v>211</v>
      </c>
      <c r="G78" s="4050">
        <v>107</v>
      </c>
      <c r="H78" s="4050">
        <v>50</v>
      </c>
      <c r="I78" s="4051">
        <v>8.9944034822776932E-3</v>
      </c>
      <c r="J78" s="4049">
        <v>14</v>
      </c>
      <c r="K78" s="4049" t="s">
        <v>259</v>
      </c>
      <c r="L78" s="4053">
        <v>1.2441066073165841</v>
      </c>
      <c r="M78" s="4053">
        <v>0.71715533166408785</v>
      </c>
      <c r="N78" s="4055">
        <v>156748.63993661013</v>
      </c>
      <c r="O78" s="4055">
        <v>299116.81754993112</v>
      </c>
      <c r="P78" s="4055">
        <v>195012.01863302483</v>
      </c>
      <c r="Q78" s="4055">
        <v>214513.2204963273</v>
      </c>
      <c r="R78" s="4052">
        <v>1.081</v>
      </c>
      <c r="S78" s="4070">
        <f t="shared" si="11"/>
        <v>135000</v>
      </c>
      <c r="T78" s="4070">
        <f t="shared" si="12"/>
        <v>0</v>
      </c>
      <c r="U78" s="4060">
        <f t="shared" si="13"/>
        <v>135000</v>
      </c>
      <c r="V78" s="338">
        <f t="shared" si="14"/>
        <v>0.79671738381894985</v>
      </c>
      <c r="W78" s="338">
        <f t="shared" si="10"/>
        <v>6.969316190674367E-2</v>
      </c>
      <c r="X78" s="338">
        <f t="shared" si="15"/>
        <v>9.1565525034713185E-2</v>
      </c>
    </row>
    <row r="79" spans="2:24" ht="13.8" x14ac:dyDescent="0.3">
      <c r="B79" s="296"/>
      <c r="C79" s="4048" t="s">
        <v>441</v>
      </c>
      <c r="D79" s="4048">
        <v>130</v>
      </c>
      <c r="E79" s="4048" t="s">
        <v>206</v>
      </c>
      <c r="F79" s="4048" t="s">
        <v>211</v>
      </c>
      <c r="G79" s="4050">
        <v>246</v>
      </c>
      <c r="H79" s="4050">
        <v>100</v>
      </c>
      <c r="I79" s="4051">
        <v>1.9781929926728718E-2</v>
      </c>
      <c r="J79" s="4049">
        <v>14</v>
      </c>
      <c r="K79" s="4049" t="s">
        <v>259</v>
      </c>
      <c r="L79" s="4053">
        <v>1.0401228619764786</v>
      </c>
      <c r="M79" s="4053">
        <v>0.51727063728221601</v>
      </c>
      <c r="N79" s="4055">
        <v>412356.67481793533</v>
      </c>
      <c r="O79" s="4055">
        <v>912079.15400387428</v>
      </c>
      <c r="P79" s="4055">
        <v>428901.60476673499</v>
      </c>
      <c r="Q79" s="4055">
        <v>471791.76524340844</v>
      </c>
      <c r="R79" s="4052">
        <v>1.081</v>
      </c>
      <c r="S79" s="4070">
        <f t="shared" si="11"/>
        <v>370000</v>
      </c>
      <c r="T79" s="4070">
        <f t="shared" si="12"/>
        <v>0</v>
      </c>
      <c r="U79" s="4060">
        <f t="shared" si="13"/>
        <v>370000</v>
      </c>
      <c r="V79" s="338">
        <f t="shared" si="14"/>
        <v>0.83004760581703441</v>
      </c>
      <c r="W79" s="338">
        <f t="shared" si="10"/>
        <v>5.826626962377842E-2</v>
      </c>
      <c r="X79" s="338">
        <f t="shared" si="15"/>
        <v>7.655243963610707E-2</v>
      </c>
    </row>
    <row r="80" spans="2:24" ht="13.8" x14ac:dyDescent="0.3">
      <c r="B80" s="296"/>
      <c r="C80" s="4048" t="s">
        <v>442</v>
      </c>
      <c r="D80" s="4049">
        <v>145</v>
      </c>
      <c r="E80" s="4048" t="s">
        <v>206</v>
      </c>
      <c r="F80" s="4048" t="s">
        <v>211</v>
      </c>
      <c r="G80" s="4050">
        <v>209</v>
      </c>
      <c r="H80" s="4050">
        <v>100</v>
      </c>
      <c r="I80" s="4051">
        <v>2.0871786773003793E-2</v>
      </c>
      <c r="J80" s="4049">
        <v>14</v>
      </c>
      <c r="K80" s="4049" t="s">
        <v>259</v>
      </c>
      <c r="L80" s="4053">
        <v>1.1378244246888729</v>
      </c>
      <c r="M80" s="4053">
        <v>0.66315531421701668</v>
      </c>
      <c r="N80" s="4055">
        <v>397716.2988766089</v>
      </c>
      <c r="O80" s="4055">
        <v>750630.26742425002</v>
      </c>
      <c r="P80" s="4055">
        <v>452531.3189586653</v>
      </c>
      <c r="Q80" s="4055">
        <v>497784.45085453178</v>
      </c>
      <c r="R80" s="4052">
        <v>1.081</v>
      </c>
      <c r="S80" s="4070">
        <f t="shared" si="11"/>
        <v>350000</v>
      </c>
      <c r="T80" s="4070">
        <f t="shared" si="12"/>
        <v>0</v>
      </c>
      <c r="U80" s="4060">
        <f t="shared" si="13"/>
        <v>350000</v>
      </c>
      <c r="V80" s="338">
        <f t="shared" si="14"/>
        <v>0.8140835162797313</v>
      </c>
      <c r="W80" s="338">
        <f t="shared" si="10"/>
        <v>6.3739378430220164E-2</v>
      </c>
      <c r="X80" s="338">
        <f t="shared" si="15"/>
        <v>8.3743218009809453E-2</v>
      </c>
    </row>
    <row r="81" spans="2:21" ht="13.8" x14ac:dyDescent="0.3">
      <c r="B81" s="296"/>
      <c r="C81" s="4048" t="s">
        <v>443</v>
      </c>
      <c r="D81" s="4048">
        <v>16</v>
      </c>
      <c r="E81" s="4048" t="s">
        <v>206</v>
      </c>
      <c r="F81" s="4048" t="s">
        <v>211</v>
      </c>
      <c r="G81" s="4050">
        <v>107</v>
      </c>
      <c r="H81" s="4050">
        <v>50</v>
      </c>
      <c r="I81" s="4051">
        <v>4.6061874257663542E-4</v>
      </c>
      <c r="J81" s="4049">
        <v>14</v>
      </c>
      <c r="K81" s="4049" t="s">
        <v>259</v>
      </c>
      <c r="L81" s="4053">
        <v>0.29365238738475741</v>
      </c>
      <c r="M81" s="4053">
        <v>0.15490217394228634</v>
      </c>
      <c r="N81" s="4055">
        <v>34009.252104207255</v>
      </c>
      <c r="O81" s="4055">
        <v>70919.520374327505</v>
      </c>
      <c r="P81" s="4055">
        <v>9986.8980735705445</v>
      </c>
      <c r="Q81" s="4055">
        <v>10985.587880927598</v>
      </c>
      <c r="R81" s="4052">
        <v>1.081</v>
      </c>
      <c r="S81" s="4070">
        <f t="shared" si="11"/>
        <v>35000</v>
      </c>
      <c r="T81" s="4070">
        <f t="shared" si="12"/>
        <v>0</v>
      </c>
      <c r="U81" s="4060">
        <f t="shared" si="13"/>
        <v>35000</v>
      </c>
    </row>
    <row r="82" spans="2:21" ht="13.8" x14ac:dyDescent="0.3">
      <c r="B82" s="296"/>
      <c r="C82" s="4048" t="s">
        <v>444</v>
      </c>
      <c r="D82" s="4049">
        <v>20</v>
      </c>
      <c r="E82" s="4048" t="s">
        <v>206</v>
      </c>
      <c r="F82" s="4048" t="s">
        <v>211</v>
      </c>
      <c r="G82" s="4050">
        <v>246</v>
      </c>
      <c r="H82" s="4050">
        <v>100</v>
      </c>
      <c r="I82" s="4051">
        <v>7.4028012199816413E-4</v>
      </c>
      <c r="J82" s="4049">
        <v>14</v>
      </c>
      <c r="K82" s="4049" t="s">
        <v>259</v>
      </c>
      <c r="L82" s="4053">
        <v>0.18689558431860281</v>
      </c>
      <c r="M82" s="4053">
        <v>8.5113818192670193E-2</v>
      </c>
      <c r="N82" s="4055">
        <v>85878.818177916008</v>
      </c>
      <c r="O82" s="4055">
        <v>207432.93473665792</v>
      </c>
      <c r="P82" s="4055">
        <v>16050.37190395266</v>
      </c>
      <c r="Q82" s="4055">
        <v>17655.409094347924</v>
      </c>
      <c r="R82" s="4052">
        <v>1.081</v>
      </c>
      <c r="S82" s="4070">
        <f t="shared" si="11"/>
        <v>90000</v>
      </c>
      <c r="T82" s="4070">
        <f t="shared" si="12"/>
        <v>0</v>
      </c>
      <c r="U82" s="4060">
        <f t="shared" si="13"/>
        <v>90000</v>
      </c>
    </row>
    <row r="83" spans="2:21" ht="13.8" x14ac:dyDescent="0.3">
      <c r="B83" s="296"/>
      <c r="C83" s="4048" t="s">
        <v>445</v>
      </c>
      <c r="D83" s="4048">
        <v>20</v>
      </c>
      <c r="E83" s="4048" t="s">
        <v>206</v>
      </c>
      <c r="F83" s="4048" t="s">
        <v>211</v>
      </c>
      <c r="G83" s="4050">
        <v>209</v>
      </c>
      <c r="H83" s="4050">
        <v>100</v>
      </c>
      <c r="I83" s="4051">
        <v>7.4028012199816413E-4</v>
      </c>
      <c r="J83" s="4049">
        <v>14</v>
      </c>
      <c r="K83" s="4049" t="s">
        <v>259</v>
      </c>
      <c r="L83" s="4053">
        <v>0.18689558431860281</v>
      </c>
      <c r="M83" s="4053">
        <v>9.9958085139236333E-2</v>
      </c>
      <c r="N83" s="4055">
        <v>85878.818177916008</v>
      </c>
      <c r="O83" s="4055">
        <v>176628.12437588087</v>
      </c>
      <c r="P83" s="4055">
        <v>16050.37190395266</v>
      </c>
      <c r="Q83" s="4055">
        <v>17655.409094347924</v>
      </c>
      <c r="R83" s="4052">
        <v>1.081</v>
      </c>
      <c r="S83" s="4070">
        <f t="shared" si="11"/>
        <v>90000</v>
      </c>
      <c r="T83" s="4070">
        <f t="shared" si="12"/>
        <v>0</v>
      </c>
      <c r="U83" s="4060">
        <f t="shared" si="13"/>
        <v>90000</v>
      </c>
    </row>
    <row r="84" spans="2:21" ht="13.8" x14ac:dyDescent="0.3">
      <c r="B84" s="296"/>
      <c r="C84" s="4048" t="s">
        <v>446</v>
      </c>
      <c r="D84" s="4049">
        <v>755</v>
      </c>
      <c r="E84" s="4048" t="s">
        <v>206</v>
      </c>
      <c r="F84" s="4049" t="s">
        <v>211</v>
      </c>
      <c r="G84" s="4050">
        <v>472</v>
      </c>
      <c r="H84" s="4050">
        <v>472</v>
      </c>
      <c r="I84" s="4051">
        <v>0.13569129002859126</v>
      </c>
      <c r="J84" s="4049">
        <v>15</v>
      </c>
      <c r="K84" s="4049" t="s">
        <v>291</v>
      </c>
      <c r="L84" s="4053">
        <v>1.2512305897947846</v>
      </c>
      <c r="M84" s="4053">
        <v>1.3763536487742629</v>
      </c>
      <c r="N84" s="4055">
        <v>4309979.7170565864</v>
      </c>
      <c r="O84" s="4055">
        <v>4309979.7170565864</v>
      </c>
      <c r="P84" s="4055">
        <v>5392778.4633762715</v>
      </c>
      <c r="Q84" s="4055">
        <v>5932056.3097138982</v>
      </c>
      <c r="R84" s="4052">
        <v>1.081</v>
      </c>
      <c r="S84" s="4070">
        <f t="shared" si="11"/>
        <v>2062640</v>
      </c>
      <c r="T84" s="4070">
        <f t="shared" si="12"/>
        <v>2076800</v>
      </c>
      <c r="U84" s="4060">
        <f t="shared" si="13"/>
        <v>4139440</v>
      </c>
    </row>
    <row r="85" spans="2:21" ht="13.8" x14ac:dyDescent="0.3">
      <c r="B85" s="296"/>
      <c r="C85" s="4048"/>
      <c r="D85" s="4054">
        <v>0</v>
      </c>
      <c r="E85" s="4048" t="s">
        <v>206</v>
      </c>
      <c r="F85" s="4048" t="s">
        <v>211</v>
      </c>
      <c r="G85" s="4050">
        <v>0</v>
      </c>
      <c r="H85" s="4050">
        <v>0</v>
      </c>
      <c r="I85" s="4051">
        <v>0</v>
      </c>
      <c r="J85" s="4049">
        <v>0</v>
      </c>
      <c r="K85" s="4049"/>
      <c r="L85" s="4053" t="e">
        <v>#DIV/0!</v>
      </c>
      <c r="M85" s="4053" t="e">
        <v>#DIV/0!</v>
      </c>
      <c r="N85" s="4055">
        <v>0</v>
      </c>
      <c r="O85" s="4055">
        <v>0</v>
      </c>
      <c r="P85" s="4055">
        <v>0</v>
      </c>
      <c r="Q85" s="4055">
        <v>0</v>
      </c>
      <c r="R85" s="4052">
        <v>1.081</v>
      </c>
      <c r="S85" s="4070">
        <f t="shared" si="11"/>
        <v>0</v>
      </c>
      <c r="T85" s="4070">
        <f t="shared" si="12"/>
        <v>0</v>
      </c>
      <c r="U85" s="4060">
        <f t="shared" si="13"/>
        <v>0</v>
      </c>
    </row>
    <row r="86" spans="2:21" ht="13.8" x14ac:dyDescent="0.3">
      <c r="B86" s="296"/>
      <c r="C86" s="4048" t="s">
        <v>1098</v>
      </c>
      <c r="D86" s="4057">
        <v>398</v>
      </c>
      <c r="E86" s="4048" t="s">
        <v>206</v>
      </c>
      <c r="F86" s="4048" t="s">
        <v>211</v>
      </c>
      <c r="G86" s="4056">
        <v>85</v>
      </c>
      <c r="H86" s="4050">
        <v>35</v>
      </c>
      <c r="I86" s="4051">
        <v>4.0921040077120739E-2</v>
      </c>
      <c r="J86" s="4049">
        <v>4</v>
      </c>
      <c r="K86" s="4049" t="s">
        <v>348</v>
      </c>
      <c r="L86" s="4053">
        <v>1.9225755314570898</v>
      </c>
      <c r="M86" s="4053">
        <v>1.2633012596905409</v>
      </c>
      <c r="N86" s="4055">
        <v>274479.77377302747</v>
      </c>
      <c r="O86" s="4055">
        <v>459493.6498137305</v>
      </c>
      <c r="P86" s="4055">
        <v>527708.09693590004</v>
      </c>
      <c r="Q86" s="4055">
        <v>580478.90662948997</v>
      </c>
      <c r="R86" s="4052">
        <v>1.081</v>
      </c>
      <c r="S86" s="4070">
        <f t="shared" si="11"/>
        <v>140000</v>
      </c>
      <c r="T86" s="4070">
        <f t="shared" si="12"/>
        <v>0</v>
      </c>
      <c r="U86" s="4060">
        <f t="shared" si="13"/>
        <v>140000</v>
      </c>
    </row>
    <row r="87" spans="2:21" ht="13.8" x14ac:dyDescent="0.3">
      <c r="B87" s="296"/>
      <c r="C87" s="4048" t="s">
        <v>1099</v>
      </c>
      <c r="D87" s="4058">
        <v>136</v>
      </c>
      <c r="E87" s="4048" t="s">
        <v>206</v>
      </c>
      <c r="F87" s="4048" t="s">
        <v>211</v>
      </c>
      <c r="G87" s="4056">
        <v>20</v>
      </c>
      <c r="H87" s="4050">
        <v>20</v>
      </c>
      <c r="I87" s="4051">
        <v>8.3898413826458598E-3</v>
      </c>
      <c r="J87" s="4049">
        <v>3</v>
      </c>
      <c r="K87" s="4049" t="s">
        <v>348</v>
      </c>
      <c r="L87" s="4053">
        <v>1.2235124585507358</v>
      </c>
      <c r="M87" s="4053">
        <v>1.3458637044058095</v>
      </c>
      <c r="N87" s="4055">
        <v>85226.667687673442</v>
      </c>
      <c r="O87" s="4055">
        <v>85226.667687673442</v>
      </c>
      <c r="P87" s="4055">
        <v>104275.88971663188</v>
      </c>
      <c r="Q87" s="4055">
        <v>114703.47868829509</v>
      </c>
      <c r="R87" s="4052">
        <v>1.081</v>
      </c>
      <c r="S87" s="4070">
        <f t="shared" si="11"/>
        <v>60000</v>
      </c>
      <c r="T87" s="4070">
        <f t="shared" si="12"/>
        <v>0</v>
      </c>
      <c r="U87" s="4060">
        <f t="shared" si="13"/>
        <v>60000</v>
      </c>
    </row>
    <row r="88" spans="2:21" ht="13.8" x14ac:dyDescent="0.3">
      <c r="B88" s="296"/>
      <c r="C88" s="4048"/>
      <c r="D88" s="4057"/>
      <c r="E88" s="4048" t="s">
        <v>206</v>
      </c>
      <c r="F88" s="4048" t="s">
        <v>211</v>
      </c>
      <c r="G88" s="4056"/>
      <c r="H88" s="4050"/>
      <c r="I88" s="4051">
        <v>0</v>
      </c>
      <c r="J88" s="4049"/>
      <c r="K88" s="4059"/>
      <c r="L88" s="4053" t="e">
        <v>#DIV/0!</v>
      </c>
      <c r="M88" s="4053" t="e">
        <v>#DIV/0!</v>
      </c>
      <c r="N88" s="4055">
        <v>0</v>
      </c>
      <c r="O88" s="4055">
        <v>0</v>
      </c>
      <c r="P88" s="4055">
        <v>0</v>
      </c>
      <c r="Q88" s="4055">
        <v>0</v>
      </c>
      <c r="R88" s="4052">
        <v>1.081</v>
      </c>
      <c r="S88" s="4070">
        <f t="shared" si="11"/>
        <v>0</v>
      </c>
      <c r="T88" s="4070">
        <f t="shared" si="12"/>
        <v>0</v>
      </c>
      <c r="U88" s="4060">
        <f t="shared" si="13"/>
        <v>0</v>
      </c>
    </row>
    <row r="89" spans="2:21" ht="13.8" x14ac:dyDescent="0.3">
      <c r="B89" s="296"/>
      <c r="C89" s="296" t="s">
        <v>237</v>
      </c>
      <c r="D89" s="299">
        <v>0</v>
      </c>
      <c r="E89" s="296" t="s">
        <v>206</v>
      </c>
      <c r="F89" s="296" t="s">
        <v>211</v>
      </c>
      <c r="G89" s="297"/>
      <c r="H89" s="297"/>
      <c r="I89" s="326">
        <v>0</v>
      </c>
      <c r="J89" s="267"/>
      <c r="K89" s="267"/>
      <c r="L89" s="291" t="e">
        <f t="shared" ref="L89:M103" si="16">P89/N89</f>
        <v>#DIV/0!</v>
      </c>
      <c r="M89" s="291" t="e">
        <f t="shared" si="16"/>
        <v>#DIV/0!</v>
      </c>
      <c r="N89" s="218">
        <f t="shared" ref="N89:N103" si="17">(($I89*$F$56)+$U89)/$R89</f>
        <v>0</v>
      </c>
      <c r="O89" s="218">
        <f t="shared" ref="O89:O103" si="18">(($I89*$F$56)+($G89*$O39))/$R89</f>
        <v>0</v>
      </c>
      <c r="P89" s="218">
        <f>IF(K89=0, 0, (HLOOKUP(K89,'[1]E-CESTDWO'!$A$5:$O$35,J89+1,FALSE)*R39))</f>
        <v>0</v>
      </c>
      <c r="Q89" s="218">
        <f>IF(K89=0, 0, (HLOOKUP(K89,'[1]E-CESTD'!$A$5:$O$35,J89+1,FALSE)*R39))</f>
        <v>0</v>
      </c>
      <c r="R89" s="292">
        <v>1.081</v>
      </c>
      <c r="S89" s="4070">
        <f t="shared" si="11"/>
        <v>0</v>
      </c>
      <c r="T89" s="4070">
        <f t="shared" si="12"/>
        <v>0</v>
      </c>
      <c r="U89" s="4060">
        <f t="shared" si="13"/>
        <v>0</v>
      </c>
    </row>
    <row r="90" spans="2:21" ht="13.8" x14ac:dyDescent="0.3">
      <c r="B90" s="296"/>
      <c r="C90" s="296" t="s">
        <v>238</v>
      </c>
      <c r="D90" s="299">
        <v>0</v>
      </c>
      <c r="E90" s="296" t="s">
        <v>206</v>
      </c>
      <c r="F90" s="296" t="s">
        <v>211</v>
      </c>
      <c r="G90" s="297"/>
      <c r="H90" s="297"/>
      <c r="I90" s="326">
        <v>0</v>
      </c>
      <c r="J90" s="267"/>
      <c r="K90" s="267"/>
      <c r="L90" s="291" t="e">
        <f t="shared" si="16"/>
        <v>#DIV/0!</v>
      </c>
      <c r="M90" s="291" t="e">
        <f t="shared" si="16"/>
        <v>#DIV/0!</v>
      </c>
      <c r="N90" s="218">
        <f t="shared" si="17"/>
        <v>0</v>
      </c>
      <c r="O90" s="218">
        <f t="shared" si="18"/>
        <v>0</v>
      </c>
      <c r="P90" s="218">
        <f>IF(K90=0, 0, (HLOOKUP(K90,'[1]E-CESTDWO'!$A$5:$O$35,J90+1,FALSE)*R40))</f>
        <v>0</v>
      </c>
      <c r="Q90" s="218">
        <f>IF(K90=0, 0, (HLOOKUP(K90,'[1]E-CESTD'!$A$5:$O$35,J90+1,FALSE)*R40))</f>
        <v>0</v>
      </c>
      <c r="R90" s="292">
        <v>1.081</v>
      </c>
      <c r="S90" s="4070">
        <f t="shared" si="11"/>
        <v>0</v>
      </c>
      <c r="T90" s="4070">
        <f t="shared" si="12"/>
        <v>0</v>
      </c>
      <c r="U90" s="4060">
        <f t="shared" si="13"/>
        <v>0</v>
      </c>
    </row>
    <row r="91" spans="2:21" ht="13.8" x14ac:dyDescent="0.3">
      <c r="B91" s="296"/>
      <c r="C91" s="296" t="s">
        <v>239</v>
      </c>
      <c r="D91" s="299">
        <v>0</v>
      </c>
      <c r="E91" s="296" t="s">
        <v>206</v>
      </c>
      <c r="F91" s="296" t="s">
        <v>211</v>
      </c>
      <c r="G91" s="297"/>
      <c r="H91" s="297"/>
      <c r="I91" s="326">
        <v>0</v>
      </c>
      <c r="J91" s="267"/>
      <c r="K91" s="267"/>
      <c r="L91" s="291" t="e">
        <f t="shared" si="16"/>
        <v>#DIV/0!</v>
      </c>
      <c r="M91" s="291" t="e">
        <f t="shared" si="16"/>
        <v>#DIV/0!</v>
      </c>
      <c r="N91" s="218">
        <f t="shared" si="17"/>
        <v>0</v>
      </c>
      <c r="O91" s="218">
        <f t="shared" si="18"/>
        <v>0</v>
      </c>
      <c r="P91" s="218">
        <f>IF(K91=0, 0, (HLOOKUP(K91,'[1]E-CESTDWO'!$A$5:$O$35,J91+1,FALSE)*R41))</f>
        <v>0</v>
      </c>
      <c r="Q91" s="218">
        <f>IF(K91=0, 0, (HLOOKUP(K91,'[1]E-CESTD'!$A$5:$O$35,J91+1,FALSE)*R41))</f>
        <v>0</v>
      </c>
      <c r="R91" s="292">
        <v>1.081</v>
      </c>
      <c r="S91" s="4070">
        <f t="shared" si="11"/>
        <v>0</v>
      </c>
      <c r="T91" s="4070">
        <f t="shared" si="12"/>
        <v>0</v>
      </c>
      <c r="U91" s="4060">
        <f t="shared" si="13"/>
        <v>0</v>
      </c>
    </row>
    <row r="92" spans="2:21" ht="13.8" x14ac:dyDescent="0.3">
      <c r="B92" s="296"/>
      <c r="C92" s="296" t="s">
        <v>240</v>
      </c>
      <c r="D92" s="299">
        <v>0</v>
      </c>
      <c r="E92" s="296" t="s">
        <v>206</v>
      </c>
      <c r="F92" s="296" t="s">
        <v>211</v>
      </c>
      <c r="G92" s="297"/>
      <c r="H92" s="297"/>
      <c r="I92" s="326">
        <v>0</v>
      </c>
      <c r="J92" s="267"/>
      <c r="K92" s="267"/>
      <c r="L92" s="291" t="e">
        <f t="shared" si="16"/>
        <v>#DIV/0!</v>
      </c>
      <c r="M92" s="291" t="e">
        <f t="shared" si="16"/>
        <v>#DIV/0!</v>
      </c>
      <c r="N92" s="218">
        <f t="shared" si="17"/>
        <v>0</v>
      </c>
      <c r="O92" s="218">
        <f t="shared" si="18"/>
        <v>0</v>
      </c>
      <c r="P92" s="218">
        <f>IF(K92=0, 0, (HLOOKUP(K92,'[1]E-CESTDWO'!$A$5:$O$35,J92+1,FALSE)*R42))</f>
        <v>0</v>
      </c>
      <c r="Q92" s="218">
        <f>IF(K92=0, 0, (HLOOKUP(K92,'[1]E-CESTD'!$A$5:$O$35,J92+1,FALSE)*R42))</f>
        <v>0</v>
      </c>
      <c r="R92" s="292">
        <v>1.081</v>
      </c>
      <c r="S92" s="4070">
        <f t="shared" si="11"/>
        <v>0</v>
      </c>
      <c r="T92" s="4070">
        <f t="shared" si="12"/>
        <v>0</v>
      </c>
      <c r="U92" s="4060">
        <f t="shared" si="13"/>
        <v>0</v>
      </c>
    </row>
    <row r="93" spans="2:21" ht="13.8" x14ac:dyDescent="0.3">
      <c r="B93" s="296"/>
      <c r="C93" s="296" t="s">
        <v>241</v>
      </c>
      <c r="D93" s="299">
        <v>0</v>
      </c>
      <c r="E93" s="296" t="s">
        <v>206</v>
      </c>
      <c r="F93" s="296" t="s">
        <v>211</v>
      </c>
      <c r="G93" s="297"/>
      <c r="H93" s="297"/>
      <c r="I93" s="326">
        <v>0</v>
      </c>
      <c r="J93" s="267"/>
      <c r="K93" s="267"/>
      <c r="L93" s="291" t="e">
        <f t="shared" si="16"/>
        <v>#DIV/0!</v>
      </c>
      <c r="M93" s="291" t="e">
        <f t="shared" si="16"/>
        <v>#DIV/0!</v>
      </c>
      <c r="N93" s="218">
        <f t="shared" si="17"/>
        <v>0</v>
      </c>
      <c r="O93" s="218">
        <f t="shared" si="18"/>
        <v>0</v>
      </c>
      <c r="P93" s="218">
        <f>IF(K93=0, 0, (HLOOKUP(K93,'[1]E-CESTDWO'!$A$5:$O$35,J93+1,FALSE)*R43))</f>
        <v>0</v>
      </c>
      <c r="Q93" s="218">
        <f>IF(K93=0, 0, (HLOOKUP(K93,'[1]E-CESTD'!$A$5:$O$35,J93+1,FALSE)*R43))</f>
        <v>0</v>
      </c>
      <c r="R93" s="292">
        <v>1.081</v>
      </c>
      <c r="S93" s="4070">
        <f t="shared" si="11"/>
        <v>0</v>
      </c>
      <c r="T93" s="4070">
        <f t="shared" si="12"/>
        <v>0</v>
      </c>
      <c r="U93" s="4060">
        <f t="shared" si="13"/>
        <v>0</v>
      </c>
    </row>
    <row r="94" spans="2:21" ht="13.8" x14ac:dyDescent="0.3">
      <c r="B94" s="296"/>
      <c r="C94" s="296" t="s">
        <v>242</v>
      </c>
      <c r="D94" s="299">
        <v>0</v>
      </c>
      <c r="E94" s="296" t="s">
        <v>206</v>
      </c>
      <c r="F94" s="296" t="s">
        <v>211</v>
      </c>
      <c r="G94" s="297"/>
      <c r="H94" s="297"/>
      <c r="I94" s="326">
        <v>0</v>
      </c>
      <c r="J94" s="267"/>
      <c r="K94" s="267"/>
      <c r="L94" s="291" t="e">
        <f t="shared" si="16"/>
        <v>#DIV/0!</v>
      </c>
      <c r="M94" s="291" t="e">
        <f t="shared" si="16"/>
        <v>#DIV/0!</v>
      </c>
      <c r="N94" s="218">
        <f t="shared" si="17"/>
        <v>0</v>
      </c>
      <c r="O94" s="218">
        <f t="shared" si="18"/>
        <v>0</v>
      </c>
      <c r="P94" s="218">
        <f>IF(K94=0, 0, (HLOOKUP(K94,'[1]E-CESTDWO'!$A$5:$O$35,J94+1,FALSE)*R44))</f>
        <v>0</v>
      </c>
      <c r="Q94" s="218">
        <f>IF(K94=0, 0, (HLOOKUP(K94,'[1]E-CESTD'!$A$5:$O$35,J94+1,FALSE)*R44))</f>
        <v>0</v>
      </c>
      <c r="R94" s="292">
        <v>1.081</v>
      </c>
      <c r="S94" s="4070">
        <f t="shared" si="11"/>
        <v>0</v>
      </c>
      <c r="T94" s="4070">
        <f t="shared" si="12"/>
        <v>0</v>
      </c>
      <c r="U94" s="4060">
        <f t="shared" si="13"/>
        <v>0</v>
      </c>
    </row>
    <row r="95" spans="2:21" ht="13.8" x14ac:dyDescent="0.3">
      <c r="B95" s="296"/>
      <c r="C95" s="296" t="s">
        <v>243</v>
      </c>
      <c r="D95" s="299">
        <v>0</v>
      </c>
      <c r="E95" s="296" t="s">
        <v>206</v>
      </c>
      <c r="F95" s="296" t="s">
        <v>211</v>
      </c>
      <c r="G95" s="297"/>
      <c r="H95" s="297"/>
      <c r="I95" s="326">
        <v>0</v>
      </c>
      <c r="J95" s="267"/>
      <c r="K95" s="267"/>
      <c r="L95" s="291" t="e">
        <f t="shared" si="16"/>
        <v>#DIV/0!</v>
      </c>
      <c r="M95" s="291" t="e">
        <f t="shared" si="16"/>
        <v>#DIV/0!</v>
      </c>
      <c r="N95" s="218">
        <f t="shared" si="17"/>
        <v>0</v>
      </c>
      <c r="O95" s="218">
        <f t="shared" si="18"/>
        <v>0</v>
      </c>
      <c r="P95" s="218">
        <f>IF(K95=0, 0, (HLOOKUP(K95,'[1]E-CESTDWO'!$A$5:$O$35,J95+1,FALSE)*R45))</f>
        <v>0</v>
      </c>
      <c r="Q95" s="218">
        <f>IF(K95=0, 0, (HLOOKUP(K95,'[1]E-CESTD'!$A$5:$O$35,J95+1,FALSE)*R45))</f>
        <v>0</v>
      </c>
      <c r="R95" s="292">
        <v>1.081</v>
      </c>
      <c r="S95" s="4070">
        <f t="shared" si="11"/>
        <v>0</v>
      </c>
      <c r="T95" s="4070">
        <f t="shared" si="12"/>
        <v>0</v>
      </c>
      <c r="U95" s="4060">
        <f t="shared" si="13"/>
        <v>0</v>
      </c>
    </row>
    <row r="96" spans="2:21" ht="13.8" x14ac:dyDescent="0.3">
      <c r="B96" s="296"/>
      <c r="C96" s="296" t="s">
        <v>244</v>
      </c>
      <c r="D96" s="299">
        <v>0</v>
      </c>
      <c r="E96" s="296" t="s">
        <v>206</v>
      </c>
      <c r="F96" s="296" t="s">
        <v>211</v>
      </c>
      <c r="G96" s="297"/>
      <c r="H96" s="297"/>
      <c r="I96" s="326">
        <v>0</v>
      </c>
      <c r="J96" s="267"/>
      <c r="K96" s="267"/>
      <c r="L96" s="291" t="e">
        <f t="shared" si="16"/>
        <v>#DIV/0!</v>
      </c>
      <c r="M96" s="291" t="e">
        <f t="shared" si="16"/>
        <v>#DIV/0!</v>
      </c>
      <c r="N96" s="218">
        <f t="shared" si="17"/>
        <v>0</v>
      </c>
      <c r="O96" s="218">
        <f t="shared" si="18"/>
        <v>0</v>
      </c>
      <c r="P96" s="218">
        <f>IF(K96=0, 0, (HLOOKUP(K96,'[1]E-CESTDWO'!$A$5:$O$35,J96+1,FALSE)*R46))</f>
        <v>0</v>
      </c>
      <c r="Q96" s="218">
        <f>IF(K96=0, 0, (HLOOKUP(K96,'[1]E-CESTD'!$A$5:$O$35,J96+1,FALSE)*R46))</f>
        <v>0</v>
      </c>
      <c r="R96" s="292">
        <v>1.081</v>
      </c>
      <c r="S96" s="4070">
        <f t="shared" si="11"/>
        <v>0</v>
      </c>
      <c r="T96" s="4070">
        <f t="shared" si="12"/>
        <v>0</v>
      </c>
      <c r="U96" s="4060">
        <f t="shared" si="13"/>
        <v>0</v>
      </c>
    </row>
    <row r="97" spans="2:21" ht="13.8" x14ac:dyDescent="0.3">
      <c r="B97" s="296"/>
      <c r="C97" s="296" t="s">
        <v>245</v>
      </c>
      <c r="D97" s="299">
        <v>0</v>
      </c>
      <c r="E97" s="296" t="s">
        <v>206</v>
      </c>
      <c r="F97" s="296" t="s">
        <v>211</v>
      </c>
      <c r="G97" s="297"/>
      <c r="H97" s="297"/>
      <c r="I97" s="326">
        <v>0</v>
      </c>
      <c r="J97" s="267"/>
      <c r="K97" s="267"/>
      <c r="L97" s="291" t="e">
        <f t="shared" si="16"/>
        <v>#DIV/0!</v>
      </c>
      <c r="M97" s="291" t="e">
        <f t="shared" si="16"/>
        <v>#DIV/0!</v>
      </c>
      <c r="N97" s="218">
        <f t="shared" si="17"/>
        <v>0</v>
      </c>
      <c r="O97" s="218">
        <f t="shared" si="18"/>
        <v>0</v>
      </c>
      <c r="P97" s="218">
        <f>IF(K97=0, 0, (HLOOKUP(K97,'[1]E-CESTDWO'!$A$5:$O$35,J97+1,FALSE)*R47))</f>
        <v>0</v>
      </c>
      <c r="Q97" s="218">
        <f>IF(K97=0, 0, (HLOOKUP(K97,'[1]E-CESTD'!$A$5:$O$35,J97+1,FALSE)*R47))</f>
        <v>0</v>
      </c>
      <c r="R97" s="292">
        <v>1.081</v>
      </c>
      <c r="S97" s="4070">
        <f t="shared" si="11"/>
        <v>0</v>
      </c>
      <c r="T97" s="4070">
        <f t="shared" si="12"/>
        <v>0</v>
      </c>
      <c r="U97" s="4060">
        <f t="shared" si="13"/>
        <v>0</v>
      </c>
    </row>
    <row r="98" spans="2:21" ht="13.8" x14ac:dyDescent="0.3">
      <c r="B98" s="296"/>
      <c r="C98" s="296" t="s">
        <v>246</v>
      </c>
      <c r="D98" s="299">
        <v>0</v>
      </c>
      <c r="E98" s="296" t="s">
        <v>206</v>
      </c>
      <c r="F98" s="296" t="s">
        <v>211</v>
      </c>
      <c r="G98" s="297"/>
      <c r="H98" s="297"/>
      <c r="I98" s="326">
        <v>0</v>
      </c>
      <c r="J98" s="267"/>
      <c r="K98" s="267"/>
      <c r="L98" s="291" t="e">
        <f t="shared" si="16"/>
        <v>#DIV/0!</v>
      </c>
      <c r="M98" s="291" t="e">
        <f t="shared" si="16"/>
        <v>#DIV/0!</v>
      </c>
      <c r="N98" s="218">
        <f t="shared" si="17"/>
        <v>0</v>
      </c>
      <c r="O98" s="218">
        <f t="shared" si="18"/>
        <v>0</v>
      </c>
      <c r="P98" s="218">
        <f>IF(K98=0, 0, (HLOOKUP(K98,'[1]E-CESTDWO'!$A$5:$O$35,J98+1,FALSE)*R48))</f>
        <v>0</v>
      </c>
      <c r="Q98" s="218">
        <f>IF(K98=0, 0, (HLOOKUP(K98,'[1]E-CESTD'!$A$5:$O$35,J98+1,FALSE)*R48))</f>
        <v>0</v>
      </c>
      <c r="R98" s="292">
        <v>1.081</v>
      </c>
      <c r="S98" s="4070">
        <f t="shared" si="11"/>
        <v>0</v>
      </c>
      <c r="T98" s="4070">
        <f t="shared" si="12"/>
        <v>0</v>
      </c>
      <c r="U98" s="4060">
        <f t="shared" si="13"/>
        <v>0</v>
      </c>
    </row>
    <row r="99" spans="2:21" ht="13.8" x14ac:dyDescent="0.3">
      <c r="B99" s="296"/>
      <c r="C99" s="296" t="s">
        <v>247</v>
      </c>
      <c r="D99" s="299">
        <v>0</v>
      </c>
      <c r="E99" s="296" t="s">
        <v>206</v>
      </c>
      <c r="F99" s="296" t="s">
        <v>211</v>
      </c>
      <c r="G99" s="297"/>
      <c r="H99" s="297"/>
      <c r="I99" s="326">
        <v>0</v>
      </c>
      <c r="J99" s="267"/>
      <c r="K99" s="267"/>
      <c r="L99" s="291" t="e">
        <f t="shared" si="16"/>
        <v>#DIV/0!</v>
      </c>
      <c r="M99" s="291" t="e">
        <f t="shared" si="16"/>
        <v>#DIV/0!</v>
      </c>
      <c r="N99" s="218">
        <f t="shared" si="17"/>
        <v>0</v>
      </c>
      <c r="O99" s="218">
        <f t="shared" si="18"/>
        <v>0</v>
      </c>
      <c r="P99" s="218">
        <f>IF(K99=0, 0, (HLOOKUP(K99,'[1]E-CESTDWO'!$A$5:$O$35,J99+1,FALSE)*R49))</f>
        <v>0</v>
      </c>
      <c r="Q99" s="218">
        <f>IF(K99=0, 0, (HLOOKUP(K99,'[1]E-CESTD'!$A$5:$O$35,J99+1,FALSE)*R49))</f>
        <v>0</v>
      </c>
      <c r="R99" s="292">
        <v>1.081</v>
      </c>
      <c r="S99" s="4070">
        <f t="shared" si="11"/>
        <v>0</v>
      </c>
      <c r="T99" s="4070">
        <f t="shared" si="12"/>
        <v>0</v>
      </c>
      <c r="U99" s="4060">
        <f t="shared" si="13"/>
        <v>0</v>
      </c>
    </row>
    <row r="100" spans="2:21" ht="13.8" x14ac:dyDescent="0.3">
      <c r="B100" s="296"/>
      <c r="C100" s="296" t="s">
        <v>248</v>
      </c>
      <c r="D100" s="299">
        <v>0</v>
      </c>
      <c r="E100" s="296" t="s">
        <v>206</v>
      </c>
      <c r="F100" s="296" t="s">
        <v>211</v>
      </c>
      <c r="G100" s="297"/>
      <c r="H100" s="297"/>
      <c r="I100" s="326">
        <v>0</v>
      </c>
      <c r="J100" s="267"/>
      <c r="K100" s="267"/>
      <c r="L100" s="291" t="e">
        <f t="shared" si="16"/>
        <v>#DIV/0!</v>
      </c>
      <c r="M100" s="291" t="e">
        <f t="shared" si="16"/>
        <v>#DIV/0!</v>
      </c>
      <c r="N100" s="218">
        <f t="shared" si="17"/>
        <v>0</v>
      </c>
      <c r="O100" s="218">
        <f t="shared" si="18"/>
        <v>0</v>
      </c>
      <c r="P100" s="218">
        <f>IF(K100=0, 0, (HLOOKUP(K100,'[1]E-CESTDWO'!$A$5:$O$35,J100+1,FALSE)*R50))</f>
        <v>0</v>
      </c>
      <c r="Q100" s="218">
        <f>IF(K100=0, 0, (HLOOKUP(K100,'[1]E-CESTD'!$A$5:$O$35,J100+1,FALSE)*R50))</f>
        <v>0</v>
      </c>
      <c r="R100" s="292">
        <v>1.081</v>
      </c>
      <c r="S100" s="4070">
        <f t="shared" si="11"/>
        <v>0</v>
      </c>
      <c r="T100" s="4070">
        <f t="shared" si="12"/>
        <v>0</v>
      </c>
      <c r="U100" s="4060">
        <f t="shared" si="13"/>
        <v>0</v>
      </c>
    </row>
    <row r="101" spans="2:21" ht="13.8" x14ac:dyDescent="0.3">
      <c r="B101" s="296"/>
      <c r="C101" s="296" t="s">
        <v>249</v>
      </c>
      <c r="D101" s="299">
        <v>0</v>
      </c>
      <c r="E101" s="296" t="s">
        <v>206</v>
      </c>
      <c r="F101" s="296" t="s">
        <v>211</v>
      </c>
      <c r="G101" s="297"/>
      <c r="H101" s="297"/>
      <c r="I101" s="326">
        <v>0</v>
      </c>
      <c r="J101" s="267"/>
      <c r="K101" s="267"/>
      <c r="L101" s="291" t="e">
        <f t="shared" si="16"/>
        <v>#DIV/0!</v>
      </c>
      <c r="M101" s="291" t="e">
        <f t="shared" si="16"/>
        <v>#DIV/0!</v>
      </c>
      <c r="N101" s="218">
        <f t="shared" si="17"/>
        <v>0</v>
      </c>
      <c r="O101" s="218">
        <f t="shared" si="18"/>
        <v>0</v>
      </c>
      <c r="P101" s="218">
        <f>IF(K101=0, 0, (HLOOKUP(K101,'[1]E-CESTDWO'!$A$5:$O$35,J101+1,FALSE)*R51))</f>
        <v>0</v>
      </c>
      <c r="Q101" s="218">
        <f>IF(K101=0, 0, (HLOOKUP(K101,'[1]E-CESTD'!$A$5:$O$35,J101+1,FALSE)*R51))</f>
        <v>0</v>
      </c>
      <c r="R101" s="292">
        <v>1.081</v>
      </c>
      <c r="S101" s="4070">
        <f t="shared" si="11"/>
        <v>0</v>
      </c>
      <c r="T101" s="4070">
        <f t="shared" si="12"/>
        <v>0</v>
      </c>
      <c r="U101" s="4060">
        <f t="shared" si="13"/>
        <v>0</v>
      </c>
    </row>
    <row r="102" spans="2:21" ht="13.8" x14ac:dyDescent="0.3">
      <c r="B102" s="296"/>
      <c r="C102" s="296" t="s">
        <v>250</v>
      </c>
      <c r="D102" s="299">
        <v>0</v>
      </c>
      <c r="E102" s="296" t="s">
        <v>206</v>
      </c>
      <c r="F102" s="296" t="s">
        <v>211</v>
      </c>
      <c r="G102" s="297"/>
      <c r="H102" s="297"/>
      <c r="I102" s="326">
        <v>0</v>
      </c>
      <c r="J102" s="267"/>
      <c r="K102" s="267"/>
      <c r="L102" s="291" t="e">
        <f t="shared" si="16"/>
        <v>#DIV/0!</v>
      </c>
      <c r="M102" s="291" t="e">
        <f t="shared" si="16"/>
        <v>#DIV/0!</v>
      </c>
      <c r="N102" s="218">
        <f t="shared" si="17"/>
        <v>0</v>
      </c>
      <c r="O102" s="218">
        <f t="shared" si="18"/>
        <v>0</v>
      </c>
      <c r="P102" s="218">
        <f>IF(K102=0, 0, (HLOOKUP(K102,'[1]E-CESTDWO'!$A$5:$O$35,J102+1,FALSE)*R52))</f>
        <v>0</v>
      </c>
      <c r="Q102" s="218">
        <f>IF(K102=0, 0, (HLOOKUP(K102,'[1]E-CESTD'!$A$5:$O$35,J102+1,FALSE)*R52))</f>
        <v>0</v>
      </c>
      <c r="R102" s="292">
        <v>1.081</v>
      </c>
      <c r="S102" s="4070">
        <f t="shared" si="11"/>
        <v>0</v>
      </c>
      <c r="T102" s="4070">
        <f t="shared" si="12"/>
        <v>0</v>
      </c>
      <c r="U102" s="4060">
        <f t="shared" si="13"/>
        <v>0</v>
      </c>
    </row>
    <row r="103" spans="2:21" ht="14.4" thickBot="1" x14ac:dyDescent="0.35">
      <c r="B103" s="296"/>
      <c r="C103" s="296" t="s">
        <v>251</v>
      </c>
      <c r="D103" s="299">
        <v>0</v>
      </c>
      <c r="E103" s="296" t="s">
        <v>206</v>
      </c>
      <c r="F103" s="296" t="s">
        <v>211</v>
      </c>
      <c r="G103" s="297"/>
      <c r="H103" s="297"/>
      <c r="I103" s="326">
        <v>0</v>
      </c>
      <c r="J103" s="267"/>
      <c r="K103" s="267"/>
      <c r="L103" s="291" t="e">
        <f t="shared" si="16"/>
        <v>#DIV/0!</v>
      </c>
      <c r="M103" s="291" t="e">
        <f t="shared" si="16"/>
        <v>#DIV/0!</v>
      </c>
      <c r="N103" s="218">
        <f t="shared" si="17"/>
        <v>0</v>
      </c>
      <c r="O103" s="218">
        <f t="shared" si="18"/>
        <v>0</v>
      </c>
      <c r="P103" s="218">
        <f>IF(K103=0, 0, (HLOOKUP(K103,'[1]E-CESTDWO'!$A$5:$O$35,J103+1,FALSE)*R53))</f>
        <v>0</v>
      </c>
      <c r="Q103" s="218">
        <f>IF(K103=0, 0, (HLOOKUP(K103,'[1]E-CESTD'!$A$5:$O$35,J103+1,FALSE)*R53))</f>
        <v>0</v>
      </c>
      <c r="R103" s="292">
        <v>1.081</v>
      </c>
      <c r="S103" s="4070">
        <f t="shared" si="11"/>
        <v>0</v>
      </c>
      <c r="T103" s="4070">
        <f t="shared" si="12"/>
        <v>0</v>
      </c>
      <c r="U103" s="4060">
        <f t="shared" si="13"/>
        <v>0</v>
      </c>
    </row>
    <row r="104" spans="2:21" ht="14.4" thickBot="1" x14ac:dyDescent="0.35">
      <c r="G104" s="300">
        <f>SUMPRODUCT(G62:G103,O12:O53)</f>
        <v>21338455</v>
      </c>
      <c r="H104" s="301">
        <f>U104</f>
        <v>12649690</v>
      </c>
      <c r="I104" s="302">
        <f>SUM(I62:I103)</f>
        <v>0.99999999999999989</v>
      </c>
      <c r="J104" s="303">
        <f>ROUND(SUMPRODUCT(J62:J103,R12:R53)/R54,0)</f>
        <v>10</v>
      </c>
      <c r="K104" s="274"/>
      <c r="L104" s="304">
        <f>P104/N104</f>
        <v>2.1180622396133608</v>
      </c>
      <c r="M104" s="305">
        <f>Q104/O104</f>
        <v>1.5255293264304024</v>
      </c>
      <c r="N104" s="306">
        <f>SUM(N62:N103)</f>
        <v>15244518.695652178</v>
      </c>
      <c r="O104" s="306">
        <f>SUM(O62:O103)</f>
        <v>23282229.148936171</v>
      </c>
      <c r="P104" s="306">
        <f>SUM(P62:P103)</f>
        <v>32288839.410340805</v>
      </c>
      <c r="Q104" s="306">
        <f>SUM(Q62:Q103)</f>
        <v>35517723.351374879</v>
      </c>
      <c r="R104" s="307"/>
      <c r="S104" s="308">
        <f>SUM(S62:S103)</f>
        <v>6102890</v>
      </c>
      <c r="T104" s="308">
        <f>SUM(T62:T103)</f>
        <v>6546800</v>
      </c>
      <c r="U104" s="308">
        <f>SUM(U62:U103)</f>
        <v>12649690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18" top="0.32" bottom="0.37" header="0.3" footer="0.3"/>
  <pageSetup paperSize="17" scale="53"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E12" sqref="E11:E12"/>
    </sheetView>
  </sheetViews>
  <sheetFormatPr defaultRowHeight="13.2" x14ac:dyDescent="0.25"/>
  <cols>
    <col min="1" max="1" width="16.88671875" style="3369" customWidth="1"/>
    <col min="2" max="2" width="19.5546875" customWidth="1"/>
    <col min="3" max="3" width="39.6640625" customWidth="1"/>
    <col min="4" max="4" width="17.33203125" style="19" customWidth="1"/>
    <col min="5" max="6" width="17.332031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5.3320312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5.3320312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5.3320312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5.3320312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5.3320312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5.3320312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5.3320312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5.3320312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5.3320312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5.3320312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5.3320312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5.3320312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5.3320312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5.3320312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5.3320312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5.3320312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5.3320312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5.3320312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5.3320312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5.3320312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5.3320312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5.3320312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5.3320312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5.3320312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5.3320312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5.3320312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5.3320312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5.3320312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5.3320312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5.3320312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5.3320312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5.3320312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5.3320312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5.3320312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5.3320312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5.3320312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5.3320312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5.3320312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5.3320312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5.3320312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5.3320312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5.3320312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5.3320312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5.3320312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5.3320312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5.3320312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5.3320312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5.3320312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5.3320312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5.3320312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5.3320312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5.3320312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5.3320312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5.3320312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5.3320312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5.3320312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5.3320312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5.3320312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5.3320312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5.3320312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5.3320312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5.3320312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5.3320312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6.5" customHeight="1" thickBot="1" x14ac:dyDescent="0.35">
      <c r="B1" s="3881"/>
      <c r="F1" s="202"/>
      <c r="G1" s="202">
        <f>C3</f>
        <v>18230435</v>
      </c>
      <c r="H1" s="202" t="str">
        <f>C4</f>
        <v>Showerheads E</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18230435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447</v>
      </c>
      <c r="F4" s="202">
        <v>2011</v>
      </c>
      <c r="G4" s="210">
        <f>B12</f>
        <v>9224</v>
      </c>
      <c r="H4" s="211">
        <f>B17</f>
        <v>5250</v>
      </c>
      <c r="I4" s="211">
        <f>B22</f>
        <v>9119</v>
      </c>
      <c r="J4" s="211">
        <f>B27</f>
        <v>24000</v>
      </c>
      <c r="K4" s="211">
        <f>B32</f>
        <v>1500</v>
      </c>
      <c r="L4" s="211">
        <f>B37</f>
        <v>91500</v>
      </c>
      <c r="M4" s="211">
        <f>B42</f>
        <v>500</v>
      </c>
      <c r="N4" s="211">
        <f>B47</f>
        <v>500</v>
      </c>
      <c r="O4" s="211">
        <f>B52</f>
        <v>197100</v>
      </c>
      <c r="P4" s="211">
        <f>B53</f>
        <v>0</v>
      </c>
      <c r="Q4" s="213">
        <f>B54</f>
        <v>338693</v>
      </c>
      <c r="R4" s="214">
        <f>T54</f>
        <v>3291200</v>
      </c>
      <c r="S4" s="331">
        <f>O4/Q4</f>
        <v>0.58194293947616282</v>
      </c>
      <c r="T4" s="331">
        <f>(J4+(H4*1.63))/Q4</f>
        <v>9.6126875961416391E-2</v>
      </c>
      <c r="U4" s="331">
        <f>L4/Q4</f>
        <v>0.27015615911754892</v>
      </c>
      <c r="V4" s="216">
        <f>Q4/R4</f>
        <v>0.10290866553232864</v>
      </c>
    </row>
    <row r="5" spans="2:22" ht="16.2" thickBot="1" x14ac:dyDescent="0.35">
      <c r="B5" s="202" t="s">
        <v>34</v>
      </c>
      <c r="F5" s="202">
        <v>2012</v>
      </c>
      <c r="G5" s="217">
        <f>D12</f>
        <v>16675.199999999997</v>
      </c>
      <c r="H5" s="218">
        <f>D17</f>
        <v>12000</v>
      </c>
      <c r="I5" s="218">
        <f>D22</f>
        <v>18065.375999999997</v>
      </c>
      <c r="J5" s="218">
        <f>D27</f>
        <v>33000</v>
      </c>
      <c r="K5" s="218">
        <f>D32</f>
        <v>1500</v>
      </c>
      <c r="L5" s="218">
        <f>D37</f>
        <v>30114</v>
      </c>
      <c r="M5" s="218">
        <f>D42</f>
        <v>500</v>
      </c>
      <c r="N5" s="218">
        <f>D47</f>
        <v>500</v>
      </c>
      <c r="O5" s="218">
        <f>D52</f>
        <v>76140</v>
      </c>
      <c r="P5" s="218">
        <f>D53</f>
        <v>0</v>
      </c>
      <c r="Q5" s="219">
        <f>SUM(G5:P5)</f>
        <v>188494.576</v>
      </c>
      <c r="R5" s="220">
        <f>P54</f>
        <v>1383072</v>
      </c>
      <c r="S5" s="332">
        <f>O5/Q5</f>
        <v>0.40393735255278646</v>
      </c>
      <c r="T5" s="332">
        <f>(J5+(H5*1.63))/Q5</f>
        <v>0.27884091476457123</v>
      </c>
      <c r="U5" s="332">
        <f>L5/Q5</f>
        <v>0.15976056520586565</v>
      </c>
      <c r="V5" s="222">
        <f>Q5/R5</f>
        <v>0.13628688600448857</v>
      </c>
    </row>
    <row r="6" spans="2:22" ht="16.2" thickBot="1" x14ac:dyDescent="0.35">
      <c r="C6" s="202" t="s">
        <v>414</v>
      </c>
      <c r="F6" s="202">
        <v>2013</v>
      </c>
      <c r="G6" s="223">
        <f>E12</f>
        <v>17175.45</v>
      </c>
      <c r="H6" s="224">
        <f>E17</f>
        <v>12300</v>
      </c>
      <c r="I6" s="224">
        <f>E22</f>
        <v>18569.533500000001</v>
      </c>
      <c r="J6" s="224">
        <f>E27</f>
        <v>27000</v>
      </c>
      <c r="K6" s="224">
        <f>E32</f>
        <v>1500</v>
      </c>
      <c r="L6" s="224">
        <f>E37</f>
        <v>31950</v>
      </c>
      <c r="M6" s="224">
        <f>E42</f>
        <v>500</v>
      </c>
      <c r="N6" s="224">
        <f>E47</f>
        <v>500</v>
      </c>
      <c r="O6" s="224">
        <f>E52</f>
        <v>94500</v>
      </c>
      <c r="P6" s="224">
        <f>E53</f>
        <v>0</v>
      </c>
      <c r="Q6" s="225">
        <f>SUM(G6:P6)</f>
        <v>203994.9835</v>
      </c>
      <c r="R6" s="226">
        <f>Q54</f>
        <v>1724400</v>
      </c>
      <c r="S6" s="332">
        <f>O6/Q6</f>
        <v>0.46324668567156213</v>
      </c>
      <c r="T6" s="332">
        <f>(J6+(H6*1.63))/Q6</f>
        <v>0.23063802448847964</v>
      </c>
      <c r="U6" s="332">
        <f>L6/Q6</f>
        <v>0.15662149848895671</v>
      </c>
      <c r="V6" s="222">
        <f>Q6/R6</f>
        <v>0.11829910896543726</v>
      </c>
    </row>
    <row r="7" spans="2:22" ht="16.2" thickBot="1" x14ac:dyDescent="0.35">
      <c r="C7" s="227" t="s">
        <v>415</v>
      </c>
      <c r="F7" s="228" t="s">
        <v>140</v>
      </c>
      <c r="G7" s="229">
        <f>SUM(G5:G6)</f>
        <v>33850.649999999994</v>
      </c>
      <c r="H7" s="229">
        <f t="shared" ref="H7:P7" si="0">SUM(H5:H6)</f>
        <v>24300</v>
      </c>
      <c r="I7" s="229">
        <f t="shared" si="0"/>
        <v>36634.909499999994</v>
      </c>
      <c r="J7" s="229">
        <f t="shared" si="0"/>
        <v>60000</v>
      </c>
      <c r="K7" s="229">
        <f t="shared" si="0"/>
        <v>3000</v>
      </c>
      <c r="L7" s="229">
        <f t="shared" si="0"/>
        <v>62064</v>
      </c>
      <c r="M7" s="229">
        <f t="shared" si="0"/>
        <v>1000</v>
      </c>
      <c r="N7" s="229">
        <f t="shared" si="0"/>
        <v>1000</v>
      </c>
      <c r="O7" s="229">
        <f t="shared" si="0"/>
        <v>170640</v>
      </c>
      <c r="P7" s="229">
        <f t="shared" si="0"/>
        <v>0</v>
      </c>
      <c r="Q7" s="230">
        <f>SUM(G7:P7)</f>
        <v>392489.55949999997</v>
      </c>
      <c r="R7" s="231">
        <f>R54</f>
        <v>3107472</v>
      </c>
      <c r="S7" s="332">
        <f>O7/Q7</f>
        <v>0.43476315705666563</v>
      </c>
      <c r="T7" s="332">
        <f>(J7+(H7*1.63))/Q7</f>
        <v>0.25378764247103497</v>
      </c>
      <c r="U7" s="332">
        <f>L7/Q7</f>
        <v>0.15812904699698135</v>
      </c>
      <c r="V7" s="222">
        <f>Q7/R7</f>
        <v>0.12630509928971201</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9224</v>
      </c>
      <c r="C12" s="244" t="s">
        <v>161</v>
      </c>
      <c r="D12" s="245">
        <f>SUM(D13:D16)</f>
        <v>16675.199999999997</v>
      </c>
      <c r="E12" s="245">
        <f>SUM(E13:E16)</f>
        <v>17175.45</v>
      </c>
      <c r="F12" s="246">
        <f>D12+E12</f>
        <v>33850.649999999994</v>
      </c>
      <c r="H12" s="135"/>
      <c r="I12" s="2627" t="s">
        <v>448</v>
      </c>
      <c r="J12" s="2628"/>
      <c r="K12" s="2629"/>
      <c r="L12" s="2632">
        <v>117</v>
      </c>
      <c r="M12" s="2622">
        <v>500</v>
      </c>
      <c r="N12" s="2622">
        <v>600</v>
      </c>
      <c r="O12" s="2623">
        <v>1100</v>
      </c>
      <c r="P12" s="2630">
        <v>58500</v>
      </c>
      <c r="Q12" s="2630">
        <v>70200</v>
      </c>
      <c r="R12" s="2631">
        <v>128700</v>
      </c>
      <c r="T12" s="309">
        <v>3291200</v>
      </c>
    </row>
    <row r="13" spans="2:22" ht="13.8" x14ac:dyDescent="0.3">
      <c r="B13" s="256"/>
      <c r="C13" s="257" t="s">
        <v>265</v>
      </c>
      <c r="D13" s="258">
        <v>5558.4</v>
      </c>
      <c r="E13" s="258">
        <v>5725.15</v>
      </c>
      <c r="F13" s="258">
        <f>SUM(D13:E13)</f>
        <v>11283.55</v>
      </c>
      <c r="H13" s="135"/>
      <c r="I13" s="2624" t="s">
        <v>449</v>
      </c>
      <c r="J13" s="2625"/>
      <c r="K13" s="2626"/>
      <c r="L13" s="2632">
        <v>188</v>
      </c>
      <c r="M13" s="2622">
        <v>1000</v>
      </c>
      <c r="N13" s="2622">
        <v>1500</v>
      </c>
      <c r="O13" s="2623">
        <v>2500</v>
      </c>
      <c r="P13" s="2630">
        <v>188000</v>
      </c>
      <c r="Q13" s="2630">
        <v>282000</v>
      </c>
      <c r="R13" s="2631">
        <v>470000</v>
      </c>
      <c r="T13" s="263">
        <v>0</v>
      </c>
    </row>
    <row r="14" spans="2:22" ht="13.8" x14ac:dyDescent="0.3">
      <c r="B14" s="264"/>
      <c r="C14" s="257" t="s">
        <v>417</v>
      </c>
      <c r="D14" s="258">
        <v>2779.2</v>
      </c>
      <c r="E14" s="258">
        <v>2862.5750000000003</v>
      </c>
      <c r="F14" s="258">
        <f t="shared" ref="F14:F24" si="1">SUM(D14:E14)</f>
        <v>5641.7749999999996</v>
      </c>
      <c r="H14" s="135"/>
      <c r="I14" s="2624" t="s">
        <v>450</v>
      </c>
      <c r="J14" s="2625"/>
      <c r="K14" s="2626"/>
      <c r="L14" s="2632">
        <v>261</v>
      </c>
      <c r="M14" s="2622">
        <v>2100</v>
      </c>
      <c r="N14" s="2622">
        <v>2500</v>
      </c>
      <c r="O14" s="2623">
        <v>4600</v>
      </c>
      <c r="P14" s="2630">
        <v>548100</v>
      </c>
      <c r="Q14" s="2630">
        <v>652500</v>
      </c>
      <c r="R14" s="2631">
        <v>1200600</v>
      </c>
      <c r="T14" s="263">
        <v>0</v>
      </c>
    </row>
    <row r="15" spans="2:22" ht="13.8" x14ac:dyDescent="0.3">
      <c r="B15" s="264"/>
      <c r="C15" s="265" t="s">
        <v>418</v>
      </c>
      <c r="D15" s="258">
        <v>2779.2</v>
      </c>
      <c r="E15" s="258">
        <v>2862.5750000000003</v>
      </c>
      <c r="F15" s="258">
        <f t="shared" si="1"/>
        <v>5641.7749999999996</v>
      </c>
      <c r="H15" s="135"/>
      <c r="I15" s="2624" t="s">
        <v>451</v>
      </c>
      <c r="J15" s="2625"/>
      <c r="K15" s="2626"/>
      <c r="L15" s="2632">
        <v>123</v>
      </c>
      <c r="M15" s="2622">
        <v>404</v>
      </c>
      <c r="N15" s="2622">
        <v>400</v>
      </c>
      <c r="O15" s="2623">
        <v>804</v>
      </c>
      <c r="P15" s="2630">
        <v>49692</v>
      </c>
      <c r="Q15" s="2630">
        <v>49200</v>
      </c>
      <c r="R15" s="2631">
        <v>98892</v>
      </c>
      <c r="T15" s="263">
        <v>0</v>
      </c>
    </row>
    <row r="16" spans="2:22" ht="14.4" thickBot="1" x14ac:dyDescent="0.35">
      <c r="B16" s="264"/>
      <c r="C16" s="265" t="s">
        <v>419</v>
      </c>
      <c r="D16" s="258">
        <v>5558.4</v>
      </c>
      <c r="E16" s="258">
        <v>5725.15</v>
      </c>
      <c r="F16" s="258">
        <f t="shared" si="1"/>
        <v>11283.55</v>
      </c>
      <c r="H16" s="135"/>
      <c r="I16" s="2624" t="s">
        <v>452</v>
      </c>
      <c r="J16" s="2625"/>
      <c r="K16" s="2626"/>
      <c r="L16" s="2632">
        <v>158</v>
      </c>
      <c r="M16" s="2622">
        <v>760</v>
      </c>
      <c r="N16" s="2622">
        <v>900</v>
      </c>
      <c r="O16" s="2623">
        <v>1660</v>
      </c>
      <c r="P16" s="2630">
        <v>120080</v>
      </c>
      <c r="Q16" s="2630">
        <v>142200</v>
      </c>
      <c r="R16" s="2631">
        <v>262280</v>
      </c>
      <c r="T16" s="263">
        <v>0</v>
      </c>
    </row>
    <row r="17" spans="2:20" ht="14.4" thickBot="1" x14ac:dyDescent="0.35">
      <c r="B17" s="272">
        <v>5250</v>
      </c>
      <c r="C17" s="244" t="s">
        <v>166</v>
      </c>
      <c r="D17" s="245">
        <f>SUM(D18:D21)</f>
        <v>12000</v>
      </c>
      <c r="E17" s="245">
        <f>SUM(E18:E21)</f>
        <v>12300</v>
      </c>
      <c r="F17" s="246">
        <f>D17+E17</f>
        <v>24300</v>
      </c>
      <c r="H17" s="135"/>
      <c r="I17" s="2624" t="s">
        <v>453</v>
      </c>
      <c r="J17" s="2625"/>
      <c r="K17" s="2626"/>
      <c r="L17" s="2632">
        <v>196</v>
      </c>
      <c r="M17" s="2622">
        <v>1200</v>
      </c>
      <c r="N17" s="2622">
        <v>1600</v>
      </c>
      <c r="O17" s="2623">
        <v>2800</v>
      </c>
      <c r="P17" s="2630">
        <v>235200</v>
      </c>
      <c r="Q17" s="2630">
        <v>313600</v>
      </c>
      <c r="R17" s="2631">
        <v>548800</v>
      </c>
      <c r="T17" s="263">
        <v>0</v>
      </c>
    </row>
    <row r="18" spans="2:20" ht="13.8" x14ac:dyDescent="0.3">
      <c r="B18" s="256"/>
      <c r="C18" s="346" t="s">
        <v>420</v>
      </c>
      <c r="D18" s="350">
        <v>6000</v>
      </c>
      <c r="E18" s="350">
        <v>6150</v>
      </c>
      <c r="F18" s="258">
        <f t="shared" si="1"/>
        <v>12150</v>
      </c>
      <c r="H18" s="135"/>
      <c r="I18" s="2624" t="s">
        <v>1052</v>
      </c>
      <c r="J18" s="2625"/>
      <c r="K18" s="2626"/>
      <c r="L18" s="2632">
        <v>81</v>
      </c>
      <c r="M18" s="2622">
        <v>350</v>
      </c>
      <c r="N18" s="2622">
        <v>450</v>
      </c>
      <c r="O18" s="2623">
        <v>800</v>
      </c>
      <c r="P18" s="2630">
        <v>28350</v>
      </c>
      <c r="Q18" s="2630">
        <v>36450</v>
      </c>
      <c r="R18" s="2631">
        <v>64800</v>
      </c>
      <c r="T18" s="263">
        <v>0</v>
      </c>
    </row>
    <row r="19" spans="2:20" ht="13.8" x14ac:dyDescent="0.3">
      <c r="B19" s="264"/>
      <c r="C19" s="348" t="s">
        <v>421</v>
      </c>
      <c r="D19" s="350">
        <v>6000</v>
      </c>
      <c r="E19" s="350">
        <v>6150</v>
      </c>
      <c r="F19" s="258">
        <f t="shared" si="1"/>
        <v>12150</v>
      </c>
      <c r="H19" s="135"/>
      <c r="I19" s="2624" t="s">
        <v>1053</v>
      </c>
      <c r="J19" s="2625"/>
      <c r="K19" s="2626"/>
      <c r="L19" s="2632">
        <v>103</v>
      </c>
      <c r="M19" s="2622">
        <v>450</v>
      </c>
      <c r="N19" s="2622">
        <v>550</v>
      </c>
      <c r="O19" s="2623">
        <v>1000</v>
      </c>
      <c r="P19" s="2630">
        <v>46350</v>
      </c>
      <c r="Q19" s="2630">
        <v>56650</v>
      </c>
      <c r="R19" s="2631">
        <v>103000</v>
      </c>
      <c r="T19" s="263">
        <v>0</v>
      </c>
    </row>
    <row r="20" spans="2:20" ht="13.8" x14ac:dyDescent="0.3">
      <c r="B20" s="264"/>
      <c r="C20" s="265" t="s">
        <v>164</v>
      </c>
      <c r="D20" s="268">
        <v>0</v>
      </c>
      <c r="E20" s="268"/>
      <c r="F20" s="258">
        <f t="shared" si="1"/>
        <v>0</v>
      </c>
      <c r="H20" s="135"/>
      <c r="I20" s="2624" t="s">
        <v>1054</v>
      </c>
      <c r="J20" s="2625"/>
      <c r="K20" s="2626"/>
      <c r="L20" s="2632">
        <v>128</v>
      </c>
      <c r="M20" s="2622">
        <v>850</v>
      </c>
      <c r="N20" s="2622">
        <v>950</v>
      </c>
      <c r="O20" s="2623">
        <v>1800</v>
      </c>
      <c r="P20" s="2630">
        <v>108800</v>
      </c>
      <c r="Q20" s="2630">
        <v>121600</v>
      </c>
      <c r="R20" s="2631">
        <v>230400</v>
      </c>
      <c r="T20" s="263">
        <v>0</v>
      </c>
    </row>
    <row r="21" spans="2:20" ht="14.4" thickBot="1" x14ac:dyDescent="0.35">
      <c r="B21" s="264"/>
      <c r="C21" s="265" t="s">
        <v>165</v>
      </c>
      <c r="D21" s="268">
        <v>0</v>
      </c>
      <c r="E21" s="268"/>
      <c r="F21" s="258">
        <f t="shared" si="1"/>
        <v>0</v>
      </c>
      <c r="H21" s="135"/>
      <c r="I21" s="259" t="str">
        <f t="shared" ref="I21:I53" si="2">C71</f>
        <v>Measure 10</v>
      </c>
      <c r="J21" s="260"/>
      <c r="K21" s="261"/>
      <c r="L21" s="250">
        <f t="shared" ref="L21:L53" si="3">D71</f>
        <v>0</v>
      </c>
      <c r="M21" s="267">
        <v>0</v>
      </c>
      <c r="N21" s="267">
        <v>0</v>
      </c>
      <c r="O21" s="252">
        <f t="shared" ref="O21:O53" si="4">M21+N21</f>
        <v>0</v>
      </c>
      <c r="P21" s="253">
        <f t="shared" ref="P21:R27" si="5">M21*$D71</f>
        <v>0</v>
      </c>
      <c r="Q21" s="253">
        <f t="shared" si="5"/>
        <v>0</v>
      </c>
      <c r="R21" s="254">
        <f t="shared" si="5"/>
        <v>0</v>
      </c>
      <c r="T21" s="263">
        <v>0</v>
      </c>
    </row>
    <row r="22" spans="2:20" ht="14.4" thickBot="1" x14ac:dyDescent="0.35">
      <c r="B22" s="272">
        <v>9119</v>
      </c>
      <c r="C22" s="244" t="s">
        <v>167</v>
      </c>
      <c r="D22" s="245">
        <f>SUM(D23:D26)</f>
        <v>18065.375999999997</v>
      </c>
      <c r="E22" s="245">
        <f>SUM(E23:E26)</f>
        <v>18569.533500000001</v>
      </c>
      <c r="F22" s="246">
        <f>D22+E22</f>
        <v>36634.909499999994</v>
      </c>
      <c r="G22" s="55"/>
      <c r="H22" s="135"/>
      <c r="I22" s="259" t="str">
        <f t="shared" si="2"/>
        <v>Measure 11</v>
      </c>
      <c r="J22" s="260"/>
      <c r="K22" s="261"/>
      <c r="L22" s="250">
        <f t="shared" si="3"/>
        <v>0</v>
      </c>
      <c r="M22" s="267">
        <v>0</v>
      </c>
      <c r="N22" s="267">
        <v>0</v>
      </c>
      <c r="O22" s="252">
        <f t="shared" si="4"/>
        <v>0</v>
      </c>
      <c r="P22" s="253">
        <f t="shared" si="5"/>
        <v>0</v>
      </c>
      <c r="Q22" s="253">
        <f t="shared" si="5"/>
        <v>0</v>
      </c>
      <c r="R22" s="254">
        <f t="shared" si="5"/>
        <v>0</v>
      </c>
      <c r="T22" s="263">
        <v>0</v>
      </c>
    </row>
    <row r="23" spans="2:20" ht="13.8" x14ac:dyDescent="0.3">
      <c r="B23" s="256"/>
      <c r="C23" s="257" t="s">
        <v>168</v>
      </c>
      <c r="D23" s="258">
        <f>0.63*D12</f>
        <v>10505.375999999998</v>
      </c>
      <c r="E23" s="258">
        <f>0.63*E12</f>
        <v>10820.533500000001</v>
      </c>
      <c r="F23" s="258">
        <f t="shared" si="1"/>
        <v>21325.909500000002</v>
      </c>
      <c r="H23" s="135"/>
      <c r="I23" s="259" t="str">
        <f t="shared" si="2"/>
        <v>Measure 12</v>
      </c>
      <c r="J23" s="260"/>
      <c r="K23" s="261"/>
      <c r="L23" s="250">
        <f t="shared" si="3"/>
        <v>0</v>
      </c>
      <c r="M23" s="267">
        <v>0</v>
      </c>
      <c r="N23" s="267">
        <v>0</v>
      </c>
      <c r="O23" s="252">
        <f t="shared" si="4"/>
        <v>0</v>
      </c>
      <c r="P23" s="253">
        <f t="shared" si="5"/>
        <v>0</v>
      </c>
      <c r="Q23" s="253">
        <f t="shared" si="5"/>
        <v>0</v>
      </c>
      <c r="R23" s="254">
        <f t="shared" si="5"/>
        <v>0</v>
      </c>
      <c r="T23" s="263">
        <v>0</v>
      </c>
    </row>
    <row r="24" spans="2:20" ht="13.8" x14ac:dyDescent="0.3">
      <c r="B24" s="256"/>
      <c r="C24" s="257" t="s">
        <v>169</v>
      </c>
      <c r="D24" s="266">
        <f>0.63*D17</f>
        <v>7560</v>
      </c>
      <c r="E24" s="266">
        <f>0.63*E17</f>
        <v>7749</v>
      </c>
      <c r="F24" s="258">
        <f t="shared" si="1"/>
        <v>15309</v>
      </c>
      <c r="H24" s="135"/>
      <c r="I24" s="259" t="str">
        <f t="shared" si="2"/>
        <v>Measure 13</v>
      </c>
      <c r="J24" s="260"/>
      <c r="K24" s="261"/>
      <c r="L24" s="250">
        <f t="shared" si="3"/>
        <v>0</v>
      </c>
      <c r="M24" s="267">
        <v>0</v>
      </c>
      <c r="N24" s="267">
        <v>0</v>
      </c>
      <c r="O24" s="252">
        <f t="shared" si="4"/>
        <v>0</v>
      </c>
      <c r="P24" s="253">
        <f t="shared" si="5"/>
        <v>0</v>
      </c>
      <c r="Q24" s="253">
        <f t="shared" si="5"/>
        <v>0</v>
      </c>
      <c r="R24" s="254">
        <f t="shared" si="5"/>
        <v>0</v>
      </c>
      <c r="T24" s="263">
        <v>0</v>
      </c>
    </row>
    <row r="25" spans="2:20" ht="13.8" x14ac:dyDescent="0.3">
      <c r="B25" s="264"/>
      <c r="C25" s="265"/>
      <c r="D25" s="268"/>
      <c r="E25" s="268"/>
      <c r="F25" s="268"/>
      <c r="H25" s="135"/>
      <c r="I25" s="259" t="str">
        <f t="shared" si="2"/>
        <v>Measure 14</v>
      </c>
      <c r="J25" s="260"/>
      <c r="K25" s="261"/>
      <c r="L25" s="250">
        <f t="shared" si="3"/>
        <v>0</v>
      </c>
      <c r="M25" s="267">
        <v>0</v>
      </c>
      <c r="N25" s="267">
        <v>0</v>
      </c>
      <c r="O25" s="252">
        <f t="shared" si="4"/>
        <v>0</v>
      </c>
      <c r="P25" s="253">
        <f t="shared" si="5"/>
        <v>0</v>
      </c>
      <c r="Q25" s="253">
        <f t="shared" si="5"/>
        <v>0</v>
      </c>
      <c r="R25" s="254">
        <f t="shared" si="5"/>
        <v>0</v>
      </c>
      <c r="T25" s="263">
        <v>0</v>
      </c>
    </row>
    <row r="26" spans="2:20" ht="14.4" thickBot="1" x14ac:dyDescent="0.35">
      <c r="B26" s="264"/>
      <c r="C26" s="265"/>
      <c r="D26" s="268"/>
      <c r="E26" s="268"/>
      <c r="F26" s="268"/>
      <c r="H26" s="135"/>
      <c r="I26" s="259" t="str">
        <f t="shared" si="2"/>
        <v>Measure 15</v>
      </c>
      <c r="J26" s="260"/>
      <c r="K26" s="261"/>
      <c r="L26" s="250">
        <f t="shared" si="3"/>
        <v>0</v>
      </c>
      <c r="M26" s="267">
        <v>0</v>
      </c>
      <c r="N26" s="267">
        <v>0</v>
      </c>
      <c r="O26" s="252">
        <f t="shared" si="4"/>
        <v>0</v>
      </c>
      <c r="P26" s="253">
        <f t="shared" si="5"/>
        <v>0</v>
      </c>
      <c r="Q26" s="253">
        <f t="shared" si="5"/>
        <v>0</v>
      </c>
      <c r="R26" s="254">
        <f t="shared" si="5"/>
        <v>0</v>
      </c>
      <c r="T26" s="263">
        <v>0</v>
      </c>
    </row>
    <row r="27" spans="2:20" ht="14.4" thickBot="1" x14ac:dyDescent="0.35">
      <c r="B27" s="272">
        <v>24000</v>
      </c>
      <c r="C27" s="244" t="s">
        <v>170</v>
      </c>
      <c r="D27" s="245">
        <f>SUM(D28:D31)</f>
        <v>33000</v>
      </c>
      <c r="E27" s="245">
        <f>SUM(E28:E31)</f>
        <v>27000</v>
      </c>
      <c r="F27" s="246">
        <f>D27+E27</f>
        <v>60000</v>
      </c>
      <c r="H27" s="135"/>
      <c r="I27" s="259" t="str">
        <f t="shared" si="2"/>
        <v>Measure 16</v>
      </c>
      <c r="J27" s="260"/>
      <c r="K27" s="261"/>
      <c r="L27" s="250">
        <f t="shared" si="3"/>
        <v>0</v>
      </c>
      <c r="M27" s="267">
        <v>0</v>
      </c>
      <c r="N27" s="267">
        <v>0</v>
      </c>
      <c r="O27" s="252">
        <f t="shared" si="4"/>
        <v>0</v>
      </c>
      <c r="P27" s="253">
        <f t="shared" si="5"/>
        <v>0</v>
      </c>
      <c r="Q27" s="253">
        <f t="shared" si="5"/>
        <v>0</v>
      </c>
      <c r="R27" s="254">
        <f t="shared" si="5"/>
        <v>0</v>
      </c>
      <c r="T27" s="263">
        <v>0</v>
      </c>
    </row>
    <row r="28" spans="2:20" ht="13.8" x14ac:dyDescent="0.3">
      <c r="B28" s="256"/>
      <c r="C28" s="257" t="s">
        <v>162</v>
      </c>
      <c r="D28" s="258">
        <v>33000</v>
      </c>
      <c r="E28" s="258">
        <v>27000</v>
      </c>
      <c r="F28" s="258">
        <f t="shared" ref="F28:F36" si="6">SUM(D28:E28)</f>
        <v>60000</v>
      </c>
      <c r="H28" s="135"/>
      <c r="I28" s="259" t="str">
        <f t="shared" si="2"/>
        <v>Measure 17</v>
      </c>
      <c r="J28" s="260"/>
      <c r="K28" s="261"/>
      <c r="L28" s="250">
        <f t="shared" si="3"/>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2"/>
        <v>Measure 18</v>
      </c>
      <c r="J29" s="260"/>
      <c r="K29" s="261"/>
      <c r="L29" s="250">
        <f t="shared" si="3"/>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2"/>
        <v>Measure 19</v>
      </c>
      <c r="J30" s="260"/>
      <c r="K30" s="261"/>
      <c r="L30" s="250">
        <f t="shared" si="3"/>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2"/>
        <v>Measure 20</v>
      </c>
      <c r="J31" s="260"/>
      <c r="K31" s="261"/>
      <c r="L31" s="250">
        <f t="shared" si="3"/>
        <v>0</v>
      </c>
      <c r="M31" s="267">
        <v>0</v>
      </c>
      <c r="N31" s="267">
        <v>0</v>
      </c>
      <c r="O31" s="252">
        <f t="shared" si="4"/>
        <v>0</v>
      </c>
      <c r="P31" s="253">
        <f t="shared" si="7"/>
        <v>0</v>
      </c>
      <c r="Q31" s="253">
        <f t="shared" si="7"/>
        <v>0</v>
      </c>
      <c r="R31" s="254">
        <f t="shared" si="7"/>
        <v>0</v>
      </c>
      <c r="T31" s="263">
        <v>0</v>
      </c>
    </row>
    <row r="32" spans="2:20" ht="14.4" thickBot="1" x14ac:dyDescent="0.35">
      <c r="B32" s="272">
        <v>1500</v>
      </c>
      <c r="C32" s="244" t="s">
        <v>171</v>
      </c>
      <c r="D32" s="245">
        <f>SUM(D33:D36)</f>
        <v>1500</v>
      </c>
      <c r="E32" s="245">
        <f>SUM(E33:E36)</f>
        <v>1500</v>
      </c>
      <c r="F32" s="246">
        <f>D32+E32</f>
        <v>3000</v>
      </c>
      <c r="H32" s="135"/>
      <c r="I32" s="259" t="str">
        <f t="shared" si="2"/>
        <v>Measure 21</v>
      </c>
      <c r="J32" s="260"/>
      <c r="K32" s="261"/>
      <c r="L32" s="250">
        <f t="shared" si="3"/>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1500</v>
      </c>
      <c r="E33" s="266">
        <v>1500</v>
      </c>
      <c r="F33" s="258">
        <f t="shared" si="6"/>
        <v>3000</v>
      </c>
      <c r="H33" s="135"/>
      <c r="I33" s="259" t="str">
        <f t="shared" si="2"/>
        <v>Measure 22</v>
      </c>
      <c r="J33" s="260"/>
      <c r="K33" s="261"/>
      <c r="L33" s="250">
        <f t="shared" si="3"/>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2"/>
        <v>Measure 23</v>
      </c>
      <c r="J34" s="260"/>
      <c r="K34" s="261"/>
      <c r="L34" s="250">
        <f t="shared" si="3"/>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2"/>
        <v>Measure 24</v>
      </c>
      <c r="J35" s="260"/>
      <c r="K35" s="261"/>
      <c r="L35" s="250">
        <f t="shared" si="3"/>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2"/>
        <v>Measure 25</v>
      </c>
      <c r="J36" s="260"/>
      <c r="K36" s="261"/>
      <c r="L36" s="250">
        <f t="shared" si="3"/>
        <v>0</v>
      </c>
      <c r="M36" s="267">
        <v>0</v>
      </c>
      <c r="N36" s="267">
        <v>0</v>
      </c>
      <c r="O36" s="252">
        <f t="shared" si="4"/>
        <v>0</v>
      </c>
      <c r="P36" s="253">
        <f t="shared" si="7"/>
        <v>0</v>
      </c>
      <c r="Q36" s="253">
        <f t="shared" si="7"/>
        <v>0</v>
      </c>
      <c r="R36" s="254">
        <f t="shared" si="7"/>
        <v>0</v>
      </c>
      <c r="T36" s="263">
        <v>0</v>
      </c>
    </row>
    <row r="37" spans="2:20" ht="14.4" thickBot="1" x14ac:dyDescent="0.35">
      <c r="B37" s="272">
        <v>91500</v>
      </c>
      <c r="C37" s="244" t="s">
        <v>172</v>
      </c>
      <c r="D37" s="245">
        <f>SUM(D38:D41)</f>
        <v>30114</v>
      </c>
      <c r="E37" s="245">
        <f>SUM(E38:E41)</f>
        <v>31950</v>
      </c>
      <c r="F37" s="246">
        <f>D37+E37</f>
        <v>62064</v>
      </c>
      <c r="H37" s="135"/>
      <c r="I37" s="259" t="str">
        <f t="shared" si="2"/>
        <v>Measure 26</v>
      </c>
      <c r="J37" s="260"/>
      <c r="K37" s="270"/>
      <c r="L37" s="250">
        <f t="shared" si="3"/>
        <v>0</v>
      </c>
      <c r="M37" s="267">
        <v>0</v>
      </c>
      <c r="N37" s="267">
        <v>0</v>
      </c>
      <c r="O37" s="252">
        <f t="shared" si="4"/>
        <v>0</v>
      </c>
      <c r="P37" s="253">
        <f t="shared" si="7"/>
        <v>0</v>
      </c>
      <c r="Q37" s="253">
        <f t="shared" si="7"/>
        <v>0</v>
      </c>
      <c r="R37" s="254">
        <f t="shared" si="7"/>
        <v>0</v>
      </c>
      <c r="T37" s="263">
        <v>0</v>
      </c>
    </row>
    <row r="38" spans="2:20" ht="13.8" x14ac:dyDescent="0.3">
      <c r="B38" s="264"/>
      <c r="C38" s="265" t="s">
        <v>423</v>
      </c>
      <c r="D38" s="266">
        <v>22500</v>
      </c>
      <c r="E38" s="266">
        <f>D38</f>
        <v>22500</v>
      </c>
      <c r="F38" s="258">
        <f t="shared" ref="F38:F51" si="8">SUM(D38:E38)</f>
        <v>45000</v>
      </c>
      <c r="H38" s="135"/>
      <c r="I38" s="259" t="str">
        <f t="shared" si="2"/>
        <v>Measure 27</v>
      </c>
      <c r="J38" s="260"/>
      <c r="K38" s="270"/>
      <c r="L38" s="250">
        <f t="shared" si="3"/>
        <v>0</v>
      </c>
      <c r="M38" s="267">
        <v>0</v>
      </c>
      <c r="N38" s="267">
        <v>0</v>
      </c>
      <c r="O38" s="252">
        <f t="shared" si="4"/>
        <v>0</v>
      </c>
      <c r="P38" s="253">
        <f t="shared" si="7"/>
        <v>0</v>
      </c>
      <c r="Q38" s="253">
        <f t="shared" si="7"/>
        <v>0</v>
      </c>
      <c r="R38" s="254">
        <f t="shared" si="7"/>
        <v>0</v>
      </c>
      <c r="T38" s="263">
        <v>0</v>
      </c>
    </row>
    <row r="39" spans="2:20" ht="13.8" x14ac:dyDescent="0.3">
      <c r="B39" s="264"/>
      <c r="C39" s="265" t="s">
        <v>422</v>
      </c>
      <c r="D39" s="349">
        <v>7614</v>
      </c>
      <c r="E39" s="351">
        <v>9450</v>
      </c>
      <c r="F39" s="258">
        <f t="shared" si="8"/>
        <v>17064</v>
      </c>
      <c r="H39" s="135"/>
      <c r="I39" s="259" t="str">
        <f t="shared" si="2"/>
        <v>Measure 28</v>
      </c>
      <c r="J39" s="260"/>
      <c r="K39" s="270"/>
      <c r="L39" s="250">
        <f t="shared" si="3"/>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2"/>
        <v>Measure 29</v>
      </c>
      <c r="J40" s="260"/>
      <c r="K40" s="270"/>
      <c r="L40" s="250">
        <f t="shared" si="3"/>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2"/>
        <v>Measure 30</v>
      </c>
      <c r="J41" s="260"/>
      <c r="K41" s="270"/>
      <c r="L41" s="250">
        <f t="shared" si="3"/>
        <v>0</v>
      </c>
      <c r="M41" s="267">
        <v>0</v>
      </c>
      <c r="N41" s="267">
        <v>0</v>
      </c>
      <c r="O41" s="252">
        <f t="shared" si="4"/>
        <v>0</v>
      </c>
      <c r="P41" s="253">
        <f t="shared" si="7"/>
        <v>0</v>
      </c>
      <c r="Q41" s="253">
        <f t="shared" si="7"/>
        <v>0</v>
      </c>
      <c r="R41" s="254">
        <f t="shared" si="7"/>
        <v>0</v>
      </c>
      <c r="T41" s="263">
        <v>0</v>
      </c>
    </row>
    <row r="42" spans="2:20" ht="14.4" thickBot="1" x14ac:dyDescent="0.35">
      <c r="B42" s="272">
        <v>500</v>
      </c>
      <c r="C42" s="244" t="s">
        <v>173</v>
      </c>
      <c r="D42" s="245">
        <f>SUM(D43:D46)</f>
        <v>500</v>
      </c>
      <c r="E42" s="245">
        <f>SUM(E43:E46)</f>
        <v>500</v>
      </c>
      <c r="F42" s="246">
        <f>D42+E42</f>
        <v>1000</v>
      </c>
      <c r="H42" s="135"/>
      <c r="I42" s="259" t="str">
        <f t="shared" si="2"/>
        <v>Measure 31</v>
      </c>
      <c r="J42" s="260"/>
      <c r="K42" s="270"/>
      <c r="L42" s="250">
        <f t="shared" si="3"/>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500</v>
      </c>
      <c r="E43" s="266">
        <v>500</v>
      </c>
      <c r="F43" s="258">
        <f t="shared" si="8"/>
        <v>1000</v>
      </c>
      <c r="H43" s="135"/>
      <c r="I43" s="259" t="str">
        <f t="shared" si="2"/>
        <v>Measure 32</v>
      </c>
      <c r="J43" s="260"/>
      <c r="K43" s="270"/>
      <c r="L43" s="250">
        <f t="shared" si="3"/>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2"/>
        <v>Measure 33</v>
      </c>
      <c r="J44" s="260"/>
      <c r="K44" s="270"/>
      <c r="L44" s="250">
        <f t="shared" si="3"/>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2"/>
        <v>Measure 34</v>
      </c>
      <c r="J45" s="260"/>
      <c r="K45" s="270"/>
      <c r="L45" s="250">
        <f t="shared" si="3"/>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2"/>
        <v>Measure 35</v>
      </c>
      <c r="J46" s="260"/>
      <c r="K46" s="270"/>
      <c r="L46" s="250">
        <f t="shared" si="3"/>
        <v>0</v>
      </c>
      <c r="M46" s="267">
        <v>0</v>
      </c>
      <c r="N46" s="267">
        <v>0</v>
      </c>
      <c r="O46" s="252">
        <f t="shared" si="4"/>
        <v>0</v>
      </c>
      <c r="P46" s="253">
        <f t="shared" si="9"/>
        <v>0</v>
      </c>
      <c r="Q46" s="253">
        <f t="shared" si="9"/>
        <v>0</v>
      </c>
      <c r="R46" s="254">
        <f t="shared" si="9"/>
        <v>0</v>
      </c>
      <c r="T46" s="263">
        <v>0</v>
      </c>
    </row>
    <row r="47" spans="2:20" ht="14.4" thickBot="1" x14ac:dyDescent="0.35">
      <c r="B47" s="272">
        <v>500</v>
      </c>
      <c r="C47" s="244" t="s">
        <v>174</v>
      </c>
      <c r="D47" s="245">
        <f>SUM(D48:D51)</f>
        <v>500</v>
      </c>
      <c r="E47" s="245">
        <f>SUM(E48:E51)</f>
        <v>500</v>
      </c>
      <c r="F47" s="246">
        <f>D47+E47</f>
        <v>1000</v>
      </c>
      <c r="H47" s="135"/>
      <c r="I47" s="259" t="str">
        <f t="shared" si="2"/>
        <v>Measure 36</v>
      </c>
      <c r="J47" s="260"/>
      <c r="K47" s="270"/>
      <c r="L47" s="250">
        <f t="shared" si="3"/>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500</v>
      </c>
      <c r="E48" s="266">
        <v>500</v>
      </c>
      <c r="F48" s="258">
        <f t="shared" si="8"/>
        <v>1000</v>
      </c>
      <c r="H48" s="135"/>
      <c r="I48" s="259" t="str">
        <f t="shared" si="2"/>
        <v>Measure 37</v>
      </c>
      <c r="J48" s="260"/>
      <c r="K48" s="270"/>
      <c r="L48" s="250">
        <f t="shared" si="3"/>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2"/>
        <v>Measure 38</v>
      </c>
      <c r="J49" s="260"/>
      <c r="K49" s="261"/>
      <c r="L49" s="250">
        <f t="shared" si="3"/>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2"/>
        <v>Measure 39</v>
      </c>
      <c r="J50" s="260"/>
      <c r="K50" s="261"/>
      <c r="L50" s="250">
        <f t="shared" si="3"/>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2"/>
        <v>Measure 40</v>
      </c>
      <c r="J51" s="260"/>
      <c r="K51" s="261"/>
      <c r="L51" s="250">
        <f t="shared" si="3"/>
        <v>0</v>
      </c>
      <c r="M51" s="267">
        <v>0</v>
      </c>
      <c r="N51" s="267">
        <v>0</v>
      </c>
      <c r="O51" s="252">
        <f t="shared" si="4"/>
        <v>0</v>
      </c>
      <c r="P51" s="253">
        <f t="shared" si="9"/>
        <v>0</v>
      </c>
      <c r="Q51" s="253">
        <f t="shared" si="9"/>
        <v>0</v>
      </c>
      <c r="R51" s="254">
        <f t="shared" si="9"/>
        <v>0</v>
      </c>
      <c r="T51" s="263">
        <v>0</v>
      </c>
    </row>
    <row r="52" spans="2:24" ht="14.4" thickBot="1" x14ac:dyDescent="0.35">
      <c r="B52" s="272">
        <v>197100</v>
      </c>
      <c r="C52" s="244" t="s">
        <v>175</v>
      </c>
      <c r="D52" s="245">
        <f>S104</f>
        <v>76140</v>
      </c>
      <c r="E52" s="245">
        <f>T104</f>
        <v>94500</v>
      </c>
      <c r="F52" s="246">
        <f>U104</f>
        <v>170640</v>
      </c>
      <c r="G52" s="271" t="s">
        <v>176</v>
      </c>
      <c r="I52" s="259" t="str">
        <f t="shared" si="2"/>
        <v>Measure 41</v>
      </c>
      <c r="J52" s="260"/>
      <c r="K52" s="261"/>
      <c r="L52" s="250">
        <f t="shared" si="3"/>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2"/>
        <v>Measure 42</v>
      </c>
      <c r="J53" s="260"/>
      <c r="K53" s="261"/>
      <c r="L53" s="250">
        <f t="shared" si="3"/>
        <v>0</v>
      </c>
      <c r="M53" s="267">
        <v>0</v>
      </c>
      <c r="N53" s="267">
        <v>0</v>
      </c>
      <c r="O53" s="252">
        <f t="shared" si="4"/>
        <v>0</v>
      </c>
      <c r="P53" s="253">
        <f t="shared" si="9"/>
        <v>0</v>
      </c>
      <c r="Q53" s="253">
        <f t="shared" si="9"/>
        <v>0</v>
      </c>
      <c r="R53" s="254">
        <f t="shared" si="9"/>
        <v>0</v>
      </c>
      <c r="T53" s="263">
        <v>0</v>
      </c>
    </row>
    <row r="54" spans="2:24" ht="13.8" x14ac:dyDescent="0.3">
      <c r="B54" s="273">
        <f>B12+B17+B22+B27+B32+B37+B42+B47+B52+B53</f>
        <v>338693</v>
      </c>
      <c r="C54" s="274" t="s">
        <v>178</v>
      </c>
      <c r="D54" s="273">
        <f>D12+D17+D22+D27+D32+D37+D42+D47+D52+D53</f>
        <v>188494.576</v>
      </c>
      <c r="E54" s="273">
        <f>E12+E17+E22+E27+E32+E37+E42+E47+E52+E53</f>
        <v>203994.9835</v>
      </c>
      <c r="F54" s="273">
        <f>F12+F17+F22+F27+F32+F37+F42+F47+F52+F53</f>
        <v>392489.55949999997</v>
      </c>
      <c r="P54" s="275">
        <f>SUM(P12:P53)</f>
        <v>1383072</v>
      </c>
      <c r="Q54" s="275">
        <f>SUM(Q12:Q53)</f>
        <v>1724400</v>
      </c>
      <c r="R54" s="275">
        <f>SUM(R12:R53)</f>
        <v>3107472</v>
      </c>
      <c r="T54" s="275">
        <f>SUM(T12:T53)</f>
        <v>3291200</v>
      </c>
    </row>
    <row r="55" spans="2:24" ht="13.8" x14ac:dyDescent="0.3">
      <c r="C55" s="274"/>
      <c r="D55" s="273"/>
      <c r="E55" s="273"/>
      <c r="F55" s="273"/>
    </row>
    <row r="56" spans="2:24" ht="13.8" x14ac:dyDescent="0.3">
      <c r="C56" s="274" t="s">
        <v>179</v>
      </c>
      <c r="D56" s="273">
        <f>D54-D52</f>
        <v>112354.576</v>
      </c>
      <c r="E56" s="273">
        <f>E54-E52</f>
        <v>109494.9835</v>
      </c>
      <c r="F56" s="273">
        <f>F54-F52</f>
        <v>221849.55949999997</v>
      </c>
    </row>
    <row r="57" spans="2:24" ht="13.8" x14ac:dyDescent="0.3">
      <c r="C57" s="274" t="s">
        <v>180</v>
      </c>
      <c r="D57" s="276">
        <f>D52</f>
        <v>76140</v>
      </c>
      <c r="E57" s="276">
        <f>E52</f>
        <v>94500</v>
      </c>
      <c r="F57" s="276">
        <f>F52</f>
        <v>170640</v>
      </c>
      <c r="G57" s="335">
        <f>F57/(F56+F57)</f>
        <v>0.43476315705666563</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614" t="s">
        <v>448</v>
      </c>
      <c r="D62" s="2615">
        <v>117</v>
      </c>
      <c r="E62" s="2615" t="s">
        <v>206</v>
      </c>
      <c r="F62" s="2615" t="s">
        <v>211</v>
      </c>
      <c r="G62" s="2616">
        <v>24</v>
      </c>
      <c r="H62" s="2616">
        <v>10</v>
      </c>
      <c r="I62" s="2621">
        <v>6.9841269841269843E-2</v>
      </c>
      <c r="J62" s="2615">
        <v>10</v>
      </c>
      <c r="K62" s="2615" t="s">
        <v>259</v>
      </c>
      <c r="L62" s="2619">
        <v>3.6819203107706691</v>
      </c>
      <c r="M62" s="2619">
        <v>2.5627807163560004</v>
      </c>
      <c r="N62" s="2620">
        <v>24547.01352069659</v>
      </c>
      <c r="O62" s="2620">
        <v>38793.081975830726</v>
      </c>
      <c r="P62" s="2620">
        <v>90380.147650615007</v>
      </c>
      <c r="Q62" s="2620">
        <v>99418.162415676517</v>
      </c>
      <c r="R62" s="2618">
        <v>1.081</v>
      </c>
      <c r="S62" s="293">
        <f t="shared" ref="S62:U77" si="10">M12*$H62</f>
        <v>5000</v>
      </c>
      <c r="T62" s="293">
        <f t="shared" si="10"/>
        <v>6000</v>
      </c>
      <c r="U62" s="293">
        <f t="shared" si="10"/>
        <v>11000</v>
      </c>
      <c r="V62" s="338">
        <f>U62/(U62+(I62*F$56))</f>
        <v>0.41518434925189363</v>
      </c>
      <c r="W62" s="338">
        <f t="shared" ref="W62:W80" si="11">(I62*((F$17*1.63)+F$27))/(U62+(I62*F$56))</f>
        <v>0.26257839901353569</v>
      </c>
      <c r="X62" s="338">
        <f>(I62*F$37)/(U62+(I62*F$56))</f>
        <v>0.16360635842520335</v>
      </c>
    </row>
    <row r="63" spans="2:24" ht="13.8" x14ac:dyDescent="0.3">
      <c r="B63" s="296"/>
      <c r="C63" s="2614" t="s">
        <v>449</v>
      </c>
      <c r="D63" s="2614">
        <v>188</v>
      </c>
      <c r="E63" s="2614" t="s">
        <v>206</v>
      </c>
      <c r="F63" s="2615" t="s">
        <v>211</v>
      </c>
      <c r="G63" s="2616">
        <v>24</v>
      </c>
      <c r="H63" s="2616">
        <v>10</v>
      </c>
      <c r="I63" s="2621">
        <v>0.15873015873015872</v>
      </c>
      <c r="J63" s="2615">
        <v>10</v>
      </c>
      <c r="K63" s="2615" t="s">
        <v>259</v>
      </c>
      <c r="L63" s="2619">
        <v>5.9162480207255204</v>
      </c>
      <c r="M63" s="2619">
        <v>4.1179724331190437</v>
      </c>
      <c r="N63" s="2620">
        <v>55788.667092492251</v>
      </c>
      <c r="O63" s="2620">
        <v>88166.095399615282</v>
      </c>
      <c r="P63" s="2620">
        <v>330059.59126487223</v>
      </c>
      <c r="Q63" s="2620">
        <v>363065.55039135949</v>
      </c>
      <c r="R63" s="2618">
        <v>1.081</v>
      </c>
      <c r="S63" s="293">
        <f t="shared" si="10"/>
        <v>10000</v>
      </c>
      <c r="T63" s="293">
        <f t="shared" si="10"/>
        <v>15000</v>
      </c>
      <c r="U63" s="293">
        <f t="shared" si="10"/>
        <v>25000</v>
      </c>
      <c r="V63" s="338">
        <f t="shared" ref="V63:V80" si="12">U63/(U63+(I63*F$56))</f>
        <v>0.41518434925189368</v>
      </c>
      <c r="W63" s="338">
        <f t="shared" si="11"/>
        <v>0.26257839901353569</v>
      </c>
      <c r="X63" s="338">
        <f t="shared" ref="X63:X80" si="13">(I63*F$37)/(U63+(I63*F$56))</f>
        <v>0.16360635842520335</v>
      </c>
    </row>
    <row r="64" spans="2:24" ht="13.8" x14ac:dyDescent="0.3">
      <c r="B64" s="296"/>
      <c r="C64" s="2614" t="s">
        <v>450</v>
      </c>
      <c r="D64" s="2615">
        <v>261</v>
      </c>
      <c r="E64" s="2614" t="s">
        <v>206</v>
      </c>
      <c r="F64" s="2615" t="s">
        <v>211</v>
      </c>
      <c r="G64" s="2616">
        <v>24</v>
      </c>
      <c r="H64" s="2616">
        <v>10</v>
      </c>
      <c r="I64" s="2621">
        <v>0.29206349206349208</v>
      </c>
      <c r="J64" s="2615">
        <v>10</v>
      </c>
      <c r="K64" s="2615" t="s">
        <v>259</v>
      </c>
      <c r="L64" s="2619">
        <v>8.2135145394114932</v>
      </c>
      <c r="M64" s="2619">
        <v>5.7169723672556927</v>
      </c>
      <c r="N64" s="2620">
        <v>102651.14745018576</v>
      </c>
      <c r="O64" s="2620">
        <v>162225.61553529213</v>
      </c>
      <c r="P64" s="2620">
        <v>843126.69206937368</v>
      </c>
      <c r="Q64" s="2620">
        <v>927439.36127631098</v>
      </c>
      <c r="R64" s="2618">
        <v>1.081</v>
      </c>
      <c r="S64" s="293">
        <f t="shared" si="10"/>
        <v>21000</v>
      </c>
      <c r="T64" s="293">
        <f t="shared" si="10"/>
        <v>25000</v>
      </c>
      <c r="U64" s="293">
        <f t="shared" si="10"/>
        <v>46000</v>
      </c>
      <c r="V64" s="338">
        <f t="shared" si="12"/>
        <v>0.41518434925189363</v>
      </c>
      <c r="W64" s="338">
        <f t="shared" si="11"/>
        <v>0.26257839901353569</v>
      </c>
      <c r="X64" s="338">
        <f t="shared" si="13"/>
        <v>0.16360635842520335</v>
      </c>
    </row>
    <row r="65" spans="2:24" ht="13.8" x14ac:dyDescent="0.3">
      <c r="B65" s="296"/>
      <c r="C65" s="2614" t="s">
        <v>451</v>
      </c>
      <c r="D65" s="2614">
        <v>123</v>
      </c>
      <c r="E65" s="2614" t="s">
        <v>206</v>
      </c>
      <c r="F65" s="2615" t="s">
        <v>211</v>
      </c>
      <c r="G65" s="2616">
        <v>24</v>
      </c>
      <c r="H65" s="2616">
        <v>10</v>
      </c>
      <c r="I65" s="2621">
        <v>5.104761904761905E-2</v>
      </c>
      <c r="J65" s="2615">
        <v>10</v>
      </c>
      <c r="K65" s="2615" t="s">
        <v>259</v>
      </c>
      <c r="L65" s="2619">
        <v>3.8707367369640364</v>
      </c>
      <c r="M65" s="2619">
        <v>2.6942053684768212</v>
      </c>
      <c r="N65" s="2620">
        <v>17941.63533694551</v>
      </c>
      <c r="O65" s="2620">
        <v>28354.216280516277</v>
      </c>
      <c r="P65" s="2620">
        <v>69447.347019927111</v>
      </c>
      <c r="Q65" s="2620">
        <v>76392.081721919836</v>
      </c>
      <c r="R65" s="2618">
        <v>1.081</v>
      </c>
      <c r="S65" s="293">
        <f t="shared" si="10"/>
        <v>4040</v>
      </c>
      <c r="T65" s="293">
        <f t="shared" si="10"/>
        <v>4000</v>
      </c>
      <c r="U65" s="293">
        <f t="shared" si="10"/>
        <v>8040</v>
      </c>
      <c r="V65" s="338">
        <f t="shared" si="12"/>
        <v>0.41518434925189363</v>
      </c>
      <c r="W65" s="338">
        <f t="shared" si="11"/>
        <v>0.26257839901353569</v>
      </c>
      <c r="X65" s="338">
        <f t="shared" si="13"/>
        <v>0.16360635842520332</v>
      </c>
    </row>
    <row r="66" spans="2:24" ht="13.8" x14ac:dyDescent="0.3">
      <c r="B66" s="296"/>
      <c r="C66" s="2614" t="s">
        <v>452</v>
      </c>
      <c r="D66" s="2615">
        <v>158</v>
      </c>
      <c r="E66" s="2614" t="s">
        <v>206</v>
      </c>
      <c r="F66" s="2615" t="s">
        <v>211</v>
      </c>
      <c r="G66" s="2616">
        <v>24</v>
      </c>
      <c r="H66" s="2616">
        <v>10</v>
      </c>
      <c r="I66" s="2621">
        <v>0.10539682539682539</v>
      </c>
      <c r="J66" s="2615">
        <v>10</v>
      </c>
      <c r="K66" s="2615" t="s">
        <v>259</v>
      </c>
      <c r="L66" s="2619">
        <v>4.9721658897586813</v>
      </c>
      <c r="M66" s="2619">
        <v>3.4608491725149406</v>
      </c>
      <c r="N66" s="2620">
        <v>37043.674949414853</v>
      </c>
      <c r="O66" s="2620">
        <v>58542.28734534455</v>
      </c>
      <c r="P66" s="2620">
        <v>184187.2970147887</v>
      </c>
      <c r="Q66" s="2620">
        <v>202606.02671626757</v>
      </c>
      <c r="R66" s="2618">
        <v>1.081</v>
      </c>
      <c r="S66" s="293">
        <f t="shared" si="10"/>
        <v>7600</v>
      </c>
      <c r="T66" s="293">
        <f t="shared" si="10"/>
        <v>9000</v>
      </c>
      <c r="U66" s="293">
        <f t="shared" si="10"/>
        <v>16600</v>
      </c>
      <c r="V66" s="338">
        <f t="shared" si="12"/>
        <v>0.41518434925189363</v>
      </c>
      <c r="W66" s="338">
        <f t="shared" si="11"/>
        <v>0.26257839901353569</v>
      </c>
      <c r="X66" s="338">
        <f t="shared" si="13"/>
        <v>0.16360635842520332</v>
      </c>
    </row>
    <row r="67" spans="2:24" ht="13.8" x14ac:dyDescent="0.3">
      <c r="B67" s="296"/>
      <c r="C67" s="2614" t="s">
        <v>453</v>
      </c>
      <c r="D67" s="2614">
        <v>196</v>
      </c>
      <c r="E67" s="2614" t="s">
        <v>206</v>
      </c>
      <c r="F67" s="2615" t="s">
        <v>211</v>
      </c>
      <c r="G67" s="2616">
        <v>24</v>
      </c>
      <c r="H67" s="2616">
        <v>10</v>
      </c>
      <c r="I67" s="2621">
        <v>0.17777777777777778</v>
      </c>
      <c r="J67" s="2615">
        <v>10</v>
      </c>
      <c r="K67" s="2615" t="s">
        <v>259</v>
      </c>
      <c r="L67" s="2619">
        <v>6.1680032556500093</v>
      </c>
      <c r="M67" s="2619">
        <v>4.2932053026134707</v>
      </c>
      <c r="N67" s="2620">
        <v>62483.307143591323</v>
      </c>
      <c r="O67" s="2620">
        <v>98746.026847569126</v>
      </c>
      <c r="P67" s="2620">
        <v>385397.24188545079</v>
      </c>
      <c r="Q67" s="2620">
        <v>423936.96607399592</v>
      </c>
      <c r="R67" s="2618">
        <v>1.081</v>
      </c>
      <c r="S67" s="293">
        <f t="shared" si="10"/>
        <v>12000</v>
      </c>
      <c r="T67" s="293">
        <f t="shared" si="10"/>
        <v>16000</v>
      </c>
      <c r="U67" s="293">
        <f t="shared" si="10"/>
        <v>28000</v>
      </c>
      <c r="V67" s="338">
        <f t="shared" si="12"/>
        <v>0.41518434925189363</v>
      </c>
      <c r="W67" s="338">
        <f t="shared" si="11"/>
        <v>0.26257839901353569</v>
      </c>
      <c r="X67" s="338">
        <f t="shared" si="13"/>
        <v>0.16360635842520332</v>
      </c>
    </row>
    <row r="68" spans="2:24" ht="13.8" x14ac:dyDescent="0.3">
      <c r="B68" s="296"/>
      <c r="C68" s="2614" t="s">
        <v>1052</v>
      </c>
      <c r="D68" s="2614">
        <v>81</v>
      </c>
      <c r="E68" s="2614" t="s">
        <v>206</v>
      </c>
      <c r="F68" s="2614" t="s">
        <v>211</v>
      </c>
      <c r="G68" s="2616">
        <v>24</v>
      </c>
      <c r="H68" s="2616">
        <v>10</v>
      </c>
      <c r="I68" s="2617">
        <v>0</v>
      </c>
      <c r="J68" s="2615">
        <v>10</v>
      </c>
      <c r="K68" s="2615" t="s">
        <v>259</v>
      </c>
      <c r="L68" s="2619">
        <v>6.1490101852645704</v>
      </c>
      <c r="M68" s="2619">
        <v>2.8182963349129282</v>
      </c>
      <c r="N68" s="2620">
        <v>7400.5550416281221</v>
      </c>
      <c r="O68" s="2620">
        <v>17761.332099907493</v>
      </c>
      <c r="P68" s="2620">
        <v>45506.088327582387</v>
      </c>
      <c r="Q68" s="2620">
        <v>50056.697160340627</v>
      </c>
      <c r="R68" s="2618">
        <v>1.081</v>
      </c>
      <c r="S68" s="293">
        <f t="shared" si="10"/>
        <v>3500</v>
      </c>
      <c r="T68" s="293">
        <f t="shared" si="10"/>
        <v>4500</v>
      </c>
      <c r="U68" s="293">
        <f t="shared" si="10"/>
        <v>8000</v>
      </c>
      <c r="V68" s="338">
        <f t="shared" si="12"/>
        <v>1</v>
      </c>
      <c r="W68" s="338">
        <f t="shared" si="11"/>
        <v>0</v>
      </c>
      <c r="X68" s="338">
        <f t="shared" si="13"/>
        <v>0</v>
      </c>
    </row>
    <row r="69" spans="2:24" ht="13.8" x14ac:dyDescent="0.3">
      <c r="B69" s="296"/>
      <c r="C69" s="2614" t="s">
        <v>1053</v>
      </c>
      <c r="D69" s="2614">
        <v>103</v>
      </c>
      <c r="E69" s="2614" t="s">
        <v>206</v>
      </c>
      <c r="F69" s="2614" t="s">
        <v>211</v>
      </c>
      <c r="G69" s="2616">
        <v>24</v>
      </c>
      <c r="H69" s="2616">
        <v>10</v>
      </c>
      <c r="I69" s="2617">
        <v>0</v>
      </c>
      <c r="J69" s="2615">
        <v>10</v>
      </c>
      <c r="K69" s="2615" t="s">
        <v>259</v>
      </c>
      <c r="L69" s="2619">
        <v>7.819111717064823</v>
      </c>
      <c r="M69" s="2619">
        <v>3.5837595369880439</v>
      </c>
      <c r="N69" s="2620">
        <v>9250.6938020351536</v>
      </c>
      <c r="O69" s="2620">
        <v>22201.665124884366</v>
      </c>
      <c r="P69" s="2620">
        <v>72332.208298472004</v>
      </c>
      <c r="Q69" s="2620">
        <v>79565.4291283192</v>
      </c>
      <c r="R69" s="2618">
        <v>1.081</v>
      </c>
      <c r="S69" s="293">
        <f t="shared" si="10"/>
        <v>4500</v>
      </c>
      <c r="T69" s="293">
        <f t="shared" si="10"/>
        <v>5500</v>
      </c>
      <c r="U69" s="293">
        <f t="shared" si="10"/>
        <v>10000</v>
      </c>
      <c r="V69" s="338">
        <f t="shared" si="12"/>
        <v>1</v>
      </c>
      <c r="W69" s="338">
        <f t="shared" si="11"/>
        <v>0</v>
      </c>
      <c r="X69" s="338">
        <f t="shared" si="13"/>
        <v>0</v>
      </c>
    </row>
    <row r="70" spans="2:24" ht="13.8" x14ac:dyDescent="0.3">
      <c r="B70" s="296"/>
      <c r="C70" s="2614" t="s">
        <v>1054</v>
      </c>
      <c r="D70" s="2614">
        <v>128</v>
      </c>
      <c r="E70" s="2614" t="s">
        <v>206</v>
      </c>
      <c r="F70" s="2614" t="s">
        <v>211</v>
      </c>
      <c r="G70" s="2616">
        <v>24</v>
      </c>
      <c r="H70" s="2616">
        <v>10</v>
      </c>
      <c r="I70" s="2617">
        <v>0</v>
      </c>
      <c r="J70" s="2615">
        <v>10</v>
      </c>
      <c r="K70" s="2615" t="s">
        <v>259</v>
      </c>
      <c r="L70" s="2619">
        <v>9.7169543668378395</v>
      </c>
      <c r="M70" s="2619">
        <v>4.4536040848006762</v>
      </c>
      <c r="N70" s="2620">
        <v>16651.248843663274</v>
      </c>
      <c r="O70" s="2620">
        <v>39962.997224791863</v>
      </c>
      <c r="P70" s="2620">
        <v>161799.42516473736</v>
      </c>
      <c r="Q70" s="2620">
        <v>177979.36768121112</v>
      </c>
      <c r="R70" s="2618">
        <v>1.081</v>
      </c>
      <c r="S70" s="293">
        <f t="shared" si="10"/>
        <v>8500</v>
      </c>
      <c r="T70" s="293">
        <f t="shared" si="10"/>
        <v>9500</v>
      </c>
      <c r="U70" s="293">
        <f t="shared" si="10"/>
        <v>18000</v>
      </c>
      <c r="V70" s="338">
        <f t="shared" si="12"/>
        <v>1</v>
      </c>
      <c r="W70" s="338">
        <f t="shared" si="11"/>
        <v>0</v>
      </c>
      <c r="X70" s="338">
        <f t="shared" si="13"/>
        <v>0</v>
      </c>
    </row>
    <row r="71" spans="2:24" ht="13.8" x14ac:dyDescent="0.3">
      <c r="B71" s="296"/>
      <c r="C71" s="296" t="s">
        <v>219</v>
      </c>
      <c r="D71" s="296">
        <v>0</v>
      </c>
      <c r="E71" s="296" t="s">
        <v>206</v>
      </c>
      <c r="F71" s="296" t="s">
        <v>211</v>
      </c>
      <c r="G71" s="297"/>
      <c r="H71" s="297"/>
      <c r="I71" s="326">
        <v>0</v>
      </c>
      <c r="J71" s="267"/>
      <c r="K71" s="267"/>
      <c r="L71" s="291" t="e">
        <f t="shared" ref="L71:M103" si="14">P71/N71</f>
        <v>#DIV/0!</v>
      </c>
      <c r="M71" s="291" t="e">
        <f t="shared" si="14"/>
        <v>#DIV/0!</v>
      </c>
      <c r="N71" s="218">
        <f t="shared" ref="N71:N103" si="15">(($I71*$F$56)+$U71)/$R71</f>
        <v>0</v>
      </c>
      <c r="O71" s="218">
        <f t="shared" ref="O71:O103" si="16">(($I71*$F$56)+($G71*$O21))/$R71</f>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2"/>
        <v>#DIV/0!</v>
      </c>
      <c r="W71" s="338" t="e">
        <f t="shared" si="11"/>
        <v>#DIV/0!</v>
      </c>
      <c r="X71" s="338" t="e">
        <f t="shared" si="13"/>
        <v>#DIV/0!</v>
      </c>
    </row>
    <row r="72" spans="2:24" ht="13.8" x14ac:dyDescent="0.3">
      <c r="B72" s="296"/>
      <c r="C72" s="296" t="s">
        <v>220</v>
      </c>
      <c r="D72" s="296">
        <v>0</v>
      </c>
      <c r="E72" s="296" t="s">
        <v>206</v>
      </c>
      <c r="F72" s="296" t="s">
        <v>211</v>
      </c>
      <c r="G72" s="297"/>
      <c r="H72" s="297"/>
      <c r="I72" s="326">
        <v>0</v>
      </c>
      <c r="J72" s="267"/>
      <c r="K72" s="267"/>
      <c r="L72" s="291" t="e">
        <f t="shared" si="14"/>
        <v>#DIV/0!</v>
      </c>
      <c r="M72" s="291" t="e">
        <f t="shared" si="14"/>
        <v>#DIV/0!</v>
      </c>
      <c r="N72" s="218">
        <f t="shared" si="15"/>
        <v>0</v>
      </c>
      <c r="O72" s="218">
        <f t="shared" si="16"/>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2"/>
        <v>#DIV/0!</v>
      </c>
      <c r="W72" s="338" t="e">
        <f t="shared" si="11"/>
        <v>#DIV/0!</v>
      </c>
      <c r="X72" s="338" t="e">
        <f t="shared" si="13"/>
        <v>#DIV/0!</v>
      </c>
    </row>
    <row r="73" spans="2:24" ht="13.8" x14ac:dyDescent="0.3">
      <c r="B73" s="296"/>
      <c r="C73" s="296" t="s">
        <v>221</v>
      </c>
      <c r="D73" s="296">
        <v>0</v>
      </c>
      <c r="E73" s="296" t="s">
        <v>206</v>
      </c>
      <c r="F73" s="296" t="s">
        <v>211</v>
      </c>
      <c r="G73" s="297"/>
      <c r="H73" s="297"/>
      <c r="I73" s="326">
        <v>0</v>
      </c>
      <c r="J73" s="267"/>
      <c r="K73" s="267"/>
      <c r="L73" s="291" t="e">
        <f t="shared" si="14"/>
        <v>#DIV/0!</v>
      </c>
      <c r="M73" s="291" t="e">
        <f t="shared" si="14"/>
        <v>#DIV/0!</v>
      </c>
      <c r="N73" s="218">
        <f t="shared" si="15"/>
        <v>0</v>
      </c>
      <c r="O73" s="218">
        <f t="shared" si="16"/>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2"/>
        <v>#DIV/0!</v>
      </c>
      <c r="W73" s="338" t="e">
        <f t="shared" si="11"/>
        <v>#DIV/0!</v>
      </c>
      <c r="X73" s="338" t="e">
        <f t="shared" si="13"/>
        <v>#DIV/0!</v>
      </c>
    </row>
    <row r="74" spans="2:24" ht="13.8" x14ac:dyDescent="0.3">
      <c r="B74" s="296"/>
      <c r="C74" s="296" t="s">
        <v>222</v>
      </c>
      <c r="D74" s="296">
        <v>0</v>
      </c>
      <c r="E74" s="296" t="s">
        <v>206</v>
      </c>
      <c r="F74" s="296" t="s">
        <v>211</v>
      </c>
      <c r="G74" s="297"/>
      <c r="H74" s="297"/>
      <c r="I74" s="326">
        <v>0</v>
      </c>
      <c r="J74" s="267"/>
      <c r="K74" s="267"/>
      <c r="L74" s="291" t="e">
        <f t="shared" si="14"/>
        <v>#DIV/0!</v>
      </c>
      <c r="M74" s="291" t="e">
        <f t="shared" si="14"/>
        <v>#DIV/0!</v>
      </c>
      <c r="N74" s="218">
        <f t="shared" si="15"/>
        <v>0</v>
      </c>
      <c r="O74" s="218">
        <f t="shared" si="16"/>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2"/>
        <v>#DIV/0!</v>
      </c>
      <c r="W74" s="338" t="e">
        <f t="shared" si="11"/>
        <v>#DIV/0!</v>
      </c>
      <c r="X74" s="338" t="e">
        <f t="shared" si="13"/>
        <v>#DIV/0!</v>
      </c>
    </row>
    <row r="75" spans="2:24" ht="13.8" x14ac:dyDescent="0.3">
      <c r="B75" s="296"/>
      <c r="C75" s="296" t="s">
        <v>223</v>
      </c>
      <c r="D75" s="296">
        <v>0</v>
      </c>
      <c r="E75" s="296" t="s">
        <v>206</v>
      </c>
      <c r="F75" s="296" t="s">
        <v>211</v>
      </c>
      <c r="G75" s="297"/>
      <c r="H75" s="297"/>
      <c r="I75" s="326">
        <v>0</v>
      </c>
      <c r="J75" s="267"/>
      <c r="K75" s="267"/>
      <c r="L75" s="291" t="e">
        <f t="shared" si="14"/>
        <v>#DIV/0!</v>
      </c>
      <c r="M75" s="291" t="e">
        <f t="shared" si="14"/>
        <v>#DIV/0!</v>
      </c>
      <c r="N75" s="218">
        <f t="shared" si="15"/>
        <v>0</v>
      </c>
      <c r="O75" s="218">
        <f t="shared" si="16"/>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2"/>
        <v>#DIV/0!</v>
      </c>
      <c r="W75" s="338" t="e">
        <f t="shared" si="11"/>
        <v>#DIV/0!</v>
      </c>
      <c r="X75" s="338" t="e">
        <f t="shared" si="13"/>
        <v>#DIV/0!</v>
      </c>
    </row>
    <row r="76" spans="2:24" ht="13.8" x14ac:dyDescent="0.3">
      <c r="B76" s="296"/>
      <c r="C76" s="296" t="s">
        <v>224</v>
      </c>
      <c r="D76" s="296">
        <v>0</v>
      </c>
      <c r="E76" s="296" t="s">
        <v>206</v>
      </c>
      <c r="F76" s="296" t="s">
        <v>211</v>
      </c>
      <c r="G76" s="297"/>
      <c r="H76" s="297"/>
      <c r="I76" s="326">
        <v>0</v>
      </c>
      <c r="J76" s="267"/>
      <c r="K76" s="267"/>
      <c r="L76" s="291" t="e">
        <f t="shared" si="14"/>
        <v>#DIV/0!</v>
      </c>
      <c r="M76" s="291" t="e">
        <f t="shared" si="14"/>
        <v>#DIV/0!</v>
      </c>
      <c r="N76" s="218">
        <f t="shared" si="15"/>
        <v>0</v>
      </c>
      <c r="O76" s="218">
        <f t="shared" si="16"/>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2"/>
        <v>#DIV/0!</v>
      </c>
      <c r="W76" s="338" t="e">
        <f t="shared" si="11"/>
        <v>#DIV/0!</v>
      </c>
      <c r="X76" s="338" t="e">
        <f t="shared" si="13"/>
        <v>#DIV/0!</v>
      </c>
    </row>
    <row r="77" spans="2:24" ht="13.8" x14ac:dyDescent="0.3">
      <c r="B77" s="296"/>
      <c r="C77" s="296" t="s">
        <v>225</v>
      </c>
      <c r="D77" s="296">
        <v>0</v>
      </c>
      <c r="E77" s="296" t="s">
        <v>206</v>
      </c>
      <c r="F77" s="296" t="s">
        <v>211</v>
      </c>
      <c r="G77" s="297"/>
      <c r="H77" s="297"/>
      <c r="I77" s="326">
        <v>0</v>
      </c>
      <c r="J77" s="267"/>
      <c r="K77" s="267"/>
      <c r="L77" s="291" t="e">
        <f t="shared" si="14"/>
        <v>#DIV/0!</v>
      </c>
      <c r="M77" s="291" t="e">
        <f t="shared" si="14"/>
        <v>#DIV/0!</v>
      </c>
      <c r="N77" s="218">
        <f t="shared" si="15"/>
        <v>0</v>
      </c>
      <c r="O77" s="218">
        <f t="shared" si="16"/>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2"/>
        <v>#DIV/0!</v>
      </c>
      <c r="W77" s="338" t="e">
        <f t="shared" si="11"/>
        <v>#DIV/0!</v>
      </c>
      <c r="X77" s="338" t="e">
        <f t="shared" si="13"/>
        <v>#DIV/0!</v>
      </c>
    </row>
    <row r="78" spans="2:24" ht="13.8" x14ac:dyDescent="0.3">
      <c r="B78" s="296"/>
      <c r="C78" s="296" t="s">
        <v>226</v>
      </c>
      <c r="D78" s="296">
        <v>0</v>
      </c>
      <c r="E78" s="296" t="s">
        <v>206</v>
      </c>
      <c r="F78" s="296" t="s">
        <v>211</v>
      </c>
      <c r="G78" s="297"/>
      <c r="H78" s="297"/>
      <c r="I78" s="326">
        <v>0</v>
      </c>
      <c r="J78" s="267"/>
      <c r="K78" s="267"/>
      <c r="L78" s="291" t="e">
        <f t="shared" si="14"/>
        <v>#DIV/0!</v>
      </c>
      <c r="M78" s="291" t="e">
        <f t="shared" si="14"/>
        <v>#DIV/0!</v>
      </c>
      <c r="N78" s="218">
        <f t="shared" si="15"/>
        <v>0</v>
      </c>
      <c r="O78" s="218">
        <f t="shared" si="16"/>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ht="13.8" x14ac:dyDescent="0.3">
      <c r="B79" s="296"/>
      <c r="C79" s="296" t="s">
        <v>227</v>
      </c>
      <c r="D79" s="296">
        <v>0</v>
      </c>
      <c r="E79" s="296" t="s">
        <v>206</v>
      </c>
      <c r="F79" s="296" t="s">
        <v>211</v>
      </c>
      <c r="G79" s="297"/>
      <c r="H79" s="297"/>
      <c r="I79" s="326">
        <v>0</v>
      </c>
      <c r="J79" s="267"/>
      <c r="K79" s="267"/>
      <c r="L79" s="291" t="e">
        <f t="shared" si="14"/>
        <v>#DIV/0!</v>
      </c>
      <c r="M79" s="291"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ht="13.8" x14ac:dyDescent="0.3">
      <c r="B80" s="296"/>
      <c r="C80" s="296" t="s">
        <v>228</v>
      </c>
      <c r="D80" s="296">
        <v>0</v>
      </c>
      <c r="E80" s="296" t="s">
        <v>206</v>
      </c>
      <c r="F80" s="296" t="s">
        <v>211</v>
      </c>
      <c r="G80" s="297"/>
      <c r="H80" s="297"/>
      <c r="I80" s="326">
        <v>0</v>
      </c>
      <c r="J80" s="267"/>
      <c r="K80" s="267"/>
      <c r="L80" s="291" t="e">
        <f t="shared" si="14"/>
        <v>#DIV/0!</v>
      </c>
      <c r="M80" s="291"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ht="13.8" x14ac:dyDescent="0.3">
      <c r="B81" s="296"/>
      <c r="C81" s="296" t="s">
        <v>229</v>
      </c>
      <c r="D81" s="296">
        <v>0</v>
      </c>
      <c r="E81" s="296" t="s">
        <v>206</v>
      </c>
      <c r="F81" s="296" t="s">
        <v>211</v>
      </c>
      <c r="G81" s="297"/>
      <c r="H81" s="297"/>
      <c r="I81" s="326">
        <v>0</v>
      </c>
      <c r="J81" s="267"/>
      <c r="K81" s="267"/>
      <c r="L81" s="291" t="e">
        <f t="shared" si="14"/>
        <v>#DIV/0!</v>
      </c>
      <c r="M81" s="291"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409536</v>
      </c>
      <c r="H104" s="301">
        <f>U104</f>
        <v>170640</v>
      </c>
      <c r="I104" s="302">
        <f>SUM(I62:I103)</f>
        <v>0.85485714285714287</v>
      </c>
      <c r="J104" s="303">
        <f>ROUND(SUMPRODUCT(J62:J103,R12:R53)/R54,0)</f>
        <v>10</v>
      </c>
      <c r="K104" s="274"/>
      <c r="L104" s="304">
        <f>P104/N104</f>
        <v>6.5383793353335795</v>
      </c>
      <c r="M104" s="305">
        <f>Q104/O104</f>
        <v>4.3270757747586286</v>
      </c>
      <c r="N104" s="306">
        <f>SUM(N62:N103)</f>
        <v>333757.94318065286</v>
      </c>
      <c r="O104" s="306">
        <f>SUM(O62:O103)</f>
        <v>554753.31783375179</v>
      </c>
      <c r="P104" s="306">
        <f>SUM(P62:P103)</f>
        <v>2182236.0386958197</v>
      </c>
      <c r="Q104" s="306">
        <f>SUM(Q62:Q103)</f>
        <v>2400459.6425654013</v>
      </c>
      <c r="R104" s="307"/>
      <c r="S104" s="308">
        <f>SUM(S62:S103)</f>
        <v>76140</v>
      </c>
      <c r="T104" s="308">
        <f>SUM(T62:T103)</f>
        <v>94500</v>
      </c>
      <c r="U104" s="308">
        <f>SUM(U62:U103)</f>
        <v>170640</v>
      </c>
    </row>
  </sheetData>
  <customSheetViews>
    <customSheetView guid="{074EB09C-6289-46D7-9513-012B68BCA7BF}" showPageBreaks="1" topLeftCell="I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8" right="0.26" top="0.4" bottom="0.33" header="0.3" footer="0.3"/>
  <pageSetup paperSize="17" scale="53"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L2" activePane="bottomRight" state="frozen"/>
      <selection pane="topRight" activeCell="B1" sqref="B1"/>
      <selection pane="bottomLeft" activeCell="A2" sqref="A2"/>
      <selection pane="bottomRight" activeCell="S105" sqref="S105"/>
    </sheetView>
  </sheetViews>
  <sheetFormatPr defaultRowHeight="13.2" x14ac:dyDescent="0.25"/>
  <cols>
    <col min="1" max="1" width="15.33203125" style="3369" customWidth="1"/>
    <col min="2" max="2" width="18.109375" customWidth="1"/>
    <col min="3" max="3" width="42.109375" customWidth="1"/>
    <col min="4" max="4" width="15.88671875" style="19" customWidth="1"/>
    <col min="5" max="5" width="15.88671875" customWidth="1"/>
    <col min="6" max="6" width="15.88671875" bestFit="1"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9.6640625" bestFit="1" customWidth="1"/>
    <col min="17" max="17" width="21.5546875" bestFit="1" customWidth="1"/>
    <col min="18" max="18" width="23.33203125" bestFit="1" customWidth="1"/>
    <col min="19" max="19" width="15.5546875" bestFit="1" customWidth="1"/>
    <col min="20" max="20" width="20.5546875" bestFit="1" customWidth="1"/>
    <col min="21" max="21" width="23.554687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33203125" customWidth="1"/>
    <col min="261" max="261" width="15.33203125" bestFit="1" customWidth="1"/>
    <col min="262" max="262" width="15.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9.6640625" bestFit="1" customWidth="1"/>
    <col min="273" max="273" width="21.5546875" bestFit="1" customWidth="1"/>
    <col min="274" max="274" width="23.33203125" bestFit="1" customWidth="1"/>
    <col min="275" max="275" width="15.5546875" bestFit="1" customWidth="1"/>
    <col min="276" max="276" width="20.5546875" bestFit="1" customWidth="1"/>
    <col min="277" max="277" width="23.554687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33203125" customWidth="1"/>
    <col min="517" max="517" width="15.33203125" bestFit="1" customWidth="1"/>
    <col min="518" max="518" width="15.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9.6640625" bestFit="1" customWidth="1"/>
    <col min="529" max="529" width="21.5546875" bestFit="1" customWidth="1"/>
    <col min="530" max="530" width="23.33203125" bestFit="1" customWidth="1"/>
    <col min="531" max="531" width="15.5546875" bestFit="1" customWidth="1"/>
    <col min="532" max="532" width="20.5546875" bestFit="1" customWidth="1"/>
    <col min="533" max="533" width="23.554687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33203125" customWidth="1"/>
    <col min="773" max="773" width="15.33203125" bestFit="1" customWidth="1"/>
    <col min="774" max="774" width="15.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9.6640625" bestFit="1" customWidth="1"/>
    <col min="785" max="785" width="21.5546875" bestFit="1" customWidth="1"/>
    <col min="786" max="786" width="23.33203125" bestFit="1" customWidth="1"/>
    <col min="787" max="787" width="15.5546875" bestFit="1" customWidth="1"/>
    <col min="788" max="788" width="20.5546875" bestFit="1" customWidth="1"/>
    <col min="789" max="789" width="23.554687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33203125" customWidth="1"/>
    <col min="1029" max="1029" width="15.33203125" bestFit="1" customWidth="1"/>
    <col min="1030" max="1030" width="15.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9.6640625" bestFit="1" customWidth="1"/>
    <col min="1041" max="1041" width="21.5546875" bestFit="1" customWidth="1"/>
    <col min="1042" max="1042" width="23.33203125" bestFit="1" customWidth="1"/>
    <col min="1043" max="1043" width="15.5546875" bestFit="1" customWidth="1"/>
    <col min="1044" max="1044" width="20.5546875" bestFit="1" customWidth="1"/>
    <col min="1045" max="1045" width="23.554687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33203125" customWidth="1"/>
    <col min="1285" max="1285" width="15.33203125" bestFit="1" customWidth="1"/>
    <col min="1286" max="1286" width="15.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9.6640625" bestFit="1" customWidth="1"/>
    <col min="1297" max="1297" width="21.5546875" bestFit="1" customWidth="1"/>
    <col min="1298" max="1298" width="23.33203125" bestFit="1" customWidth="1"/>
    <col min="1299" max="1299" width="15.5546875" bestFit="1" customWidth="1"/>
    <col min="1300" max="1300" width="20.5546875" bestFit="1" customWidth="1"/>
    <col min="1301" max="1301" width="23.554687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33203125" customWidth="1"/>
    <col min="1541" max="1541" width="15.33203125" bestFit="1" customWidth="1"/>
    <col min="1542" max="1542" width="15.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9.6640625" bestFit="1" customWidth="1"/>
    <col min="1553" max="1553" width="21.5546875" bestFit="1" customWidth="1"/>
    <col min="1554" max="1554" width="23.33203125" bestFit="1" customWidth="1"/>
    <col min="1555" max="1555" width="15.5546875" bestFit="1" customWidth="1"/>
    <col min="1556" max="1556" width="20.5546875" bestFit="1" customWidth="1"/>
    <col min="1557" max="1557" width="23.554687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33203125" customWidth="1"/>
    <col min="1797" max="1797" width="15.33203125" bestFit="1" customWidth="1"/>
    <col min="1798" max="1798" width="15.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9.6640625" bestFit="1" customWidth="1"/>
    <col min="1809" max="1809" width="21.5546875" bestFit="1" customWidth="1"/>
    <col min="1810" max="1810" width="23.33203125" bestFit="1" customWidth="1"/>
    <col min="1811" max="1811" width="15.5546875" bestFit="1" customWidth="1"/>
    <col min="1812" max="1812" width="20.5546875" bestFit="1" customWidth="1"/>
    <col min="1813" max="1813" width="23.554687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33203125" customWidth="1"/>
    <col min="2053" max="2053" width="15.33203125" bestFit="1" customWidth="1"/>
    <col min="2054" max="2054" width="15.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9.6640625" bestFit="1" customWidth="1"/>
    <col min="2065" max="2065" width="21.5546875" bestFit="1" customWidth="1"/>
    <col min="2066" max="2066" width="23.33203125" bestFit="1" customWidth="1"/>
    <col min="2067" max="2067" width="15.5546875" bestFit="1" customWidth="1"/>
    <col min="2068" max="2068" width="20.5546875" bestFit="1" customWidth="1"/>
    <col min="2069" max="2069" width="23.554687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33203125" customWidth="1"/>
    <col min="2309" max="2309" width="15.33203125" bestFit="1" customWidth="1"/>
    <col min="2310" max="2310" width="15.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9.6640625" bestFit="1" customWidth="1"/>
    <col min="2321" max="2321" width="21.5546875" bestFit="1" customWidth="1"/>
    <col min="2322" max="2322" width="23.33203125" bestFit="1" customWidth="1"/>
    <col min="2323" max="2323" width="15.5546875" bestFit="1" customWidth="1"/>
    <col min="2324" max="2324" width="20.5546875" bestFit="1" customWidth="1"/>
    <col min="2325" max="2325" width="23.554687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33203125" customWidth="1"/>
    <col min="2565" max="2565" width="15.33203125" bestFit="1" customWidth="1"/>
    <col min="2566" max="2566" width="15.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9.6640625" bestFit="1" customWidth="1"/>
    <col min="2577" max="2577" width="21.5546875" bestFit="1" customWidth="1"/>
    <col min="2578" max="2578" width="23.33203125" bestFit="1" customWidth="1"/>
    <col min="2579" max="2579" width="15.5546875" bestFit="1" customWidth="1"/>
    <col min="2580" max="2580" width="20.5546875" bestFit="1" customWidth="1"/>
    <col min="2581" max="2581" width="23.554687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33203125" customWidth="1"/>
    <col min="2821" max="2821" width="15.33203125" bestFit="1" customWidth="1"/>
    <col min="2822" max="2822" width="15.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9.6640625" bestFit="1" customWidth="1"/>
    <col min="2833" max="2833" width="21.5546875" bestFit="1" customWidth="1"/>
    <col min="2834" max="2834" width="23.33203125" bestFit="1" customWidth="1"/>
    <col min="2835" max="2835" width="15.5546875" bestFit="1" customWidth="1"/>
    <col min="2836" max="2836" width="20.5546875" bestFit="1" customWidth="1"/>
    <col min="2837" max="2837" width="23.554687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33203125" customWidth="1"/>
    <col min="3077" max="3077" width="15.33203125" bestFit="1" customWidth="1"/>
    <col min="3078" max="3078" width="15.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9.6640625" bestFit="1" customWidth="1"/>
    <col min="3089" max="3089" width="21.5546875" bestFit="1" customWidth="1"/>
    <col min="3090" max="3090" width="23.33203125" bestFit="1" customWidth="1"/>
    <col min="3091" max="3091" width="15.5546875" bestFit="1" customWidth="1"/>
    <col min="3092" max="3092" width="20.5546875" bestFit="1" customWidth="1"/>
    <col min="3093" max="3093" width="23.554687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33203125" customWidth="1"/>
    <col min="3333" max="3333" width="15.33203125" bestFit="1" customWidth="1"/>
    <col min="3334" max="3334" width="15.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9.6640625" bestFit="1" customWidth="1"/>
    <col min="3345" max="3345" width="21.5546875" bestFit="1" customWidth="1"/>
    <col min="3346" max="3346" width="23.33203125" bestFit="1" customWidth="1"/>
    <col min="3347" max="3347" width="15.5546875" bestFit="1" customWidth="1"/>
    <col min="3348" max="3348" width="20.5546875" bestFit="1" customWidth="1"/>
    <col min="3349" max="3349" width="23.554687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33203125" customWidth="1"/>
    <col min="3589" max="3589" width="15.33203125" bestFit="1" customWidth="1"/>
    <col min="3590" max="3590" width="15.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9.6640625" bestFit="1" customWidth="1"/>
    <col min="3601" max="3601" width="21.5546875" bestFit="1" customWidth="1"/>
    <col min="3602" max="3602" width="23.33203125" bestFit="1" customWidth="1"/>
    <col min="3603" max="3603" width="15.5546875" bestFit="1" customWidth="1"/>
    <col min="3604" max="3604" width="20.5546875" bestFit="1" customWidth="1"/>
    <col min="3605" max="3605" width="23.554687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33203125" customWidth="1"/>
    <col min="3845" max="3845" width="15.33203125" bestFit="1" customWidth="1"/>
    <col min="3846" max="3846" width="15.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9.6640625" bestFit="1" customWidth="1"/>
    <col min="3857" max="3857" width="21.5546875" bestFit="1" customWidth="1"/>
    <col min="3858" max="3858" width="23.33203125" bestFit="1" customWidth="1"/>
    <col min="3859" max="3859" width="15.5546875" bestFit="1" customWidth="1"/>
    <col min="3860" max="3860" width="20.5546875" bestFit="1" customWidth="1"/>
    <col min="3861" max="3861" width="23.554687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33203125" customWidth="1"/>
    <col min="4101" max="4101" width="15.33203125" bestFit="1" customWidth="1"/>
    <col min="4102" max="4102" width="15.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9.6640625" bestFit="1" customWidth="1"/>
    <col min="4113" max="4113" width="21.5546875" bestFit="1" customWidth="1"/>
    <col min="4114" max="4114" width="23.33203125" bestFit="1" customWidth="1"/>
    <col min="4115" max="4115" width="15.5546875" bestFit="1" customWidth="1"/>
    <col min="4116" max="4116" width="20.5546875" bestFit="1" customWidth="1"/>
    <col min="4117" max="4117" width="23.554687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33203125" customWidth="1"/>
    <col min="4357" max="4357" width="15.33203125" bestFit="1" customWidth="1"/>
    <col min="4358" max="4358" width="15.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9.6640625" bestFit="1" customWidth="1"/>
    <col min="4369" max="4369" width="21.5546875" bestFit="1" customWidth="1"/>
    <col min="4370" max="4370" width="23.33203125" bestFit="1" customWidth="1"/>
    <col min="4371" max="4371" width="15.5546875" bestFit="1" customWidth="1"/>
    <col min="4372" max="4372" width="20.5546875" bestFit="1" customWidth="1"/>
    <col min="4373" max="4373" width="23.554687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33203125" customWidth="1"/>
    <col min="4613" max="4613" width="15.33203125" bestFit="1" customWidth="1"/>
    <col min="4614" max="4614" width="15.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9.6640625" bestFit="1" customWidth="1"/>
    <col min="4625" max="4625" width="21.5546875" bestFit="1" customWidth="1"/>
    <col min="4626" max="4626" width="23.33203125" bestFit="1" customWidth="1"/>
    <col min="4627" max="4627" width="15.5546875" bestFit="1" customWidth="1"/>
    <col min="4628" max="4628" width="20.5546875" bestFit="1" customWidth="1"/>
    <col min="4629" max="4629" width="23.554687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33203125" customWidth="1"/>
    <col min="4869" max="4869" width="15.33203125" bestFit="1" customWidth="1"/>
    <col min="4870" max="4870" width="15.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9.6640625" bestFit="1" customWidth="1"/>
    <col min="4881" max="4881" width="21.5546875" bestFit="1" customWidth="1"/>
    <col min="4882" max="4882" width="23.33203125" bestFit="1" customWidth="1"/>
    <col min="4883" max="4883" width="15.5546875" bestFit="1" customWidth="1"/>
    <col min="4884" max="4884" width="20.5546875" bestFit="1" customWidth="1"/>
    <col min="4885" max="4885" width="23.554687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33203125" customWidth="1"/>
    <col min="5125" max="5125" width="15.33203125" bestFit="1" customWidth="1"/>
    <col min="5126" max="5126" width="15.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9.6640625" bestFit="1" customWidth="1"/>
    <col min="5137" max="5137" width="21.5546875" bestFit="1" customWidth="1"/>
    <col min="5138" max="5138" width="23.33203125" bestFit="1" customWidth="1"/>
    <col min="5139" max="5139" width="15.5546875" bestFit="1" customWidth="1"/>
    <col min="5140" max="5140" width="20.5546875" bestFit="1" customWidth="1"/>
    <col min="5141" max="5141" width="23.554687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33203125" customWidth="1"/>
    <col min="5381" max="5381" width="15.33203125" bestFit="1" customWidth="1"/>
    <col min="5382" max="5382" width="15.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9.6640625" bestFit="1" customWidth="1"/>
    <col min="5393" max="5393" width="21.5546875" bestFit="1" customWidth="1"/>
    <col min="5394" max="5394" width="23.33203125" bestFit="1" customWidth="1"/>
    <col min="5395" max="5395" width="15.5546875" bestFit="1" customWidth="1"/>
    <col min="5396" max="5396" width="20.5546875" bestFit="1" customWidth="1"/>
    <col min="5397" max="5397" width="23.554687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33203125" customWidth="1"/>
    <col min="5637" max="5637" width="15.33203125" bestFit="1" customWidth="1"/>
    <col min="5638" max="5638" width="15.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9.6640625" bestFit="1" customWidth="1"/>
    <col min="5649" max="5649" width="21.5546875" bestFit="1" customWidth="1"/>
    <col min="5650" max="5650" width="23.33203125" bestFit="1" customWidth="1"/>
    <col min="5651" max="5651" width="15.5546875" bestFit="1" customWidth="1"/>
    <col min="5652" max="5652" width="20.5546875" bestFit="1" customWidth="1"/>
    <col min="5653" max="5653" width="23.554687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33203125" customWidth="1"/>
    <col min="5893" max="5893" width="15.33203125" bestFit="1" customWidth="1"/>
    <col min="5894" max="5894" width="15.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9.6640625" bestFit="1" customWidth="1"/>
    <col min="5905" max="5905" width="21.5546875" bestFit="1" customWidth="1"/>
    <col min="5906" max="5906" width="23.33203125" bestFit="1" customWidth="1"/>
    <col min="5907" max="5907" width="15.5546875" bestFit="1" customWidth="1"/>
    <col min="5908" max="5908" width="20.5546875" bestFit="1" customWidth="1"/>
    <col min="5909" max="5909" width="23.554687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33203125" customWidth="1"/>
    <col min="6149" max="6149" width="15.33203125" bestFit="1" customWidth="1"/>
    <col min="6150" max="6150" width="15.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9.6640625" bestFit="1" customWidth="1"/>
    <col min="6161" max="6161" width="21.5546875" bestFit="1" customWidth="1"/>
    <col min="6162" max="6162" width="23.33203125" bestFit="1" customWidth="1"/>
    <col min="6163" max="6163" width="15.5546875" bestFit="1" customWidth="1"/>
    <col min="6164" max="6164" width="20.5546875" bestFit="1" customWidth="1"/>
    <col min="6165" max="6165" width="23.554687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33203125" customWidth="1"/>
    <col min="6405" max="6405" width="15.33203125" bestFit="1" customWidth="1"/>
    <col min="6406" max="6406" width="15.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9.6640625" bestFit="1" customWidth="1"/>
    <col min="6417" max="6417" width="21.5546875" bestFit="1" customWidth="1"/>
    <col min="6418" max="6418" width="23.33203125" bestFit="1" customWidth="1"/>
    <col min="6419" max="6419" width="15.5546875" bestFit="1" customWidth="1"/>
    <col min="6420" max="6420" width="20.5546875" bestFit="1" customWidth="1"/>
    <col min="6421" max="6421" width="23.554687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33203125" customWidth="1"/>
    <col min="6661" max="6661" width="15.33203125" bestFit="1" customWidth="1"/>
    <col min="6662" max="6662" width="15.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9.6640625" bestFit="1" customWidth="1"/>
    <col min="6673" max="6673" width="21.5546875" bestFit="1" customWidth="1"/>
    <col min="6674" max="6674" width="23.33203125" bestFit="1" customWidth="1"/>
    <col min="6675" max="6675" width="15.5546875" bestFit="1" customWidth="1"/>
    <col min="6676" max="6676" width="20.5546875" bestFit="1" customWidth="1"/>
    <col min="6677" max="6677" width="23.554687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33203125" customWidth="1"/>
    <col min="6917" max="6917" width="15.33203125" bestFit="1" customWidth="1"/>
    <col min="6918" max="6918" width="15.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9.6640625" bestFit="1" customWidth="1"/>
    <col min="6929" max="6929" width="21.5546875" bestFit="1" customWidth="1"/>
    <col min="6930" max="6930" width="23.33203125" bestFit="1" customWidth="1"/>
    <col min="6931" max="6931" width="15.5546875" bestFit="1" customWidth="1"/>
    <col min="6932" max="6932" width="20.5546875" bestFit="1" customWidth="1"/>
    <col min="6933" max="6933" width="23.554687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33203125" customWidth="1"/>
    <col min="7173" max="7173" width="15.33203125" bestFit="1" customWidth="1"/>
    <col min="7174" max="7174" width="15.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9.6640625" bestFit="1" customWidth="1"/>
    <col min="7185" max="7185" width="21.5546875" bestFit="1" customWidth="1"/>
    <col min="7186" max="7186" width="23.33203125" bestFit="1" customWidth="1"/>
    <col min="7187" max="7187" width="15.5546875" bestFit="1" customWidth="1"/>
    <col min="7188" max="7188" width="20.5546875" bestFit="1" customWidth="1"/>
    <col min="7189" max="7189" width="23.554687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33203125" customWidth="1"/>
    <col min="7429" max="7429" width="15.33203125" bestFit="1" customWidth="1"/>
    <col min="7430" max="7430" width="15.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9.6640625" bestFit="1" customWidth="1"/>
    <col min="7441" max="7441" width="21.5546875" bestFit="1" customWidth="1"/>
    <col min="7442" max="7442" width="23.33203125" bestFit="1" customWidth="1"/>
    <col min="7443" max="7443" width="15.5546875" bestFit="1" customWidth="1"/>
    <col min="7444" max="7444" width="20.5546875" bestFit="1" customWidth="1"/>
    <col min="7445" max="7445" width="23.554687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33203125" customWidth="1"/>
    <col min="7685" max="7685" width="15.33203125" bestFit="1" customWidth="1"/>
    <col min="7686" max="7686" width="15.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9.6640625" bestFit="1" customWidth="1"/>
    <col min="7697" max="7697" width="21.5546875" bestFit="1" customWidth="1"/>
    <col min="7698" max="7698" width="23.33203125" bestFit="1" customWidth="1"/>
    <col min="7699" max="7699" width="15.5546875" bestFit="1" customWidth="1"/>
    <col min="7700" max="7700" width="20.5546875" bestFit="1" customWidth="1"/>
    <col min="7701" max="7701" width="23.554687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33203125" customWidth="1"/>
    <col min="7941" max="7941" width="15.33203125" bestFit="1" customWidth="1"/>
    <col min="7942" max="7942" width="15.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9.6640625" bestFit="1" customWidth="1"/>
    <col min="7953" max="7953" width="21.5546875" bestFit="1" customWidth="1"/>
    <col min="7954" max="7954" width="23.33203125" bestFit="1" customWidth="1"/>
    <col min="7955" max="7955" width="15.5546875" bestFit="1" customWidth="1"/>
    <col min="7956" max="7956" width="20.5546875" bestFit="1" customWidth="1"/>
    <col min="7957" max="7957" width="23.554687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33203125" customWidth="1"/>
    <col min="8197" max="8197" width="15.33203125" bestFit="1" customWidth="1"/>
    <col min="8198" max="8198" width="15.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9.6640625" bestFit="1" customWidth="1"/>
    <col min="8209" max="8209" width="21.5546875" bestFit="1" customWidth="1"/>
    <col min="8210" max="8210" width="23.33203125" bestFit="1" customWidth="1"/>
    <col min="8211" max="8211" width="15.5546875" bestFit="1" customWidth="1"/>
    <col min="8212" max="8212" width="20.5546875" bestFit="1" customWidth="1"/>
    <col min="8213" max="8213" width="23.554687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33203125" customWidth="1"/>
    <col min="8453" max="8453" width="15.33203125" bestFit="1" customWidth="1"/>
    <col min="8454" max="8454" width="15.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9.6640625" bestFit="1" customWidth="1"/>
    <col min="8465" max="8465" width="21.5546875" bestFit="1" customWidth="1"/>
    <col min="8466" max="8466" width="23.33203125" bestFit="1" customWidth="1"/>
    <col min="8467" max="8467" width="15.5546875" bestFit="1" customWidth="1"/>
    <col min="8468" max="8468" width="20.5546875" bestFit="1" customWidth="1"/>
    <col min="8469" max="8469" width="23.554687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33203125" customWidth="1"/>
    <col min="8709" max="8709" width="15.33203125" bestFit="1" customWidth="1"/>
    <col min="8710" max="8710" width="15.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9.6640625" bestFit="1" customWidth="1"/>
    <col min="8721" max="8721" width="21.5546875" bestFit="1" customWidth="1"/>
    <col min="8722" max="8722" width="23.33203125" bestFit="1" customWidth="1"/>
    <col min="8723" max="8723" width="15.5546875" bestFit="1" customWidth="1"/>
    <col min="8724" max="8724" width="20.5546875" bestFit="1" customWidth="1"/>
    <col min="8725" max="8725" width="23.554687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33203125" customWidth="1"/>
    <col min="8965" max="8965" width="15.33203125" bestFit="1" customWidth="1"/>
    <col min="8966" max="8966" width="15.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9.6640625" bestFit="1" customWidth="1"/>
    <col min="8977" max="8977" width="21.5546875" bestFit="1" customWidth="1"/>
    <col min="8978" max="8978" width="23.33203125" bestFit="1" customWidth="1"/>
    <col min="8979" max="8979" width="15.5546875" bestFit="1" customWidth="1"/>
    <col min="8980" max="8980" width="20.5546875" bestFit="1" customWidth="1"/>
    <col min="8981" max="8981" width="23.554687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33203125" customWidth="1"/>
    <col min="9221" max="9221" width="15.33203125" bestFit="1" customWidth="1"/>
    <col min="9222" max="9222" width="15.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9.6640625" bestFit="1" customWidth="1"/>
    <col min="9233" max="9233" width="21.5546875" bestFit="1" customWidth="1"/>
    <col min="9234" max="9234" width="23.33203125" bestFit="1" customWidth="1"/>
    <col min="9235" max="9235" width="15.5546875" bestFit="1" customWidth="1"/>
    <col min="9236" max="9236" width="20.5546875" bestFit="1" customWidth="1"/>
    <col min="9237" max="9237" width="23.554687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33203125" customWidth="1"/>
    <col min="9477" max="9477" width="15.33203125" bestFit="1" customWidth="1"/>
    <col min="9478" max="9478" width="15.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9.6640625" bestFit="1" customWidth="1"/>
    <col min="9489" max="9489" width="21.5546875" bestFit="1" customWidth="1"/>
    <col min="9490" max="9490" width="23.33203125" bestFit="1" customWidth="1"/>
    <col min="9491" max="9491" width="15.5546875" bestFit="1" customWidth="1"/>
    <col min="9492" max="9492" width="20.5546875" bestFit="1" customWidth="1"/>
    <col min="9493" max="9493" width="23.554687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33203125" customWidth="1"/>
    <col min="9733" max="9733" width="15.33203125" bestFit="1" customWidth="1"/>
    <col min="9734" max="9734" width="15.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9.6640625" bestFit="1" customWidth="1"/>
    <col min="9745" max="9745" width="21.5546875" bestFit="1" customWidth="1"/>
    <col min="9746" max="9746" width="23.33203125" bestFit="1" customWidth="1"/>
    <col min="9747" max="9747" width="15.5546875" bestFit="1" customWidth="1"/>
    <col min="9748" max="9748" width="20.5546875" bestFit="1" customWidth="1"/>
    <col min="9749" max="9749" width="23.554687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33203125" customWidth="1"/>
    <col min="9989" max="9989" width="15.33203125" bestFit="1" customWidth="1"/>
    <col min="9990" max="9990" width="15.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9.6640625" bestFit="1" customWidth="1"/>
    <col min="10001" max="10001" width="21.5546875" bestFit="1" customWidth="1"/>
    <col min="10002" max="10002" width="23.33203125" bestFit="1" customWidth="1"/>
    <col min="10003" max="10003" width="15.5546875" bestFit="1" customWidth="1"/>
    <col min="10004" max="10004" width="20.5546875" bestFit="1" customWidth="1"/>
    <col min="10005" max="10005" width="23.554687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33203125" customWidth="1"/>
    <col min="10245" max="10245" width="15.33203125" bestFit="1" customWidth="1"/>
    <col min="10246" max="10246" width="15.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9.6640625" bestFit="1" customWidth="1"/>
    <col min="10257" max="10257" width="21.5546875" bestFit="1" customWidth="1"/>
    <col min="10258" max="10258" width="23.33203125" bestFit="1" customWidth="1"/>
    <col min="10259" max="10259" width="15.5546875" bestFit="1" customWidth="1"/>
    <col min="10260" max="10260" width="20.5546875" bestFit="1" customWidth="1"/>
    <col min="10261" max="10261" width="23.554687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33203125" customWidth="1"/>
    <col min="10501" max="10501" width="15.33203125" bestFit="1" customWidth="1"/>
    <col min="10502" max="10502" width="15.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9.6640625" bestFit="1" customWidth="1"/>
    <col min="10513" max="10513" width="21.5546875" bestFit="1" customWidth="1"/>
    <col min="10514" max="10514" width="23.33203125" bestFit="1" customWidth="1"/>
    <col min="10515" max="10515" width="15.5546875" bestFit="1" customWidth="1"/>
    <col min="10516" max="10516" width="20.5546875" bestFit="1" customWidth="1"/>
    <col min="10517" max="10517" width="23.554687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33203125" customWidth="1"/>
    <col min="10757" max="10757" width="15.33203125" bestFit="1" customWidth="1"/>
    <col min="10758" max="10758" width="15.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9.6640625" bestFit="1" customWidth="1"/>
    <col min="10769" max="10769" width="21.5546875" bestFit="1" customWidth="1"/>
    <col min="10770" max="10770" width="23.33203125" bestFit="1" customWidth="1"/>
    <col min="10771" max="10771" width="15.5546875" bestFit="1" customWidth="1"/>
    <col min="10772" max="10772" width="20.5546875" bestFit="1" customWidth="1"/>
    <col min="10773" max="10773" width="23.554687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33203125" customWidth="1"/>
    <col min="11013" max="11013" width="15.33203125" bestFit="1" customWidth="1"/>
    <col min="11014" max="11014" width="15.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9.6640625" bestFit="1" customWidth="1"/>
    <col min="11025" max="11025" width="21.5546875" bestFit="1" customWidth="1"/>
    <col min="11026" max="11026" width="23.33203125" bestFit="1" customWidth="1"/>
    <col min="11027" max="11027" width="15.5546875" bestFit="1" customWidth="1"/>
    <col min="11028" max="11028" width="20.5546875" bestFit="1" customWidth="1"/>
    <col min="11029" max="11029" width="23.554687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33203125" customWidth="1"/>
    <col min="11269" max="11269" width="15.33203125" bestFit="1" customWidth="1"/>
    <col min="11270" max="11270" width="15.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9.6640625" bestFit="1" customWidth="1"/>
    <col min="11281" max="11281" width="21.5546875" bestFit="1" customWidth="1"/>
    <col min="11282" max="11282" width="23.33203125" bestFit="1" customWidth="1"/>
    <col min="11283" max="11283" width="15.5546875" bestFit="1" customWidth="1"/>
    <col min="11284" max="11284" width="20.5546875" bestFit="1" customWidth="1"/>
    <col min="11285" max="11285" width="23.554687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33203125" customWidth="1"/>
    <col min="11525" max="11525" width="15.33203125" bestFit="1" customWidth="1"/>
    <col min="11526" max="11526" width="15.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9.6640625" bestFit="1" customWidth="1"/>
    <col min="11537" max="11537" width="21.5546875" bestFit="1" customWidth="1"/>
    <col min="11538" max="11538" width="23.33203125" bestFit="1" customWidth="1"/>
    <col min="11539" max="11539" width="15.5546875" bestFit="1" customWidth="1"/>
    <col min="11540" max="11540" width="20.5546875" bestFit="1" customWidth="1"/>
    <col min="11541" max="11541" width="23.554687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33203125" customWidth="1"/>
    <col min="11781" max="11781" width="15.33203125" bestFit="1" customWidth="1"/>
    <col min="11782" max="11782" width="15.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9.6640625" bestFit="1" customWidth="1"/>
    <col min="11793" max="11793" width="21.5546875" bestFit="1" customWidth="1"/>
    <col min="11794" max="11794" width="23.33203125" bestFit="1" customWidth="1"/>
    <col min="11795" max="11795" width="15.5546875" bestFit="1" customWidth="1"/>
    <col min="11796" max="11796" width="20.5546875" bestFit="1" customWidth="1"/>
    <col min="11797" max="11797" width="23.554687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33203125" customWidth="1"/>
    <col min="12037" max="12037" width="15.33203125" bestFit="1" customWidth="1"/>
    <col min="12038" max="12038" width="15.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9.6640625" bestFit="1" customWidth="1"/>
    <col min="12049" max="12049" width="21.5546875" bestFit="1" customWidth="1"/>
    <col min="12050" max="12050" width="23.33203125" bestFit="1" customWidth="1"/>
    <col min="12051" max="12051" width="15.5546875" bestFit="1" customWidth="1"/>
    <col min="12052" max="12052" width="20.5546875" bestFit="1" customWidth="1"/>
    <col min="12053" max="12053" width="23.554687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33203125" customWidth="1"/>
    <col min="12293" max="12293" width="15.33203125" bestFit="1" customWidth="1"/>
    <col min="12294" max="12294" width="15.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9.6640625" bestFit="1" customWidth="1"/>
    <col min="12305" max="12305" width="21.5546875" bestFit="1" customWidth="1"/>
    <col min="12306" max="12306" width="23.33203125" bestFit="1" customWidth="1"/>
    <col min="12307" max="12307" width="15.5546875" bestFit="1" customWidth="1"/>
    <col min="12308" max="12308" width="20.5546875" bestFit="1" customWidth="1"/>
    <col min="12309" max="12309" width="23.554687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33203125" customWidth="1"/>
    <col min="12549" max="12549" width="15.33203125" bestFit="1" customWidth="1"/>
    <col min="12550" max="12550" width="15.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9.6640625" bestFit="1" customWidth="1"/>
    <col min="12561" max="12561" width="21.5546875" bestFit="1" customWidth="1"/>
    <col min="12562" max="12562" width="23.33203125" bestFit="1" customWidth="1"/>
    <col min="12563" max="12563" width="15.5546875" bestFit="1" customWidth="1"/>
    <col min="12564" max="12564" width="20.5546875" bestFit="1" customWidth="1"/>
    <col min="12565" max="12565" width="23.554687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33203125" customWidth="1"/>
    <col min="12805" max="12805" width="15.33203125" bestFit="1" customWidth="1"/>
    <col min="12806" max="12806" width="15.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9.6640625" bestFit="1" customWidth="1"/>
    <col min="12817" max="12817" width="21.5546875" bestFit="1" customWidth="1"/>
    <col min="12818" max="12818" width="23.33203125" bestFit="1" customWidth="1"/>
    <col min="12819" max="12819" width="15.5546875" bestFit="1" customWidth="1"/>
    <col min="12820" max="12820" width="20.5546875" bestFit="1" customWidth="1"/>
    <col min="12821" max="12821" width="23.554687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33203125" customWidth="1"/>
    <col min="13061" max="13061" width="15.33203125" bestFit="1" customWidth="1"/>
    <col min="13062" max="13062" width="15.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9.6640625" bestFit="1" customWidth="1"/>
    <col min="13073" max="13073" width="21.5546875" bestFit="1" customWidth="1"/>
    <col min="13074" max="13074" width="23.33203125" bestFit="1" customWidth="1"/>
    <col min="13075" max="13075" width="15.5546875" bestFit="1" customWidth="1"/>
    <col min="13076" max="13076" width="20.5546875" bestFit="1" customWidth="1"/>
    <col min="13077" max="13077" width="23.554687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33203125" customWidth="1"/>
    <col min="13317" max="13317" width="15.33203125" bestFit="1" customWidth="1"/>
    <col min="13318" max="13318" width="15.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9.6640625" bestFit="1" customWidth="1"/>
    <col min="13329" max="13329" width="21.5546875" bestFit="1" customWidth="1"/>
    <col min="13330" max="13330" width="23.33203125" bestFit="1" customWidth="1"/>
    <col min="13331" max="13331" width="15.5546875" bestFit="1" customWidth="1"/>
    <col min="13332" max="13332" width="20.5546875" bestFit="1" customWidth="1"/>
    <col min="13333" max="13333" width="23.554687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33203125" customWidth="1"/>
    <col min="13573" max="13573" width="15.33203125" bestFit="1" customWidth="1"/>
    <col min="13574" max="13574" width="15.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9.6640625" bestFit="1" customWidth="1"/>
    <col min="13585" max="13585" width="21.5546875" bestFit="1" customWidth="1"/>
    <col min="13586" max="13586" width="23.33203125" bestFit="1" customWidth="1"/>
    <col min="13587" max="13587" width="15.5546875" bestFit="1" customWidth="1"/>
    <col min="13588" max="13588" width="20.5546875" bestFit="1" customWidth="1"/>
    <col min="13589" max="13589" width="23.554687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33203125" customWidth="1"/>
    <col min="13829" max="13829" width="15.33203125" bestFit="1" customWidth="1"/>
    <col min="13830" max="13830" width="15.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9.6640625" bestFit="1" customWidth="1"/>
    <col min="13841" max="13841" width="21.5546875" bestFit="1" customWidth="1"/>
    <col min="13842" max="13842" width="23.33203125" bestFit="1" customWidth="1"/>
    <col min="13843" max="13843" width="15.5546875" bestFit="1" customWidth="1"/>
    <col min="13844" max="13844" width="20.5546875" bestFit="1" customWidth="1"/>
    <col min="13845" max="13845" width="23.554687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33203125" customWidth="1"/>
    <col min="14085" max="14085" width="15.33203125" bestFit="1" customWidth="1"/>
    <col min="14086" max="14086" width="15.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9.6640625" bestFit="1" customWidth="1"/>
    <col min="14097" max="14097" width="21.5546875" bestFit="1" customWidth="1"/>
    <col min="14098" max="14098" width="23.33203125" bestFit="1" customWidth="1"/>
    <col min="14099" max="14099" width="15.5546875" bestFit="1" customWidth="1"/>
    <col min="14100" max="14100" width="20.5546875" bestFit="1" customWidth="1"/>
    <col min="14101" max="14101" width="23.554687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33203125" customWidth="1"/>
    <col min="14341" max="14341" width="15.33203125" bestFit="1" customWidth="1"/>
    <col min="14342" max="14342" width="15.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9.6640625" bestFit="1" customWidth="1"/>
    <col min="14353" max="14353" width="21.5546875" bestFit="1" customWidth="1"/>
    <col min="14354" max="14354" width="23.33203125" bestFit="1" customWidth="1"/>
    <col min="14355" max="14355" width="15.5546875" bestFit="1" customWidth="1"/>
    <col min="14356" max="14356" width="20.5546875" bestFit="1" customWidth="1"/>
    <col min="14357" max="14357" width="23.554687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33203125" customWidth="1"/>
    <col min="14597" max="14597" width="15.33203125" bestFit="1" customWidth="1"/>
    <col min="14598" max="14598" width="15.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9.6640625" bestFit="1" customWidth="1"/>
    <col min="14609" max="14609" width="21.5546875" bestFit="1" customWidth="1"/>
    <col min="14610" max="14610" width="23.33203125" bestFit="1" customWidth="1"/>
    <col min="14611" max="14611" width="15.5546875" bestFit="1" customWidth="1"/>
    <col min="14612" max="14612" width="20.5546875" bestFit="1" customWidth="1"/>
    <col min="14613" max="14613" width="23.554687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33203125" customWidth="1"/>
    <col min="14853" max="14853" width="15.33203125" bestFit="1" customWidth="1"/>
    <col min="14854" max="14854" width="15.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9.6640625" bestFit="1" customWidth="1"/>
    <col min="14865" max="14865" width="21.5546875" bestFit="1" customWidth="1"/>
    <col min="14866" max="14866" width="23.33203125" bestFit="1" customWidth="1"/>
    <col min="14867" max="14867" width="15.5546875" bestFit="1" customWidth="1"/>
    <col min="14868" max="14868" width="20.5546875" bestFit="1" customWidth="1"/>
    <col min="14869" max="14869" width="23.554687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33203125" customWidth="1"/>
    <col min="15109" max="15109" width="15.33203125" bestFit="1" customWidth="1"/>
    <col min="15110" max="15110" width="15.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9.6640625" bestFit="1" customWidth="1"/>
    <col min="15121" max="15121" width="21.5546875" bestFit="1" customWidth="1"/>
    <col min="15122" max="15122" width="23.33203125" bestFit="1" customWidth="1"/>
    <col min="15123" max="15123" width="15.5546875" bestFit="1" customWidth="1"/>
    <col min="15124" max="15124" width="20.5546875" bestFit="1" customWidth="1"/>
    <col min="15125" max="15125" width="23.554687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33203125" customWidth="1"/>
    <col min="15365" max="15365" width="15.33203125" bestFit="1" customWidth="1"/>
    <col min="15366" max="15366" width="15.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9.6640625" bestFit="1" customWidth="1"/>
    <col min="15377" max="15377" width="21.5546875" bestFit="1" customWidth="1"/>
    <col min="15378" max="15378" width="23.33203125" bestFit="1" customWidth="1"/>
    <col min="15379" max="15379" width="15.5546875" bestFit="1" customWidth="1"/>
    <col min="15380" max="15380" width="20.5546875" bestFit="1" customWidth="1"/>
    <col min="15381" max="15381" width="23.554687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33203125" customWidth="1"/>
    <col min="15621" max="15621" width="15.33203125" bestFit="1" customWidth="1"/>
    <col min="15622" max="15622" width="15.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9.6640625" bestFit="1" customWidth="1"/>
    <col min="15633" max="15633" width="21.5546875" bestFit="1" customWidth="1"/>
    <col min="15634" max="15634" width="23.33203125" bestFit="1" customWidth="1"/>
    <col min="15635" max="15635" width="15.5546875" bestFit="1" customWidth="1"/>
    <col min="15636" max="15636" width="20.5546875" bestFit="1" customWidth="1"/>
    <col min="15637" max="15637" width="23.554687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33203125" customWidth="1"/>
    <col min="15877" max="15877" width="15.33203125" bestFit="1" customWidth="1"/>
    <col min="15878" max="15878" width="15.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9.6640625" bestFit="1" customWidth="1"/>
    <col min="15889" max="15889" width="21.5546875" bestFit="1" customWidth="1"/>
    <col min="15890" max="15890" width="23.33203125" bestFit="1" customWidth="1"/>
    <col min="15891" max="15891" width="15.5546875" bestFit="1" customWidth="1"/>
    <col min="15892" max="15892" width="20.5546875" bestFit="1" customWidth="1"/>
    <col min="15893" max="15893" width="23.554687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33203125" customWidth="1"/>
    <col min="16133" max="16133" width="15.33203125" bestFit="1" customWidth="1"/>
    <col min="16134" max="16134" width="15.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9.6640625" bestFit="1" customWidth="1"/>
    <col min="16145" max="16145" width="21.5546875" bestFit="1" customWidth="1"/>
    <col min="16146" max="16146" width="23.33203125" bestFit="1" customWidth="1"/>
    <col min="16147" max="16147" width="15.5546875" bestFit="1" customWidth="1"/>
    <col min="16148" max="16148" width="20.5546875" bestFit="1" customWidth="1"/>
    <col min="16149" max="16149" width="23.554687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18230440</v>
      </c>
      <c r="H1" s="202" t="str">
        <f>C4</f>
        <v>Lighting</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18230440</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454</v>
      </c>
      <c r="F4" s="202">
        <v>2011</v>
      </c>
      <c r="G4" s="210">
        <f>B12</f>
        <v>265200</v>
      </c>
      <c r="H4" s="211">
        <f>B17</f>
        <v>81900</v>
      </c>
      <c r="I4" s="211">
        <f>B22</f>
        <v>218796</v>
      </c>
      <c r="J4" s="211">
        <f>B27</f>
        <v>1476000</v>
      </c>
      <c r="K4" s="211">
        <f>B32</f>
        <v>30000</v>
      </c>
      <c r="L4" s="211">
        <f>B37</f>
        <v>609408.52500000014</v>
      </c>
      <c r="M4" s="211">
        <f>B42</f>
        <v>6000</v>
      </c>
      <c r="N4" s="211">
        <f>B47</f>
        <v>36000</v>
      </c>
      <c r="O4" s="211">
        <f>B52</f>
        <v>6026700</v>
      </c>
      <c r="P4" s="211">
        <f>B53</f>
        <v>0</v>
      </c>
      <c r="Q4" s="213">
        <f>B54</f>
        <v>8750004.5250000004</v>
      </c>
      <c r="R4" s="214">
        <f>T54</f>
        <v>81881400</v>
      </c>
      <c r="S4" s="331">
        <f>O4/Q4</f>
        <v>0.68876535809562911</v>
      </c>
      <c r="T4" s="331">
        <f>(J4+(H4*1.63))/Q4</f>
        <v>0.18394241916120607</v>
      </c>
      <c r="U4" s="331">
        <f>L4/Q4</f>
        <v>6.9646652554159694E-2</v>
      </c>
      <c r="V4" s="216">
        <f>Q4/R4</f>
        <v>0.10686193109790502</v>
      </c>
    </row>
    <row r="5" spans="2:22" ht="16.2" thickBot="1" x14ac:dyDescent="0.35">
      <c r="B5" s="202" t="s">
        <v>34</v>
      </c>
      <c r="F5" s="202">
        <v>2012</v>
      </c>
      <c r="G5" s="217">
        <f>D12</f>
        <v>272361.59999999998</v>
      </c>
      <c r="H5" s="218">
        <f>D17</f>
        <v>63000</v>
      </c>
      <c r="I5" s="218">
        <f>D22</f>
        <v>211277.80799999999</v>
      </c>
      <c r="J5" s="218">
        <f>D27</f>
        <v>1377500</v>
      </c>
      <c r="K5" s="218">
        <f>D32</f>
        <v>0</v>
      </c>
      <c r="L5" s="218">
        <f>D37</f>
        <v>862000</v>
      </c>
      <c r="M5" s="218">
        <f>D42</f>
        <v>7500</v>
      </c>
      <c r="N5" s="218">
        <f>D47</f>
        <v>36000</v>
      </c>
      <c r="O5" s="218">
        <f>D52</f>
        <v>9908812.5</v>
      </c>
      <c r="P5" s="218">
        <f>D53</f>
        <v>0</v>
      </c>
      <c r="Q5" s="219">
        <f>SUM(G5:P5)</f>
        <v>12738451.908</v>
      </c>
      <c r="R5" s="220">
        <f>P54</f>
        <v>72300500</v>
      </c>
      <c r="S5" s="332">
        <f>O5/Q5</f>
        <v>0.7778663036579091</v>
      </c>
      <c r="T5" s="332">
        <f>(J5+(H5*1.63))/Q5</f>
        <v>0.1161985781859734</v>
      </c>
      <c r="U5" s="332">
        <f>L5/Q5</f>
        <v>6.7669133284449345E-2</v>
      </c>
      <c r="V5" s="222">
        <f>Q5/R5</f>
        <v>0.17618760462237468</v>
      </c>
    </row>
    <row r="6" spans="2:22" ht="16.2" thickBot="1" x14ac:dyDescent="0.35">
      <c r="C6" s="202" t="s">
        <v>414</v>
      </c>
      <c r="F6" s="202">
        <v>2013</v>
      </c>
      <c r="G6" s="223">
        <f>E12</f>
        <v>269082.05</v>
      </c>
      <c r="H6" s="224">
        <f>E17</f>
        <v>64575</v>
      </c>
      <c r="I6" s="224">
        <f>E22</f>
        <v>210203.94149999999</v>
      </c>
      <c r="J6" s="224">
        <f>E27</f>
        <v>1100000</v>
      </c>
      <c r="K6" s="224">
        <f>E32</f>
        <v>0</v>
      </c>
      <c r="L6" s="224">
        <f>E37</f>
        <v>871600</v>
      </c>
      <c r="M6" s="224">
        <f>E42</f>
        <v>7500</v>
      </c>
      <c r="N6" s="224">
        <f>E47</f>
        <v>36000</v>
      </c>
      <c r="O6" s="224">
        <f>E52</f>
        <v>9983500</v>
      </c>
      <c r="P6" s="224">
        <f>E53</f>
        <v>0</v>
      </c>
      <c r="Q6" s="225">
        <f>SUM(G6:P6)</f>
        <v>12542460.9915</v>
      </c>
      <c r="R6" s="226">
        <f>Q54</f>
        <v>70814750</v>
      </c>
      <c r="S6" s="332">
        <f>O6/Q6</f>
        <v>0.79597616502581092</v>
      </c>
      <c r="T6" s="332">
        <f>(J6+(H6*1.63))/Q6</f>
        <v>9.6094159736019938E-2</v>
      </c>
      <c r="U6" s="332">
        <f>L6/Q6</f>
        <v>6.9491944251664925E-2</v>
      </c>
      <c r="V6" s="222">
        <f>Q6/R6</f>
        <v>0.1771165045629618</v>
      </c>
    </row>
    <row r="7" spans="2:22" ht="16.2" thickBot="1" x14ac:dyDescent="0.35">
      <c r="C7" s="227" t="s">
        <v>415</v>
      </c>
      <c r="F7" s="228" t="s">
        <v>140</v>
      </c>
      <c r="G7" s="229">
        <f>SUM(G5:G6)</f>
        <v>541443.64999999991</v>
      </c>
      <c r="H7" s="229">
        <f t="shared" ref="H7:P7" si="0">SUM(H5:H6)</f>
        <v>127575</v>
      </c>
      <c r="I7" s="229">
        <f t="shared" si="0"/>
        <v>421481.74949999998</v>
      </c>
      <c r="J7" s="229">
        <f t="shared" si="0"/>
        <v>2477500</v>
      </c>
      <c r="K7" s="229">
        <f t="shared" si="0"/>
        <v>0</v>
      </c>
      <c r="L7" s="229">
        <f t="shared" si="0"/>
        <v>1733600</v>
      </c>
      <c r="M7" s="229">
        <f t="shared" si="0"/>
        <v>15000</v>
      </c>
      <c r="N7" s="229">
        <f t="shared" si="0"/>
        <v>72000</v>
      </c>
      <c r="O7" s="229">
        <f t="shared" si="0"/>
        <v>19892312.5</v>
      </c>
      <c r="P7" s="229">
        <f t="shared" si="0"/>
        <v>0</v>
      </c>
      <c r="Q7" s="230">
        <f>SUM(G7:P7)</f>
        <v>25280912.899499997</v>
      </c>
      <c r="R7" s="231">
        <f>R54</f>
        <v>143115250</v>
      </c>
      <c r="S7" s="332">
        <f>O7/Q7</f>
        <v>0.78685103576277216</v>
      </c>
      <c r="T7" s="332">
        <f>(J7+(H7*1.63))/Q7</f>
        <v>0.10622429896719088</v>
      </c>
      <c r="U7" s="332">
        <f>L7/Q7</f>
        <v>6.8573473073999913E-2</v>
      </c>
      <c r="V7" s="222">
        <f>Q7/R7</f>
        <v>0.17664723290844264</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265200</v>
      </c>
      <c r="C12" s="244" t="s">
        <v>161</v>
      </c>
      <c r="D12" s="353">
        <f>SUM(D13:D16)</f>
        <v>272361.59999999998</v>
      </c>
      <c r="E12" s="354">
        <f>SUM(E13:E16)</f>
        <v>269082.05</v>
      </c>
      <c r="F12" s="355">
        <f>D12+E12</f>
        <v>541443.64999999991</v>
      </c>
      <c r="H12" s="135"/>
      <c r="I12" s="2542" t="s">
        <v>456</v>
      </c>
      <c r="J12" s="2543"/>
      <c r="K12" s="2544"/>
      <c r="L12" s="2546">
        <v>43</v>
      </c>
      <c r="M12" s="4072">
        <v>45000</v>
      </c>
      <c r="N12" s="4072">
        <v>55000</v>
      </c>
      <c r="O12" s="2538">
        <f>M12+N12</f>
        <v>100000</v>
      </c>
      <c r="P12" s="2545">
        <f>M12*$D62</f>
        <v>1935000</v>
      </c>
      <c r="Q12" s="3549">
        <f>N12*$D62</f>
        <v>2365000</v>
      </c>
      <c r="R12" s="254">
        <f>P12+Q12</f>
        <v>4300000</v>
      </c>
      <c r="T12" s="309">
        <v>4071000</v>
      </c>
    </row>
    <row r="13" spans="2:22" ht="13.8" x14ac:dyDescent="0.3">
      <c r="B13" s="256"/>
      <c r="C13" s="257" t="s">
        <v>265</v>
      </c>
      <c r="D13" s="356">
        <v>33350.400000000001</v>
      </c>
      <c r="E13" s="357">
        <v>34350.9</v>
      </c>
      <c r="F13" s="356">
        <f>SUM(D13:E13)</f>
        <v>67701.3</v>
      </c>
      <c r="H13" s="135"/>
      <c r="I13" s="2539" t="s">
        <v>457</v>
      </c>
      <c r="J13" s="2540"/>
      <c r="K13" s="2541"/>
      <c r="L13" s="2546">
        <v>120</v>
      </c>
      <c r="M13" s="4072">
        <v>12000</v>
      </c>
      <c r="N13" s="4072">
        <v>15000</v>
      </c>
      <c r="O13" s="3548">
        <f t="shared" ref="O13:O53" si="1">M13+N13</f>
        <v>27000</v>
      </c>
      <c r="P13" s="3549">
        <f t="shared" ref="P13:P53" si="2">M13*$D63</f>
        <v>1440000</v>
      </c>
      <c r="Q13" s="3549">
        <f t="shared" ref="Q13:Q53" si="3">N13*$D63</f>
        <v>1800000</v>
      </c>
      <c r="R13" s="254">
        <f t="shared" ref="R13:R53" si="4">P13+Q13</f>
        <v>3240000</v>
      </c>
      <c r="T13" s="263">
        <v>1040400</v>
      </c>
    </row>
    <row r="14" spans="2:22" ht="13.8" x14ac:dyDescent="0.3">
      <c r="B14" s="264"/>
      <c r="C14" s="257" t="s">
        <v>417</v>
      </c>
      <c r="D14" s="356">
        <v>44467.199999999997</v>
      </c>
      <c r="E14" s="357">
        <v>34350.9</v>
      </c>
      <c r="F14" s="356">
        <f t="shared" ref="F14:F24" si="5">SUM(D14:E14)</f>
        <v>78818.100000000006</v>
      </c>
      <c r="H14" s="135"/>
      <c r="I14" s="2539" t="s">
        <v>458</v>
      </c>
      <c r="J14" s="2540"/>
      <c r="K14" s="2541"/>
      <c r="L14" s="2546">
        <v>16</v>
      </c>
      <c r="M14" s="4072">
        <v>1930875</v>
      </c>
      <c r="N14" s="4072">
        <v>1750000</v>
      </c>
      <c r="O14" s="3548">
        <f t="shared" si="1"/>
        <v>3680875</v>
      </c>
      <c r="P14" s="3549">
        <f t="shared" si="2"/>
        <v>30894000</v>
      </c>
      <c r="Q14" s="3549">
        <f t="shared" si="3"/>
        <v>28000000</v>
      </c>
      <c r="R14" s="254">
        <f t="shared" si="4"/>
        <v>58894000</v>
      </c>
      <c r="T14" s="263">
        <v>0</v>
      </c>
    </row>
    <row r="15" spans="2:22" ht="13.8" x14ac:dyDescent="0.3">
      <c r="B15" s="264"/>
      <c r="C15" s="265" t="s">
        <v>418</v>
      </c>
      <c r="D15" s="356">
        <v>50025.599999999999</v>
      </c>
      <c r="E15" s="357">
        <v>51526.35</v>
      </c>
      <c r="F15" s="356">
        <f t="shared" si="5"/>
        <v>101551.95</v>
      </c>
      <c r="H15" s="135"/>
      <c r="I15" s="2539" t="s">
        <v>459</v>
      </c>
      <c r="J15" s="2540"/>
      <c r="K15" s="2541"/>
      <c r="L15" s="2546">
        <v>19</v>
      </c>
      <c r="M15" s="4072">
        <v>1300000</v>
      </c>
      <c r="N15" s="4072">
        <v>1300000</v>
      </c>
      <c r="O15" s="3548">
        <f t="shared" si="1"/>
        <v>2600000</v>
      </c>
      <c r="P15" s="3549">
        <f t="shared" si="2"/>
        <v>24700000</v>
      </c>
      <c r="Q15" s="3549">
        <f t="shared" si="3"/>
        <v>24700000</v>
      </c>
      <c r="R15" s="254">
        <f t="shared" si="4"/>
        <v>49400000</v>
      </c>
      <c r="T15" s="263">
        <v>51690000</v>
      </c>
    </row>
    <row r="16" spans="2:22" ht="14.4" thickBot="1" x14ac:dyDescent="0.35">
      <c r="B16" s="264"/>
      <c r="C16" s="265" t="s">
        <v>419</v>
      </c>
      <c r="D16" s="356">
        <v>144518.39999999999</v>
      </c>
      <c r="E16" s="357">
        <v>148853.9</v>
      </c>
      <c r="F16" s="356">
        <f t="shared" si="5"/>
        <v>293372.3</v>
      </c>
      <c r="H16" s="135"/>
      <c r="I16" s="2539" t="s">
        <v>460</v>
      </c>
      <c r="J16" s="2540"/>
      <c r="K16" s="2541"/>
      <c r="L16" s="2546">
        <v>35</v>
      </c>
      <c r="M16" s="4072">
        <v>11000</v>
      </c>
      <c r="N16" s="4072">
        <v>15000</v>
      </c>
      <c r="O16" s="3548">
        <f t="shared" si="1"/>
        <v>26000</v>
      </c>
      <c r="P16" s="3549">
        <f t="shared" si="2"/>
        <v>385000</v>
      </c>
      <c r="Q16" s="3549">
        <f t="shared" si="3"/>
        <v>525000</v>
      </c>
      <c r="R16" s="254">
        <f t="shared" si="4"/>
        <v>910000</v>
      </c>
      <c r="T16" s="263">
        <v>25080000</v>
      </c>
    </row>
    <row r="17" spans="2:20" ht="14.4" thickBot="1" x14ac:dyDescent="0.35">
      <c r="B17" s="272">
        <v>81900</v>
      </c>
      <c r="C17" s="244" t="s">
        <v>166</v>
      </c>
      <c r="D17" s="353">
        <f>SUM(D18:D21)</f>
        <v>63000</v>
      </c>
      <c r="E17" s="354">
        <f>SUM(E18:E21)</f>
        <v>64575</v>
      </c>
      <c r="F17" s="355">
        <f>D17+E17</f>
        <v>127575</v>
      </c>
      <c r="H17" s="135"/>
      <c r="I17" s="2539" t="s">
        <v>461</v>
      </c>
      <c r="J17" s="2540"/>
      <c r="K17" s="2541"/>
      <c r="L17" s="2546">
        <v>60</v>
      </c>
      <c r="M17" s="4072">
        <v>2000</v>
      </c>
      <c r="N17" s="4072">
        <v>4250</v>
      </c>
      <c r="O17" s="3548">
        <f t="shared" si="1"/>
        <v>6250</v>
      </c>
      <c r="P17" s="3549">
        <f t="shared" si="2"/>
        <v>100000</v>
      </c>
      <c r="Q17" s="3549">
        <f t="shared" si="3"/>
        <v>212500</v>
      </c>
      <c r="R17" s="254">
        <f t="shared" si="4"/>
        <v>312500</v>
      </c>
      <c r="T17" s="263">
        <v>0</v>
      </c>
    </row>
    <row r="18" spans="2:20" ht="13.8" x14ac:dyDescent="0.3">
      <c r="B18" s="256"/>
      <c r="C18" s="346" t="s">
        <v>420</v>
      </c>
      <c r="D18" s="350">
        <v>45000</v>
      </c>
      <c r="E18" s="358">
        <v>46125</v>
      </c>
      <c r="F18" s="356">
        <f t="shared" si="5"/>
        <v>91125</v>
      </c>
      <c r="H18" s="135"/>
      <c r="I18" s="2539" t="s">
        <v>462</v>
      </c>
      <c r="J18" s="2540"/>
      <c r="K18" s="2541"/>
      <c r="L18" s="2546">
        <v>20</v>
      </c>
      <c r="M18" s="4072">
        <v>55000</v>
      </c>
      <c r="N18" s="4072">
        <v>55000</v>
      </c>
      <c r="O18" s="3548">
        <f t="shared" si="1"/>
        <v>110000</v>
      </c>
      <c r="P18" s="3549">
        <f t="shared" si="2"/>
        <v>1100000</v>
      </c>
      <c r="Q18" s="3549">
        <f t="shared" si="3"/>
        <v>1100000</v>
      </c>
      <c r="R18" s="254">
        <f t="shared" si="4"/>
        <v>2200000</v>
      </c>
      <c r="T18" s="263">
        <v>0</v>
      </c>
    </row>
    <row r="19" spans="2:20" ht="13.8" x14ac:dyDescent="0.3">
      <c r="B19" s="264"/>
      <c r="C19" s="348" t="s">
        <v>421</v>
      </c>
      <c r="D19" s="350">
        <v>18000</v>
      </c>
      <c r="E19" s="358">
        <v>18450</v>
      </c>
      <c r="F19" s="356">
        <f t="shared" si="5"/>
        <v>36450</v>
      </c>
      <c r="H19" s="135"/>
      <c r="I19" s="2539" t="s">
        <v>463</v>
      </c>
      <c r="J19" s="2540"/>
      <c r="K19" s="2541"/>
      <c r="L19" s="2546">
        <v>33</v>
      </c>
      <c r="M19" s="4072">
        <v>25000</v>
      </c>
      <c r="N19" s="4072">
        <v>35000</v>
      </c>
      <c r="O19" s="3548">
        <f t="shared" si="1"/>
        <v>60000</v>
      </c>
      <c r="P19" s="3549">
        <f t="shared" si="2"/>
        <v>825000</v>
      </c>
      <c r="Q19" s="3549">
        <f t="shared" si="3"/>
        <v>1155000</v>
      </c>
      <c r="R19" s="254">
        <f t="shared" si="4"/>
        <v>1980000</v>
      </c>
      <c r="T19" s="263">
        <v>0</v>
      </c>
    </row>
    <row r="20" spans="2:20" ht="13.8" x14ac:dyDescent="0.3">
      <c r="B20" s="264"/>
      <c r="C20" s="265" t="s">
        <v>164</v>
      </c>
      <c r="D20" s="359">
        <v>0</v>
      </c>
      <c r="E20" s="360"/>
      <c r="F20" s="356">
        <f t="shared" si="5"/>
        <v>0</v>
      </c>
      <c r="H20" s="135"/>
      <c r="I20" s="2539" t="s">
        <v>464</v>
      </c>
      <c r="J20" s="2540"/>
      <c r="K20" s="2541"/>
      <c r="L20" s="2546">
        <v>16</v>
      </c>
      <c r="M20" s="4073">
        <v>500000</v>
      </c>
      <c r="N20" s="4073">
        <v>500000</v>
      </c>
      <c r="O20" s="3548">
        <f t="shared" si="1"/>
        <v>1000000</v>
      </c>
      <c r="P20" s="3549">
        <f t="shared" si="2"/>
        <v>8000000</v>
      </c>
      <c r="Q20" s="3549">
        <f t="shared" si="3"/>
        <v>8000000</v>
      </c>
      <c r="R20" s="254">
        <f t="shared" si="4"/>
        <v>16000000</v>
      </c>
      <c r="T20" s="263">
        <v>0</v>
      </c>
    </row>
    <row r="21" spans="2:20" ht="14.4" thickBot="1" x14ac:dyDescent="0.35">
      <c r="B21" s="264"/>
      <c r="C21" s="265" t="s">
        <v>165</v>
      </c>
      <c r="D21" s="359">
        <v>0</v>
      </c>
      <c r="E21" s="360"/>
      <c r="F21" s="356">
        <f t="shared" si="5"/>
        <v>0</v>
      </c>
      <c r="H21" s="135"/>
      <c r="I21" s="2539" t="s">
        <v>465</v>
      </c>
      <c r="J21" s="2540"/>
      <c r="K21" s="2541"/>
      <c r="L21" s="2546">
        <v>19</v>
      </c>
      <c r="M21" s="4073">
        <v>150000</v>
      </c>
      <c r="N21" s="4073">
        <v>150000</v>
      </c>
      <c r="O21" s="3548">
        <f t="shared" si="1"/>
        <v>300000</v>
      </c>
      <c r="P21" s="3549">
        <f t="shared" si="2"/>
        <v>2850000</v>
      </c>
      <c r="Q21" s="3549">
        <f t="shared" si="3"/>
        <v>2850000</v>
      </c>
      <c r="R21" s="254">
        <f t="shared" si="4"/>
        <v>5700000</v>
      </c>
      <c r="T21" s="263">
        <v>0</v>
      </c>
    </row>
    <row r="22" spans="2:20" ht="14.4" thickBot="1" x14ac:dyDescent="0.35">
      <c r="B22" s="272">
        <v>218796</v>
      </c>
      <c r="C22" s="244" t="s">
        <v>167</v>
      </c>
      <c r="D22" s="353">
        <f>SUM(D23:D26)</f>
        <v>211277.80799999999</v>
      </c>
      <c r="E22" s="354">
        <f>SUM(E23:E26)</f>
        <v>210203.94149999999</v>
      </c>
      <c r="F22" s="355">
        <f>D22+E22</f>
        <v>421481.74949999998</v>
      </c>
      <c r="G22" s="55"/>
      <c r="H22" s="135"/>
      <c r="I22" s="2539" t="s">
        <v>1021</v>
      </c>
      <c r="J22" s="2540"/>
      <c r="K22" s="2541"/>
      <c r="L22" s="2546">
        <v>170</v>
      </c>
      <c r="M22" s="4072">
        <v>500</v>
      </c>
      <c r="N22" s="4072">
        <v>750</v>
      </c>
      <c r="O22" s="3548">
        <f t="shared" si="1"/>
        <v>1250</v>
      </c>
      <c r="P22" s="3549">
        <f t="shared" si="2"/>
        <v>71500</v>
      </c>
      <c r="Q22" s="3549">
        <f t="shared" si="3"/>
        <v>107250</v>
      </c>
      <c r="R22" s="254">
        <f t="shared" si="4"/>
        <v>178750</v>
      </c>
      <c r="T22" s="263">
        <v>0</v>
      </c>
    </row>
    <row r="23" spans="2:20" ht="13.8" x14ac:dyDescent="0.3">
      <c r="B23" s="256"/>
      <c r="C23" s="257" t="s">
        <v>168</v>
      </c>
      <c r="D23" s="356">
        <f>0.63*D12</f>
        <v>171587.80799999999</v>
      </c>
      <c r="E23" s="357">
        <f>0.63*E12</f>
        <v>169521.69149999999</v>
      </c>
      <c r="F23" s="356">
        <f t="shared" si="5"/>
        <v>341109.49949999998</v>
      </c>
      <c r="H23" s="135"/>
      <c r="I23" s="259" t="str">
        <f t="shared" ref="I23:I53" si="6">C73</f>
        <v>Measure 12</v>
      </c>
      <c r="J23" s="260"/>
      <c r="K23" s="261"/>
      <c r="L23" s="250">
        <f t="shared" ref="L23:L53" si="7">D73</f>
        <v>0</v>
      </c>
      <c r="M23" s="4072">
        <v>150</v>
      </c>
      <c r="N23" s="4072">
        <v>250</v>
      </c>
      <c r="O23" s="3548">
        <f t="shared" si="1"/>
        <v>400</v>
      </c>
      <c r="P23" s="3549">
        <f t="shared" si="2"/>
        <v>0</v>
      </c>
      <c r="Q23" s="3549">
        <f t="shared" si="3"/>
        <v>0</v>
      </c>
      <c r="R23" s="254">
        <f t="shared" si="4"/>
        <v>0</v>
      </c>
      <c r="T23" s="263">
        <v>0</v>
      </c>
    </row>
    <row r="24" spans="2:20" ht="13.8" x14ac:dyDescent="0.3">
      <c r="B24" s="256"/>
      <c r="C24" s="257" t="s">
        <v>169</v>
      </c>
      <c r="D24" s="349">
        <f>0.63*D17</f>
        <v>39690</v>
      </c>
      <c r="E24" s="351">
        <f>0.63*E17</f>
        <v>40682.25</v>
      </c>
      <c r="F24" s="356">
        <f t="shared" si="5"/>
        <v>80372.25</v>
      </c>
      <c r="H24" s="135"/>
      <c r="I24" s="259" t="str">
        <f t="shared" si="6"/>
        <v>Measure 13</v>
      </c>
      <c r="J24" s="260"/>
      <c r="K24" s="261"/>
      <c r="L24" s="250">
        <f t="shared" si="7"/>
        <v>0</v>
      </c>
      <c r="M24" s="267">
        <v>0</v>
      </c>
      <c r="N24" s="267">
        <v>0</v>
      </c>
      <c r="O24" s="3548">
        <f t="shared" si="1"/>
        <v>0</v>
      </c>
      <c r="P24" s="3549">
        <f t="shared" si="2"/>
        <v>0</v>
      </c>
      <c r="Q24" s="3549">
        <f t="shared" si="3"/>
        <v>0</v>
      </c>
      <c r="R24" s="254">
        <f t="shared" si="4"/>
        <v>0</v>
      </c>
      <c r="T24" s="263">
        <v>0</v>
      </c>
    </row>
    <row r="25" spans="2:20" ht="13.8" x14ac:dyDescent="0.3">
      <c r="B25" s="264"/>
      <c r="C25" s="265"/>
      <c r="D25" s="359"/>
      <c r="E25" s="360"/>
      <c r="F25" s="359"/>
      <c r="H25" s="135"/>
      <c r="I25" s="259" t="str">
        <f t="shared" si="6"/>
        <v>Measure 14</v>
      </c>
      <c r="J25" s="260"/>
      <c r="K25" s="261"/>
      <c r="L25" s="250">
        <f t="shared" si="7"/>
        <v>0</v>
      </c>
      <c r="M25" s="267">
        <v>0</v>
      </c>
      <c r="N25" s="267">
        <v>0</v>
      </c>
      <c r="O25" s="3548">
        <f t="shared" si="1"/>
        <v>0</v>
      </c>
      <c r="P25" s="3549">
        <f t="shared" si="2"/>
        <v>0</v>
      </c>
      <c r="Q25" s="3549">
        <f t="shared" si="3"/>
        <v>0</v>
      </c>
      <c r="R25" s="254">
        <f t="shared" si="4"/>
        <v>0</v>
      </c>
      <c r="T25" s="263">
        <v>0</v>
      </c>
    </row>
    <row r="26" spans="2:20" ht="14.4" thickBot="1" x14ac:dyDescent="0.35">
      <c r="B26" s="264"/>
      <c r="C26" s="265"/>
      <c r="D26" s="359"/>
      <c r="E26" s="360"/>
      <c r="F26" s="359"/>
      <c r="H26" s="135"/>
      <c r="I26" s="259" t="str">
        <f t="shared" si="6"/>
        <v>Measure 15</v>
      </c>
      <c r="J26" s="260"/>
      <c r="K26" s="261"/>
      <c r="L26" s="250">
        <f t="shared" si="7"/>
        <v>0</v>
      </c>
      <c r="M26" s="267">
        <v>0</v>
      </c>
      <c r="N26" s="267">
        <v>0</v>
      </c>
      <c r="O26" s="3548">
        <f t="shared" si="1"/>
        <v>0</v>
      </c>
      <c r="P26" s="3549">
        <f t="shared" si="2"/>
        <v>0</v>
      </c>
      <c r="Q26" s="3549">
        <f t="shared" si="3"/>
        <v>0</v>
      </c>
      <c r="R26" s="254">
        <f t="shared" si="4"/>
        <v>0</v>
      </c>
      <c r="T26" s="263">
        <v>0</v>
      </c>
    </row>
    <row r="27" spans="2:20" ht="14.4" thickBot="1" x14ac:dyDescent="0.35">
      <c r="B27" s="272">
        <v>1476000</v>
      </c>
      <c r="C27" s="244" t="s">
        <v>170</v>
      </c>
      <c r="D27" s="353">
        <f>SUM(D28:D31)</f>
        <v>1377500</v>
      </c>
      <c r="E27" s="354">
        <f>SUM(E28:E31)</f>
        <v>1100000</v>
      </c>
      <c r="F27" s="355">
        <f>D27+E27</f>
        <v>2477500</v>
      </c>
      <c r="H27" s="135"/>
      <c r="I27" s="259" t="str">
        <f t="shared" si="6"/>
        <v>Measure 16</v>
      </c>
      <c r="J27" s="260"/>
      <c r="K27" s="261"/>
      <c r="L27" s="250">
        <f t="shared" si="7"/>
        <v>0</v>
      </c>
      <c r="M27" s="267">
        <v>0</v>
      </c>
      <c r="N27" s="267">
        <v>0</v>
      </c>
      <c r="O27" s="3548">
        <f t="shared" si="1"/>
        <v>0</v>
      </c>
      <c r="P27" s="3549">
        <f t="shared" si="2"/>
        <v>0</v>
      </c>
      <c r="Q27" s="3549">
        <f t="shared" si="3"/>
        <v>0</v>
      </c>
      <c r="R27" s="254">
        <f t="shared" si="4"/>
        <v>0</v>
      </c>
      <c r="T27" s="263">
        <v>0</v>
      </c>
    </row>
    <row r="28" spans="2:20" ht="13.8" x14ac:dyDescent="0.3">
      <c r="B28" s="256"/>
      <c r="C28" s="257" t="s">
        <v>455</v>
      </c>
      <c r="D28" s="356">
        <v>1377500</v>
      </c>
      <c r="E28" s="357">
        <v>1100000</v>
      </c>
      <c r="F28" s="356">
        <f t="shared" ref="F28:F36" si="8">SUM(D28:E28)</f>
        <v>2477500</v>
      </c>
      <c r="H28" s="135"/>
      <c r="I28" s="259" t="str">
        <f t="shared" si="6"/>
        <v>Measure 17</v>
      </c>
      <c r="J28" s="260"/>
      <c r="K28" s="261"/>
      <c r="L28" s="250">
        <f t="shared" si="7"/>
        <v>0</v>
      </c>
      <c r="M28" s="267">
        <v>0</v>
      </c>
      <c r="N28" s="267">
        <v>0</v>
      </c>
      <c r="O28" s="3548">
        <f t="shared" si="1"/>
        <v>0</v>
      </c>
      <c r="P28" s="3549">
        <f t="shared" si="2"/>
        <v>0</v>
      </c>
      <c r="Q28" s="3549">
        <f t="shared" si="3"/>
        <v>0</v>
      </c>
      <c r="R28" s="254">
        <f t="shared" si="4"/>
        <v>0</v>
      </c>
      <c r="T28" s="263">
        <v>0</v>
      </c>
    </row>
    <row r="29" spans="2:20" ht="13.8" x14ac:dyDescent="0.3">
      <c r="B29" s="264"/>
      <c r="C29" s="265" t="s">
        <v>163</v>
      </c>
      <c r="D29" s="349">
        <v>0</v>
      </c>
      <c r="E29" s="351"/>
      <c r="F29" s="356">
        <f t="shared" si="8"/>
        <v>0</v>
      </c>
      <c r="H29" s="135"/>
      <c r="I29" s="259" t="str">
        <f t="shared" si="6"/>
        <v>Measure 18</v>
      </c>
      <c r="J29" s="260"/>
      <c r="K29" s="261"/>
      <c r="L29" s="250">
        <f t="shared" si="7"/>
        <v>0</v>
      </c>
      <c r="M29" s="267">
        <v>0</v>
      </c>
      <c r="N29" s="267">
        <v>0</v>
      </c>
      <c r="O29" s="3548">
        <f t="shared" si="1"/>
        <v>0</v>
      </c>
      <c r="P29" s="3549">
        <f t="shared" si="2"/>
        <v>0</v>
      </c>
      <c r="Q29" s="3549">
        <f t="shared" si="3"/>
        <v>0</v>
      </c>
      <c r="R29" s="254">
        <f t="shared" si="4"/>
        <v>0</v>
      </c>
      <c r="T29" s="263">
        <v>0</v>
      </c>
    </row>
    <row r="30" spans="2:20" ht="13.8" x14ac:dyDescent="0.3">
      <c r="B30" s="264"/>
      <c r="C30" s="265" t="s">
        <v>164</v>
      </c>
      <c r="D30" s="349">
        <v>0</v>
      </c>
      <c r="E30" s="351"/>
      <c r="F30" s="356">
        <f t="shared" si="8"/>
        <v>0</v>
      </c>
      <c r="H30" s="135"/>
      <c r="I30" s="259" t="str">
        <f t="shared" si="6"/>
        <v>Measure 19</v>
      </c>
      <c r="J30" s="260"/>
      <c r="K30" s="261"/>
      <c r="L30" s="250">
        <f t="shared" si="7"/>
        <v>0</v>
      </c>
      <c r="M30" s="267">
        <v>0</v>
      </c>
      <c r="N30" s="267">
        <v>0</v>
      </c>
      <c r="O30" s="3548">
        <f t="shared" si="1"/>
        <v>0</v>
      </c>
      <c r="P30" s="3549">
        <f t="shared" si="2"/>
        <v>0</v>
      </c>
      <c r="Q30" s="3549">
        <f t="shared" si="3"/>
        <v>0</v>
      </c>
      <c r="R30" s="254">
        <f t="shared" si="4"/>
        <v>0</v>
      </c>
      <c r="T30" s="263">
        <v>0</v>
      </c>
    </row>
    <row r="31" spans="2:20" ht="14.4" thickBot="1" x14ac:dyDescent="0.35">
      <c r="B31" s="264"/>
      <c r="C31" s="265" t="s">
        <v>165</v>
      </c>
      <c r="D31" s="349">
        <v>0</v>
      </c>
      <c r="E31" s="351"/>
      <c r="F31" s="356">
        <f t="shared" si="8"/>
        <v>0</v>
      </c>
      <c r="H31" s="135"/>
      <c r="I31" s="259" t="str">
        <f t="shared" si="6"/>
        <v>Measure 20</v>
      </c>
      <c r="J31" s="260"/>
      <c r="K31" s="261"/>
      <c r="L31" s="250">
        <f t="shared" si="7"/>
        <v>0</v>
      </c>
      <c r="M31" s="267">
        <v>0</v>
      </c>
      <c r="N31" s="267">
        <v>0</v>
      </c>
      <c r="O31" s="3548">
        <f t="shared" si="1"/>
        <v>0</v>
      </c>
      <c r="P31" s="3549">
        <f t="shared" si="2"/>
        <v>0</v>
      </c>
      <c r="Q31" s="3549">
        <f t="shared" si="3"/>
        <v>0</v>
      </c>
      <c r="R31" s="254">
        <f t="shared" si="4"/>
        <v>0</v>
      </c>
      <c r="T31" s="263">
        <v>0</v>
      </c>
    </row>
    <row r="32" spans="2:20" ht="14.4" thickBot="1" x14ac:dyDescent="0.35">
      <c r="B32" s="272">
        <v>30000</v>
      </c>
      <c r="C32" s="244" t="s">
        <v>171</v>
      </c>
      <c r="D32" s="353">
        <f>SUM(D33:D36)</f>
        <v>0</v>
      </c>
      <c r="E32" s="354">
        <f>SUM(E33:E36)</f>
        <v>0</v>
      </c>
      <c r="F32" s="355">
        <f>D32+E32</f>
        <v>0</v>
      </c>
      <c r="H32" s="135"/>
      <c r="I32" s="259" t="str">
        <f t="shared" si="6"/>
        <v>Measure 21</v>
      </c>
      <c r="J32" s="260"/>
      <c r="K32" s="261"/>
      <c r="L32" s="250">
        <f t="shared" si="7"/>
        <v>0</v>
      </c>
      <c r="M32" s="267">
        <v>0</v>
      </c>
      <c r="N32" s="267">
        <v>0</v>
      </c>
      <c r="O32" s="3548">
        <f t="shared" si="1"/>
        <v>0</v>
      </c>
      <c r="P32" s="3549">
        <f t="shared" si="2"/>
        <v>0</v>
      </c>
      <c r="Q32" s="3549">
        <f t="shared" si="3"/>
        <v>0</v>
      </c>
      <c r="R32" s="254">
        <f t="shared" si="4"/>
        <v>0</v>
      </c>
      <c r="T32" s="263">
        <v>0</v>
      </c>
    </row>
    <row r="33" spans="2:20" ht="13.8" x14ac:dyDescent="0.3">
      <c r="B33" s="264"/>
      <c r="C33" s="265" t="s">
        <v>162</v>
      </c>
      <c r="D33" s="349">
        <v>0</v>
      </c>
      <c r="E33" s="351"/>
      <c r="F33" s="356">
        <f t="shared" si="8"/>
        <v>0</v>
      </c>
      <c r="H33" s="135"/>
      <c r="I33" s="259" t="str">
        <f t="shared" si="6"/>
        <v>Measure 22</v>
      </c>
      <c r="J33" s="260"/>
      <c r="K33" s="261"/>
      <c r="L33" s="250">
        <f t="shared" si="7"/>
        <v>0</v>
      </c>
      <c r="M33" s="267">
        <v>0</v>
      </c>
      <c r="N33" s="267">
        <v>0</v>
      </c>
      <c r="O33" s="3548">
        <f t="shared" si="1"/>
        <v>0</v>
      </c>
      <c r="P33" s="3549">
        <f t="shared" si="2"/>
        <v>0</v>
      </c>
      <c r="Q33" s="3549">
        <f t="shared" si="3"/>
        <v>0</v>
      </c>
      <c r="R33" s="254">
        <f t="shared" si="4"/>
        <v>0</v>
      </c>
      <c r="T33" s="263">
        <v>0</v>
      </c>
    </row>
    <row r="34" spans="2:20" ht="13.8" x14ac:dyDescent="0.3">
      <c r="B34" s="264"/>
      <c r="C34" s="265" t="s">
        <v>163</v>
      </c>
      <c r="D34" s="349">
        <v>0</v>
      </c>
      <c r="E34" s="351"/>
      <c r="F34" s="356">
        <f t="shared" si="8"/>
        <v>0</v>
      </c>
      <c r="H34" s="135"/>
      <c r="I34" s="259" t="str">
        <f t="shared" si="6"/>
        <v>Measure 23</v>
      </c>
      <c r="J34" s="260"/>
      <c r="K34" s="261"/>
      <c r="L34" s="250">
        <f t="shared" si="7"/>
        <v>0</v>
      </c>
      <c r="M34" s="267">
        <v>0</v>
      </c>
      <c r="N34" s="267">
        <v>0</v>
      </c>
      <c r="O34" s="3548">
        <f t="shared" si="1"/>
        <v>0</v>
      </c>
      <c r="P34" s="3549">
        <f t="shared" si="2"/>
        <v>0</v>
      </c>
      <c r="Q34" s="3549">
        <f t="shared" si="3"/>
        <v>0</v>
      </c>
      <c r="R34" s="254">
        <f t="shared" si="4"/>
        <v>0</v>
      </c>
      <c r="T34" s="263">
        <v>0</v>
      </c>
    </row>
    <row r="35" spans="2:20" ht="13.8" x14ac:dyDescent="0.3">
      <c r="B35" s="264"/>
      <c r="C35" s="265" t="s">
        <v>164</v>
      </c>
      <c r="D35" s="349">
        <v>0</v>
      </c>
      <c r="E35" s="351"/>
      <c r="F35" s="356">
        <f t="shared" si="8"/>
        <v>0</v>
      </c>
      <c r="H35" s="135"/>
      <c r="I35" s="259" t="str">
        <f t="shared" si="6"/>
        <v>Measure 24</v>
      </c>
      <c r="J35" s="260"/>
      <c r="K35" s="261"/>
      <c r="L35" s="250">
        <f t="shared" si="7"/>
        <v>0</v>
      </c>
      <c r="M35" s="267">
        <v>0</v>
      </c>
      <c r="N35" s="267">
        <v>0</v>
      </c>
      <c r="O35" s="3548">
        <f t="shared" si="1"/>
        <v>0</v>
      </c>
      <c r="P35" s="3549">
        <f t="shared" si="2"/>
        <v>0</v>
      </c>
      <c r="Q35" s="3549">
        <f t="shared" si="3"/>
        <v>0</v>
      </c>
      <c r="R35" s="254">
        <f t="shared" si="4"/>
        <v>0</v>
      </c>
      <c r="T35" s="263">
        <v>0</v>
      </c>
    </row>
    <row r="36" spans="2:20" ht="14.4" thickBot="1" x14ac:dyDescent="0.35">
      <c r="B36" s="264"/>
      <c r="C36" s="265" t="s">
        <v>165</v>
      </c>
      <c r="D36" s="349">
        <v>0</v>
      </c>
      <c r="E36" s="351"/>
      <c r="F36" s="356">
        <f t="shared" si="8"/>
        <v>0</v>
      </c>
      <c r="H36" s="135"/>
      <c r="I36" s="259" t="str">
        <f t="shared" si="6"/>
        <v>Measure 25</v>
      </c>
      <c r="J36" s="260"/>
      <c r="K36" s="261"/>
      <c r="L36" s="250">
        <f t="shared" si="7"/>
        <v>0</v>
      </c>
      <c r="M36" s="267">
        <v>0</v>
      </c>
      <c r="N36" s="267">
        <v>0</v>
      </c>
      <c r="O36" s="3548">
        <f t="shared" si="1"/>
        <v>0</v>
      </c>
      <c r="P36" s="3549">
        <f t="shared" si="2"/>
        <v>0</v>
      </c>
      <c r="Q36" s="3549">
        <f t="shared" si="3"/>
        <v>0</v>
      </c>
      <c r="R36" s="254">
        <f t="shared" si="4"/>
        <v>0</v>
      </c>
      <c r="T36" s="263">
        <v>0</v>
      </c>
    </row>
    <row r="37" spans="2:20" ht="14.4" thickBot="1" x14ac:dyDescent="0.35">
      <c r="B37" s="272">
        <v>609408.52500000014</v>
      </c>
      <c r="C37" s="244" t="s">
        <v>172</v>
      </c>
      <c r="D37" s="353">
        <f>SUM(D38:D41)</f>
        <v>862000</v>
      </c>
      <c r="E37" s="354">
        <f>SUM(E38:E41)</f>
        <v>871600</v>
      </c>
      <c r="F37" s="355">
        <f>D37+E37</f>
        <v>1733600</v>
      </c>
      <c r="H37" s="135"/>
      <c r="I37" s="259" t="str">
        <f t="shared" si="6"/>
        <v>Measure 26</v>
      </c>
      <c r="J37" s="260"/>
      <c r="K37" s="270"/>
      <c r="L37" s="250">
        <f t="shared" si="7"/>
        <v>0</v>
      </c>
      <c r="M37" s="267">
        <v>0</v>
      </c>
      <c r="N37" s="267">
        <v>0</v>
      </c>
      <c r="O37" s="3548">
        <f t="shared" si="1"/>
        <v>0</v>
      </c>
      <c r="P37" s="3549">
        <f t="shared" si="2"/>
        <v>0</v>
      </c>
      <c r="Q37" s="3549">
        <f t="shared" si="3"/>
        <v>0</v>
      </c>
      <c r="R37" s="254">
        <f t="shared" si="4"/>
        <v>0</v>
      </c>
      <c r="T37" s="263">
        <v>0</v>
      </c>
    </row>
    <row r="38" spans="2:20" ht="13.8" x14ac:dyDescent="0.3">
      <c r="B38" s="264"/>
      <c r="C38" s="265" t="s">
        <v>422</v>
      </c>
      <c r="D38" s="3552">
        <v>312000</v>
      </c>
      <c r="E38" s="3551">
        <v>321600</v>
      </c>
      <c r="F38" s="356">
        <f t="shared" ref="F38:F51" si="9">SUM(D38:E38)</f>
        <v>633600</v>
      </c>
      <c r="H38" s="135"/>
      <c r="I38" s="259" t="str">
        <f t="shared" si="6"/>
        <v>Measure 27</v>
      </c>
      <c r="J38" s="260"/>
      <c r="K38" s="270"/>
      <c r="L38" s="250">
        <f t="shared" si="7"/>
        <v>0</v>
      </c>
      <c r="M38" s="267">
        <v>0</v>
      </c>
      <c r="N38" s="267">
        <v>0</v>
      </c>
      <c r="O38" s="3548">
        <f t="shared" si="1"/>
        <v>0</v>
      </c>
      <c r="P38" s="3549">
        <f t="shared" si="2"/>
        <v>0</v>
      </c>
      <c r="Q38" s="3549">
        <f t="shared" si="3"/>
        <v>0</v>
      </c>
      <c r="R38" s="254">
        <f t="shared" si="4"/>
        <v>0</v>
      </c>
      <c r="T38" s="263">
        <v>0</v>
      </c>
    </row>
    <row r="39" spans="2:20" ht="13.8" x14ac:dyDescent="0.3">
      <c r="B39" s="264"/>
      <c r="C39" s="265" t="s">
        <v>423</v>
      </c>
      <c r="D39" s="3552">
        <v>550000</v>
      </c>
      <c r="E39" s="3552">
        <v>550000</v>
      </c>
      <c r="F39" s="356">
        <f t="shared" si="9"/>
        <v>1100000</v>
      </c>
      <c r="H39" s="135"/>
      <c r="I39" s="259" t="str">
        <f t="shared" si="6"/>
        <v>Measure 28</v>
      </c>
      <c r="J39" s="260"/>
      <c r="K39" s="270"/>
      <c r="L39" s="250">
        <f t="shared" si="7"/>
        <v>0</v>
      </c>
      <c r="M39" s="267">
        <v>0</v>
      </c>
      <c r="N39" s="267">
        <v>0</v>
      </c>
      <c r="O39" s="3548">
        <f t="shared" si="1"/>
        <v>0</v>
      </c>
      <c r="P39" s="3549">
        <f t="shared" si="2"/>
        <v>0</v>
      </c>
      <c r="Q39" s="3549">
        <f t="shared" si="3"/>
        <v>0</v>
      </c>
      <c r="R39" s="254">
        <f t="shared" si="4"/>
        <v>0</v>
      </c>
      <c r="T39" s="263">
        <v>0</v>
      </c>
    </row>
    <row r="40" spans="2:20" ht="13.8" x14ac:dyDescent="0.3">
      <c r="B40" s="264"/>
      <c r="C40" s="265" t="s">
        <v>164</v>
      </c>
      <c r="D40" s="349">
        <v>0</v>
      </c>
      <c r="E40" s="351"/>
      <c r="F40" s="356">
        <f t="shared" si="9"/>
        <v>0</v>
      </c>
      <c r="H40" s="135"/>
      <c r="I40" s="259" t="str">
        <f t="shared" si="6"/>
        <v>Measure 29</v>
      </c>
      <c r="J40" s="260"/>
      <c r="K40" s="270"/>
      <c r="L40" s="250">
        <f t="shared" si="7"/>
        <v>0</v>
      </c>
      <c r="M40" s="267">
        <v>0</v>
      </c>
      <c r="N40" s="267">
        <v>0</v>
      </c>
      <c r="O40" s="3548">
        <f t="shared" si="1"/>
        <v>0</v>
      </c>
      <c r="P40" s="3549">
        <f t="shared" si="2"/>
        <v>0</v>
      </c>
      <c r="Q40" s="3549">
        <f t="shared" si="3"/>
        <v>0</v>
      </c>
      <c r="R40" s="254">
        <f t="shared" si="4"/>
        <v>0</v>
      </c>
      <c r="T40" s="263">
        <v>0</v>
      </c>
    </row>
    <row r="41" spans="2:20" ht="14.4" thickBot="1" x14ac:dyDescent="0.35">
      <c r="B41" s="264"/>
      <c r="C41" s="265" t="s">
        <v>165</v>
      </c>
      <c r="D41" s="349">
        <v>0</v>
      </c>
      <c r="E41" s="351"/>
      <c r="F41" s="356">
        <f t="shared" si="9"/>
        <v>0</v>
      </c>
      <c r="H41" s="135"/>
      <c r="I41" s="259" t="str">
        <f t="shared" si="6"/>
        <v>Measure 30</v>
      </c>
      <c r="J41" s="260"/>
      <c r="K41" s="270"/>
      <c r="L41" s="250">
        <f t="shared" si="7"/>
        <v>0</v>
      </c>
      <c r="M41" s="267">
        <v>0</v>
      </c>
      <c r="N41" s="267">
        <v>0</v>
      </c>
      <c r="O41" s="3548">
        <f t="shared" si="1"/>
        <v>0</v>
      </c>
      <c r="P41" s="3549">
        <f t="shared" si="2"/>
        <v>0</v>
      </c>
      <c r="Q41" s="3549">
        <f t="shared" si="3"/>
        <v>0</v>
      </c>
      <c r="R41" s="254">
        <f t="shared" si="4"/>
        <v>0</v>
      </c>
      <c r="T41" s="263">
        <v>0</v>
      </c>
    </row>
    <row r="42" spans="2:20" ht="14.4" thickBot="1" x14ac:dyDescent="0.35">
      <c r="B42" s="272">
        <v>6000</v>
      </c>
      <c r="C42" s="244" t="s">
        <v>173</v>
      </c>
      <c r="D42" s="353">
        <f>SUM(D43:D46)</f>
        <v>7500</v>
      </c>
      <c r="E42" s="354">
        <f>SUM(E43:E46)</f>
        <v>7500</v>
      </c>
      <c r="F42" s="355">
        <f>D42+E42</f>
        <v>15000</v>
      </c>
      <c r="H42" s="135"/>
      <c r="I42" s="259" t="str">
        <f t="shared" si="6"/>
        <v>Measure 31</v>
      </c>
      <c r="J42" s="260"/>
      <c r="K42" s="270"/>
      <c r="L42" s="250">
        <f t="shared" si="7"/>
        <v>0</v>
      </c>
      <c r="M42" s="267">
        <v>0</v>
      </c>
      <c r="N42" s="267">
        <v>0</v>
      </c>
      <c r="O42" s="3548">
        <f t="shared" si="1"/>
        <v>0</v>
      </c>
      <c r="P42" s="3549">
        <f t="shared" si="2"/>
        <v>0</v>
      </c>
      <c r="Q42" s="3549">
        <f t="shared" si="3"/>
        <v>0</v>
      </c>
      <c r="R42" s="254">
        <f t="shared" si="4"/>
        <v>0</v>
      </c>
      <c r="T42" s="263">
        <v>0</v>
      </c>
    </row>
    <row r="43" spans="2:20" ht="13.8" x14ac:dyDescent="0.3">
      <c r="B43" s="264"/>
      <c r="C43" s="265" t="s">
        <v>162</v>
      </c>
      <c r="D43" s="349">
        <v>7500</v>
      </c>
      <c r="E43" s="351">
        <v>7500</v>
      </c>
      <c r="F43" s="356">
        <f t="shared" si="9"/>
        <v>15000</v>
      </c>
      <c r="H43" s="135"/>
      <c r="I43" s="259" t="str">
        <f t="shared" si="6"/>
        <v>Measure 32</v>
      </c>
      <c r="J43" s="260"/>
      <c r="K43" s="270"/>
      <c r="L43" s="250">
        <f t="shared" si="7"/>
        <v>0</v>
      </c>
      <c r="M43" s="267">
        <v>0</v>
      </c>
      <c r="N43" s="267">
        <v>0</v>
      </c>
      <c r="O43" s="3548">
        <f t="shared" si="1"/>
        <v>0</v>
      </c>
      <c r="P43" s="3549">
        <f t="shared" si="2"/>
        <v>0</v>
      </c>
      <c r="Q43" s="3549">
        <f t="shared" si="3"/>
        <v>0</v>
      </c>
      <c r="R43" s="254">
        <f t="shared" si="4"/>
        <v>0</v>
      </c>
      <c r="T43" s="263">
        <v>0</v>
      </c>
    </row>
    <row r="44" spans="2:20" ht="13.8" x14ac:dyDescent="0.3">
      <c r="B44" s="264"/>
      <c r="C44" s="265" t="s">
        <v>163</v>
      </c>
      <c r="D44" s="349">
        <v>0</v>
      </c>
      <c r="E44" s="351"/>
      <c r="F44" s="356">
        <f t="shared" si="9"/>
        <v>0</v>
      </c>
      <c r="H44" s="135"/>
      <c r="I44" s="259" t="str">
        <f t="shared" si="6"/>
        <v>Measure 33</v>
      </c>
      <c r="J44" s="260"/>
      <c r="K44" s="270"/>
      <c r="L44" s="250">
        <f t="shared" si="7"/>
        <v>0</v>
      </c>
      <c r="M44" s="267">
        <v>0</v>
      </c>
      <c r="N44" s="267">
        <v>0</v>
      </c>
      <c r="O44" s="3548">
        <f t="shared" si="1"/>
        <v>0</v>
      </c>
      <c r="P44" s="3549">
        <f t="shared" si="2"/>
        <v>0</v>
      </c>
      <c r="Q44" s="3549">
        <f t="shared" si="3"/>
        <v>0</v>
      </c>
      <c r="R44" s="254">
        <f t="shared" si="4"/>
        <v>0</v>
      </c>
      <c r="T44" s="263">
        <v>0</v>
      </c>
    </row>
    <row r="45" spans="2:20" ht="13.8" x14ac:dyDescent="0.3">
      <c r="B45" s="264"/>
      <c r="C45" s="265" t="s">
        <v>164</v>
      </c>
      <c r="D45" s="349">
        <v>0</v>
      </c>
      <c r="E45" s="351"/>
      <c r="F45" s="356">
        <f t="shared" si="9"/>
        <v>0</v>
      </c>
      <c r="H45" s="135"/>
      <c r="I45" s="259" t="str">
        <f t="shared" si="6"/>
        <v>Measure 34</v>
      </c>
      <c r="J45" s="260"/>
      <c r="K45" s="270"/>
      <c r="L45" s="250">
        <f t="shared" si="7"/>
        <v>0</v>
      </c>
      <c r="M45" s="267">
        <v>0</v>
      </c>
      <c r="N45" s="267">
        <v>0</v>
      </c>
      <c r="O45" s="3548">
        <f t="shared" si="1"/>
        <v>0</v>
      </c>
      <c r="P45" s="3549">
        <f t="shared" si="2"/>
        <v>0</v>
      </c>
      <c r="Q45" s="3549">
        <f t="shared" si="3"/>
        <v>0</v>
      </c>
      <c r="R45" s="254">
        <f t="shared" si="4"/>
        <v>0</v>
      </c>
      <c r="T45" s="263">
        <v>0</v>
      </c>
    </row>
    <row r="46" spans="2:20" ht="14.4" thickBot="1" x14ac:dyDescent="0.35">
      <c r="B46" s="264"/>
      <c r="C46" s="265" t="s">
        <v>165</v>
      </c>
      <c r="D46" s="349">
        <v>0</v>
      </c>
      <c r="E46" s="351"/>
      <c r="F46" s="356">
        <f t="shared" si="9"/>
        <v>0</v>
      </c>
      <c r="H46" s="135"/>
      <c r="I46" s="259" t="str">
        <f t="shared" si="6"/>
        <v>Measure 35</v>
      </c>
      <c r="J46" s="260"/>
      <c r="K46" s="270"/>
      <c r="L46" s="250">
        <f t="shared" si="7"/>
        <v>0</v>
      </c>
      <c r="M46" s="267">
        <v>0</v>
      </c>
      <c r="N46" s="267">
        <v>0</v>
      </c>
      <c r="O46" s="3548">
        <f t="shared" si="1"/>
        <v>0</v>
      </c>
      <c r="P46" s="3549">
        <f t="shared" si="2"/>
        <v>0</v>
      </c>
      <c r="Q46" s="3549">
        <f t="shared" si="3"/>
        <v>0</v>
      </c>
      <c r="R46" s="254">
        <f t="shared" si="4"/>
        <v>0</v>
      </c>
      <c r="T46" s="263">
        <v>0</v>
      </c>
    </row>
    <row r="47" spans="2:20" ht="14.4" thickBot="1" x14ac:dyDescent="0.35">
      <c r="B47" s="272">
        <v>36000</v>
      </c>
      <c r="C47" s="244" t="s">
        <v>174</v>
      </c>
      <c r="D47" s="353">
        <f>SUM(D48:D51)</f>
        <v>36000</v>
      </c>
      <c r="E47" s="354">
        <f>SUM(E48:E51)</f>
        <v>36000</v>
      </c>
      <c r="F47" s="355">
        <f>D47+E47</f>
        <v>72000</v>
      </c>
      <c r="H47" s="135"/>
      <c r="I47" s="259" t="str">
        <f t="shared" si="6"/>
        <v>Measure 36</v>
      </c>
      <c r="J47" s="260"/>
      <c r="K47" s="270"/>
      <c r="L47" s="250">
        <f t="shared" si="7"/>
        <v>0</v>
      </c>
      <c r="M47" s="267">
        <v>0</v>
      </c>
      <c r="N47" s="267">
        <v>0</v>
      </c>
      <c r="O47" s="3548">
        <f t="shared" si="1"/>
        <v>0</v>
      </c>
      <c r="P47" s="3549">
        <f t="shared" si="2"/>
        <v>0</v>
      </c>
      <c r="Q47" s="3549">
        <f t="shared" si="3"/>
        <v>0</v>
      </c>
      <c r="R47" s="254">
        <f t="shared" si="4"/>
        <v>0</v>
      </c>
      <c r="T47" s="263">
        <v>0</v>
      </c>
    </row>
    <row r="48" spans="2:20" ht="13.8" x14ac:dyDescent="0.3">
      <c r="B48" s="264"/>
      <c r="C48" s="265" t="s">
        <v>162</v>
      </c>
      <c r="D48" s="349">
        <v>36000</v>
      </c>
      <c r="E48" s="351">
        <v>36000</v>
      </c>
      <c r="F48" s="356">
        <f t="shared" si="9"/>
        <v>72000</v>
      </c>
      <c r="H48" s="135"/>
      <c r="I48" s="259" t="str">
        <f t="shared" si="6"/>
        <v>Measure 37</v>
      </c>
      <c r="J48" s="260"/>
      <c r="K48" s="270"/>
      <c r="L48" s="250">
        <f t="shared" si="7"/>
        <v>0</v>
      </c>
      <c r="M48" s="267">
        <v>0</v>
      </c>
      <c r="N48" s="267">
        <v>0</v>
      </c>
      <c r="O48" s="3548">
        <f t="shared" si="1"/>
        <v>0</v>
      </c>
      <c r="P48" s="3549">
        <f t="shared" si="2"/>
        <v>0</v>
      </c>
      <c r="Q48" s="3549">
        <f t="shared" si="3"/>
        <v>0</v>
      </c>
      <c r="R48" s="254">
        <f t="shared" si="4"/>
        <v>0</v>
      </c>
      <c r="T48" s="263">
        <v>0</v>
      </c>
    </row>
    <row r="49" spans="2:24" ht="13.8" x14ac:dyDescent="0.3">
      <c r="B49" s="264"/>
      <c r="C49" s="265" t="s">
        <v>163</v>
      </c>
      <c r="D49" s="349">
        <v>0</v>
      </c>
      <c r="E49" s="351"/>
      <c r="F49" s="356">
        <f t="shared" si="9"/>
        <v>0</v>
      </c>
      <c r="I49" s="259" t="str">
        <f t="shared" si="6"/>
        <v>Measure 38</v>
      </c>
      <c r="J49" s="260"/>
      <c r="K49" s="261"/>
      <c r="L49" s="250">
        <f t="shared" si="7"/>
        <v>0</v>
      </c>
      <c r="M49" s="267">
        <v>0</v>
      </c>
      <c r="N49" s="267">
        <v>0</v>
      </c>
      <c r="O49" s="3548">
        <f t="shared" si="1"/>
        <v>0</v>
      </c>
      <c r="P49" s="3549">
        <f t="shared" si="2"/>
        <v>0</v>
      </c>
      <c r="Q49" s="3549">
        <f t="shared" si="3"/>
        <v>0</v>
      </c>
      <c r="R49" s="254">
        <f t="shared" si="4"/>
        <v>0</v>
      </c>
      <c r="T49" s="263">
        <v>0</v>
      </c>
    </row>
    <row r="50" spans="2:24" ht="13.8" x14ac:dyDescent="0.3">
      <c r="B50" s="264"/>
      <c r="C50" s="265" t="s">
        <v>164</v>
      </c>
      <c r="D50" s="349">
        <v>0</v>
      </c>
      <c r="E50" s="351"/>
      <c r="F50" s="356">
        <f t="shared" si="9"/>
        <v>0</v>
      </c>
      <c r="I50" s="259" t="str">
        <f t="shared" si="6"/>
        <v>Measure 39</v>
      </c>
      <c r="J50" s="260"/>
      <c r="K50" s="261"/>
      <c r="L50" s="250">
        <f t="shared" si="7"/>
        <v>0</v>
      </c>
      <c r="M50" s="267">
        <v>0</v>
      </c>
      <c r="N50" s="267">
        <v>0</v>
      </c>
      <c r="O50" s="3548">
        <f t="shared" si="1"/>
        <v>0</v>
      </c>
      <c r="P50" s="3549">
        <f t="shared" si="2"/>
        <v>0</v>
      </c>
      <c r="Q50" s="3549">
        <f t="shared" si="3"/>
        <v>0</v>
      </c>
      <c r="R50" s="254">
        <f t="shared" si="4"/>
        <v>0</v>
      </c>
      <c r="T50" s="263">
        <v>0</v>
      </c>
    </row>
    <row r="51" spans="2:24" ht="14.4" thickBot="1" x14ac:dyDescent="0.35">
      <c r="B51" s="264"/>
      <c r="C51" s="265" t="s">
        <v>165</v>
      </c>
      <c r="D51" s="349">
        <v>0</v>
      </c>
      <c r="E51" s="351"/>
      <c r="F51" s="356">
        <f t="shared" si="9"/>
        <v>0</v>
      </c>
      <c r="I51" s="259" t="str">
        <f t="shared" si="6"/>
        <v>Measure 40</v>
      </c>
      <c r="J51" s="260"/>
      <c r="K51" s="261"/>
      <c r="L51" s="250">
        <f t="shared" si="7"/>
        <v>0</v>
      </c>
      <c r="M51" s="267">
        <v>0</v>
      </c>
      <c r="N51" s="267">
        <v>0</v>
      </c>
      <c r="O51" s="3548">
        <f t="shared" si="1"/>
        <v>0</v>
      </c>
      <c r="P51" s="3549">
        <f t="shared" si="2"/>
        <v>0</v>
      </c>
      <c r="Q51" s="3549">
        <f t="shared" si="3"/>
        <v>0</v>
      </c>
      <c r="R51" s="254">
        <f t="shared" si="4"/>
        <v>0</v>
      </c>
      <c r="T51" s="263">
        <v>0</v>
      </c>
    </row>
    <row r="52" spans="2:24" ht="14.4" thickBot="1" x14ac:dyDescent="0.35">
      <c r="B52" s="272">
        <v>6026700</v>
      </c>
      <c r="C52" s="244" t="s">
        <v>175</v>
      </c>
      <c r="D52" s="353">
        <f>S104</f>
        <v>9908812.5</v>
      </c>
      <c r="E52" s="354">
        <f>T104</f>
        <v>9983500</v>
      </c>
      <c r="F52" s="355">
        <f>U104</f>
        <v>19892312.5</v>
      </c>
      <c r="G52" s="271" t="s">
        <v>176</v>
      </c>
      <c r="I52" s="259" t="str">
        <f t="shared" si="6"/>
        <v>Measure 41</v>
      </c>
      <c r="J52" s="260"/>
      <c r="K52" s="261"/>
      <c r="L52" s="250">
        <f t="shared" si="7"/>
        <v>0</v>
      </c>
      <c r="M52" s="267">
        <v>0</v>
      </c>
      <c r="N52" s="267">
        <v>0</v>
      </c>
      <c r="O52" s="3548">
        <f t="shared" si="1"/>
        <v>0</v>
      </c>
      <c r="P52" s="3549">
        <f t="shared" si="2"/>
        <v>0</v>
      </c>
      <c r="Q52" s="3549">
        <f t="shared" si="3"/>
        <v>0</v>
      </c>
      <c r="R52" s="254">
        <f t="shared" si="4"/>
        <v>0</v>
      </c>
      <c r="T52" s="263">
        <v>0</v>
      </c>
    </row>
    <row r="53" spans="2:24" ht="14.4" thickBot="1" x14ac:dyDescent="0.35">
      <c r="B53" s="272">
        <v>0</v>
      </c>
      <c r="C53" s="244" t="s">
        <v>177</v>
      </c>
      <c r="D53" s="353">
        <v>0</v>
      </c>
      <c r="E53" s="354">
        <v>0</v>
      </c>
      <c r="F53" s="355">
        <v>0</v>
      </c>
      <c r="I53" s="259" t="str">
        <f t="shared" si="6"/>
        <v>Measure 42</v>
      </c>
      <c r="J53" s="260"/>
      <c r="K53" s="261"/>
      <c r="L53" s="250">
        <f t="shared" si="7"/>
        <v>0</v>
      </c>
      <c r="M53" s="267">
        <v>0</v>
      </c>
      <c r="N53" s="267">
        <v>0</v>
      </c>
      <c r="O53" s="3548">
        <f t="shared" si="1"/>
        <v>0</v>
      </c>
      <c r="P53" s="3549">
        <f t="shared" si="2"/>
        <v>0</v>
      </c>
      <c r="Q53" s="3549">
        <f t="shared" si="3"/>
        <v>0</v>
      </c>
      <c r="R53" s="254">
        <f t="shared" si="4"/>
        <v>0</v>
      </c>
      <c r="T53" s="263">
        <v>0</v>
      </c>
    </row>
    <row r="54" spans="2:24" ht="13.8" x14ac:dyDescent="0.3">
      <c r="B54" s="273">
        <f>B12+B17+B22+B27+B32+B37+B42+B47+B52+B53</f>
        <v>8750004.5250000004</v>
      </c>
      <c r="C54" s="274" t="s">
        <v>178</v>
      </c>
      <c r="D54" s="313">
        <f>D12+D17+D22+D27+D32+D37+D42+D47+D52+D53</f>
        <v>12738451.908</v>
      </c>
      <c r="E54" s="361">
        <f>E12+E17+E22+E27+E32+E37+E42+E47+E52+E53</f>
        <v>12542460.9915</v>
      </c>
      <c r="F54" s="313">
        <f>F12+F17+F22+F27+F32+F37+F42+F47+F52+F53</f>
        <v>25280912.899499997</v>
      </c>
      <c r="O54" s="362">
        <f>SUM(O12:O53)</f>
        <v>7911775</v>
      </c>
      <c r="P54" s="275">
        <f>SUM(P12:P53)</f>
        <v>72300500</v>
      </c>
      <c r="Q54" s="275">
        <f>SUM(Q12:Q53)</f>
        <v>70814750</v>
      </c>
      <c r="R54" s="275">
        <f>SUM(R12:R53)</f>
        <v>143115250</v>
      </c>
      <c r="T54" s="275">
        <f>SUM(T12:T53)</f>
        <v>81881400</v>
      </c>
    </row>
    <row r="55" spans="2:24" ht="13.8" x14ac:dyDescent="0.3">
      <c r="C55" s="274"/>
      <c r="D55" s="313"/>
      <c r="E55" s="361"/>
      <c r="F55" s="313"/>
    </row>
    <row r="56" spans="2:24" ht="13.8" x14ac:dyDescent="0.3">
      <c r="C56" s="274" t="s">
        <v>179</v>
      </c>
      <c r="D56" s="313">
        <f>D54-D52</f>
        <v>2829639.4079999998</v>
      </c>
      <c r="E56" s="361">
        <f>E54-E52</f>
        <v>2558960.9914999995</v>
      </c>
      <c r="F56" s="313">
        <f>F54-F52</f>
        <v>5388600.3994999975</v>
      </c>
    </row>
    <row r="57" spans="2:24" ht="13.8" x14ac:dyDescent="0.3">
      <c r="C57" s="274" t="s">
        <v>180</v>
      </c>
      <c r="D57" s="313">
        <f>D52</f>
        <v>9908812.5</v>
      </c>
      <c r="E57" s="361">
        <f>E52</f>
        <v>9983500</v>
      </c>
      <c r="F57" s="313">
        <f>F52</f>
        <v>19892312.5</v>
      </c>
      <c r="G57" s="335">
        <f>F57/(F56+F57)</f>
        <v>0.78685103576277216</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632" t="s">
        <v>456</v>
      </c>
      <c r="D62" s="4633">
        <v>43</v>
      </c>
      <c r="E62" s="4633" t="s">
        <v>206</v>
      </c>
      <c r="F62" s="4633" t="s">
        <v>211</v>
      </c>
      <c r="G62" s="4634">
        <v>25</v>
      </c>
      <c r="H62" s="4634">
        <v>12</v>
      </c>
      <c r="I62" s="4638">
        <v>2.676330039211347E-2</v>
      </c>
      <c r="J62" s="4633">
        <v>15</v>
      </c>
      <c r="K62" s="4633" t="s">
        <v>208</v>
      </c>
      <c r="L62" s="4636">
        <v>3.3004517432706413</v>
      </c>
      <c r="M62" s="4636">
        <v>1.8456031389541785</v>
      </c>
      <c r="N62" s="4637">
        <v>1243493.7383763934</v>
      </c>
      <c r="O62" s="4637">
        <v>2446083.9326409632</v>
      </c>
      <c r="P62" s="4637">
        <v>4104091.0765704946</v>
      </c>
      <c r="Q62" s="4637">
        <v>4514500.184227543</v>
      </c>
      <c r="R62" s="4635">
        <v>1.081</v>
      </c>
      <c r="S62" s="3545">
        <f>M12*$H62</f>
        <v>540000</v>
      </c>
      <c r="T62" s="3545">
        <f>N12*$H62</f>
        <v>660000</v>
      </c>
      <c r="U62" s="3545">
        <f>SUM(S62:T62)</f>
        <v>1200000</v>
      </c>
      <c r="V62" s="338">
        <f>U62/(U62+(I62*F$56))</f>
        <v>0.89271318542675848</v>
      </c>
      <c r="W62" s="338">
        <f t="shared" ref="W62:W80" si="10">(I62*((F$17*1.63)+F$27))/(U62+(I62*F$56))</f>
        <v>5.3467145417519707E-2</v>
      </c>
      <c r="X62" s="338">
        <f>(I62*F$37)/(U62+(I62*F$56))</f>
        <v>3.4515905421643331E-2</v>
      </c>
    </row>
    <row r="63" spans="2:24" ht="13.8" x14ac:dyDescent="0.3">
      <c r="B63" s="296"/>
      <c r="C63" s="4632" t="s">
        <v>457</v>
      </c>
      <c r="D63" s="4632">
        <v>120</v>
      </c>
      <c r="E63" s="4632" t="s">
        <v>206</v>
      </c>
      <c r="F63" s="4633" t="s">
        <v>211</v>
      </c>
      <c r="G63" s="4634">
        <v>14</v>
      </c>
      <c r="H63" s="4634">
        <v>12</v>
      </c>
      <c r="I63" s="4638">
        <v>1.9916874710410024E-2</v>
      </c>
      <c r="J63" s="4633">
        <v>15</v>
      </c>
      <c r="K63" s="4633" t="s">
        <v>208</v>
      </c>
      <c r="L63" s="4636">
        <v>7.7502468423104354</v>
      </c>
      <c r="M63" s="4636">
        <v>7.5766998765182585</v>
      </c>
      <c r="N63" s="4637">
        <v>399004.69844709238</v>
      </c>
      <c r="O63" s="4637">
        <v>448958.4449780822</v>
      </c>
      <c r="P63" s="4637">
        <v>3092384.9042066052</v>
      </c>
      <c r="Q63" s="4637">
        <v>3401623.3946272647</v>
      </c>
      <c r="R63" s="4635">
        <v>1.081</v>
      </c>
      <c r="S63" s="4070">
        <f t="shared" ref="S63:S103" si="11">M13*$H63</f>
        <v>144000</v>
      </c>
      <c r="T63" s="4070">
        <f t="shared" ref="T63:T103" si="12">N13*$H63</f>
        <v>180000</v>
      </c>
      <c r="U63" s="4074">
        <f t="shared" ref="U63:U103" si="13">SUM(S63:T63)</f>
        <v>324000</v>
      </c>
      <c r="V63" s="338">
        <f t="shared" ref="V63:V80" si="14">U63/(U63+(I63*F$56))</f>
        <v>0.7511753128533194</v>
      </c>
      <c r="W63" s="338">
        <f t="shared" si="10"/>
        <v>0.12400354865656137</v>
      </c>
      <c r="X63" s="338">
        <f t="shared" ref="X63:X80" si="15">(I63*F$37)/(U63+(I63*F$56))</f>
        <v>8.0050930790398059E-2</v>
      </c>
    </row>
    <row r="64" spans="2:24" ht="13.8" x14ac:dyDescent="0.3">
      <c r="B64" s="296"/>
      <c r="C64" s="4632" t="s">
        <v>458</v>
      </c>
      <c r="D64" s="4632">
        <v>16</v>
      </c>
      <c r="E64" s="4632" t="s">
        <v>206</v>
      </c>
      <c r="F64" s="4633" t="s">
        <v>211</v>
      </c>
      <c r="G64" s="4640">
        <v>3</v>
      </c>
      <c r="H64" s="4634">
        <v>1.5</v>
      </c>
      <c r="I64" s="4638">
        <v>0.42729994951625505</v>
      </c>
      <c r="J64" s="4633">
        <v>5</v>
      </c>
      <c r="K64" s="4633" t="s">
        <v>208</v>
      </c>
      <c r="L64" s="4636">
        <v>3.2974156623478295</v>
      </c>
      <c r="M64" s="4636">
        <v>2.1264897192756074</v>
      </c>
      <c r="N64" s="4637">
        <v>7237614.4113502502</v>
      </c>
      <c r="O64" s="4637">
        <v>12345211.543635173</v>
      </c>
      <c r="P64" s="4637">
        <v>23865423.11802068</v>
      </c>
      <c r="Q64" s="4637">
        <v>26251965.429822747</v>
      </c>
      <c r="R64" s="4635">
        <v>1.081</v>
      </c>
      <c r="S64" s="4070">
        <f t="shared" si="11"/>
        <v>2896312.5</v>
      </c>
      <c r="T64" s="4070">
        <f t="shared" si="12"/>
        <v>2625000</v>
      </c>
      <c r="U64" s="4074">
        <f t="shared" si="13"/>
        <v>5521312.5</v>
      </c>
      <c r="V64" s="338">
        <f t="shared" si="14"/>
        <v>0.70570174673508856</v>
      </c>
      <c r="W64" s="338">
        <f t="shared" si="10"/>
        <v>0.14666562304070521</v>
      </c>
      <c r="X64" s="338">
        <f t="shared" si="15"/>
        <v>9.4680513312397602E-2</v>
      </c>
    </row>
    <row r="65" spans="2:24" ht="13.8" x14ac:dyDescent="0.3">
      <c r="B65" s="296"/>
      <c r="C65" s="4632" t="s">
        <v>459</v>
      </c>
      <c r="D65" s="4633">
        <v>19</v>
      </c>
      <c r="E65" s="4632" t="s">
        <v>206</v>
      </c>
      <c r="F65" s="4633" t="s">
        <v>211</v>
      </c>
      <c r="G65" s="4634">
        <v>2</v>
      </c>
      <c r="H65" s="4634">
        <v>3</v>
      </c>
      <c r="I65" s="4638">
        <v>0.34162972593550528</v>
      </c>
      <c r="J65" s="4633">
        <v>7</v>
      </c>
      <c r="K65" s="4633" t="s">
        <v>208</v>
      </c>
      <c r="L65" s="4636">
        <v>3.0011478095952144</v>
      </c>
      <c r="M65" s="4636">
        <v>4.5203219901225822</v>
      </c>
      <c r="N65" s="4637">
        <v>8918507.0098585933</v>
      </c>
      <c r="O65" s="4637">
        <v>6513326.6213294538</v>
      </c>
      <c r="P65" s="4637">
        <v>26765757.777496684</v>
      </c>
      <c r="Q65" s="4637">
        <v>29442333.555246353</v>
      </c>
      <c r="R65" s="4635">
        <v>1.081</v>
      </c>
      <c r="S65" s="4070">
        <f t="shared" si="11"/>
        <v>3900000</v>
      </c>
      <c r="T65" s="4070">
        <f t="shared" si="12"/>
        <v>3900000</v>
      </c>
      <c r="U65" s="4074">
        <f t="shared" si="13"/>
        <v>7800000</v>
      </c>
      <c r="V65" s="338">
        <f t="shared" si="14"/>
        <v>0.80905258667300473</v>
      </c>
      <c r="W65" s="338">
        <f t="shared" si="10"/>
        <v>9.5159998514859817E-2</v>
      </c>
      <c r="X65" s="338">
        <f t="shared" si="15"/>
        <v>6.1430874661701503E-2</v>
      </c>
    </row>
    <row r="66" spans="2:24" ht="13.8" x14ac:dyDescent="0.3">
      <c r="B66" s="296"/>
      <c r="C66" s="4632" t="s">
        <v>460</v>
      </c>
      <c r="D66" s="4632">
        <v>35</v>
      </c>
      <c r="E66" s="4632" t="s">
        <v>206</v>
      </c>
      <c r="F66" s="4633" t="s">
        <v>211</v>
      </c>
      <c r="G66" s="4634">
        <v>40</v>
      </c>
      <c r="H66" s="4634">
        <v>10</v>
      </c>
      <c r="I66" s="4638">
        <v>5.3249977524360134E-3</v>
      </c>
      <c r="J66" s="4633">
        <v>18</v>
      </c>
      <c r="K66" s="4633" t="s">
        <v>208</v>
      </c>
      <c r="L66" s="4636">
        <v>3.6328661549149284</v>
      </c>
      <c r="M66" s="4636">
        <v>1.0795102800145018</v>
      </c>
      <c r="N66" s="4637">
        <v>267062.24330815295</v>
      </c>
      <c r="O66" s="4637">
        <v>988616.35986689478</v>
      </c>
      <c r="P66" s="4637">
        <v>970201.3849698446</v>
      </c>
      <c r="Q66" s="4637">
        <v>1067221.523466829</v>
      </c>
      <c r="R66" s="4635">
        <v>1.081</v>
      </c>
      <c r="S66" s="4070">
        <f t="shared" si="11"/>
        <v>110000</v>
      </c>
      <c r="T66" s="4070">
        <f t="shared" si="12"/>
        <v>150000</v>
      </c>
      <c r="U66" s="4074">
        <f t="shared" si="13"/>
        <v>260000</v>
      </c>
      <c r="V66" s="338">
        <f t="shared" si="14"/>
        <v>0.90060667458480603</v>
      </c>
      <c r="W66" s="338">
        <f t="shared" si="10"/>
        <v>4.9533369078426079E-2</v>
      </c>
      <c r="X66" s="338">
        <f t="shared" si="15"/>
        <v>3.1976442149202318E-2</v>
      </c>
    </row>
    <row r="67" spans="2:24" ht="13.8" x14ac:dyDescent="0.3">
      <c r="B67" s="296"/>
      <c r="C67" s="4632" t="s">
        <v>461</v>
      </c>
      <c r="D67" s="4642">
        <v>50</v>
      </c>
      <c r="E67" s="4632" t="s">
        <v>206</v>
      </c>
      <c r="F67" s="4633" t="s">
        <v>211</v>
      </c>
      <c r="G67" s="4634">
        <v>50</v>
      </c>
      <c r="H67" s="4634">
        <v>20</v>
      </c>
      <c r="I67" s="4638">
        <v>1.3831162993340296E-3</v>
      </c>
      <c r="J67" s="4633">
        <v>18</v>
      </c>
      <c r="K67" s="4633" t="s">
        <v>208</v>
      </c>
      <c r="L67" s="4636">
        <v>2.7191565634600985</v>
      </c>
      <c r="M67" s="4636">
        <v>1.2382337272310462</v>
      </c>
      <c r="N67" s="4637">
        <v>122528.27108524172</v>
      </c>
      <c r="O67" s="4637">
        <v>295978.77987340087</v>
      </c>
      <c r="P67" s="4637">
        <v>333173.55253085325</v>
      </c>
      <c r="Q67" s="4637">
        <v>366490.90778393851</v>
      </c>
      <c r="R67" s="4635">
        <v>1.081</v>
      </c>
      <c r="S67" s="4070">
        <f t="shared" si="11"/>
        <v>40000</v>
      </c>
      <c r="T67" s="4070">
        <f t="shared" si="12"/>
        <v>85000</v>
      </c>
      <c r="U67" s="4074">
        <f t="shared" si="13"/>
        <v>125000</v>
      </c>
      <c r="V67" s="338">
        <f t="shared" si="14"/>
        <v>0.9437305488869111</v>
      </c>
      <c r="W67" s="338">
        <f t="shared" si="10"/>
        <v>2.804228028574459E-2</v>
      </c>
      <c r="X67" s="338">
        <f t="shared" si="15"/>
        <v>1.810279353033906E-2</v>
      </c>
    </row>
    <row r="68" spans="2:24" ht="13.8" x14ac:dyDescent="0.3">
      <c r="B68" s="296"/>
      <c r="C68" s="4632" t="s">
        <v>462</v>
      </c>
      <c r="D68" s="4641">
        <v>20</v>
      </c>
      <c r="E68" s="4632" t="s">
        <v>206</v>
      </c>
      <c r="F68" s="4633" t="s">
        <v>211</v>
      </c>
      <c r="G68" s="4634">
        <v>1.7</v>
      </c>
      <c r="H68" s="4634">
        <v>1.7</v>
      </c>
      <c r="I68" s="4638">
        <v>1.5214279292674325E-2</v>
      </c>
      <c r="J68" s="4633">
        <v>5</v>
      </c>
      <c r="K68" s="4633" t="s">
        <v>208</v>
      </c>
      <c r="L68" s="4636">
        <v>3.5827833239461593</v>
      </c>
      <c r="M68" s="4636">
        <v>3.941061656340775</v>
      </c>
      <c r="N68" s="4637">
        <v>248828.5582558829</v>
      </c>
      <c r="O68" s="4637">
        <v>248828.5582558829</v>
      </c>
      <c r="P68" s="4637">
        <v>891498.80904074269</v>
      </c>
      <c r="Q68" s="4637">
        <v>980648.68994481687</v>
      </c>
      <c r="R68" s="4635">
        <v>1.081</v>
      </c>
      <c r="S68" s="4070">
        <f t="shared" si="11"/>
        <v>93500</v>
      </c>
      <c r="T68" s="4070">
        <f t="shared" si="12"/>
        <v>93500</v>
      </c>
      <c r="U68" s="4074">
        <f t="shared" si="13"/>
        <v>187000</v>
      </c>
      <c r="V68" s="338">
        <f t="shared" si="14"/>
        <v>0.6952094860436604</v>
      </c>
      <c r="W68" s="338">
        <f t="shared" si="10"/>
        <v>0.15189451561598191</v>
      </c>
      <c r="X68" s="338">
        <f t="shared" si="15"/>
        <v>9.8056043466080475E-2</v>
      </c>
    </row>
    <row r="69" spans="2:24" ht="13.8" x14ac:dyDescent="0.3">
      <c r="B69" s="296"/>
      <c r="C69" s="4632" t="s">
        <v>463</v>
      </c>
      <c r="D69" s="4632">
        <v>33</v>
      </c>
      <c r="E69" s="4632" t="s">
        <v>206</v>
      </c>
      <c r="F69" s="4632" t="s">
        <v>211</v>
      </c>
      <c r="G69" s="4634">
        <v>40</v>
      </c>
      <c r="H69" s="4634">
        <v>10</v>
      </c>
      <c r="I69" s="4638">
        <v>1.1410709469505743E-2</v>
      </c>
      <c r="J69" s="4633">
        <v>18</v>
      </c>
      <c r="K69" s="4633" t="s">
        <v>208</v>
      </c>
      <c r="L69" s="4636">
        <v>3.4497654935128494</v>
      </c>
      <c r="M69" s="4636">
        <v>1.0197797595259186</v>
      </c>
      <c r="N69" s="4637">
        <v>611922.06624047831</v>
      </c>
      <c r="O69" s="4637">
        <v>2277046.9506068057</v>
      </c>
      <c r="P69" s="4637">
        <v>2110987.6288354862</v>
      </c>
      <c r="Q69" s="4637">
        <v>2322086.3917190344</v>
      </c>
      <c r="R69" s="4635">
        <v>1.081</v>
      </c>
      <c r="S69" s="4070">
        <f t="shared" si="11"/>
        <v>250000</v>
      </c>
      <c r="T69" s="4070">
        <f t="shared" si="12"/>
        <v>350000</v>
      </c>
      <c r="U69" s="4074">
        <f t="shared" si="13"/>
        <v>600000</v>
      </c>
      <c r="V69" s="338">
        <f t="shared" si="14"/>
        <v>0.90704627066673593</v>
      </c>
      <c r="W69" s="338">
        <f t="shared" si="10"/>
        <v>4.632415067155856E-2</v>
      </c>
      <c r="X69" s="338">
        <f t="shared" si="15"/>
        <v>2.9904719820586279E-2</v>
      </c>
    </row>
    <row r="70" spans="2:24" ht="13.8" x14ac:dyDescent="0.3">
      <c r="B70" s="296"/>
      <c r="C70" s="4639" t="s">
        <v>464</v>
      </c>
      <c r="D70" s="4633">
        <v>16</v>
      </c>
      <c r="E70" s="4632" t="s">
        <v>206</v>
      </c>
      <c r="F70" s="4633" t="s">
        <v>211</v>
      </c>
      <c r="G70" s="4634">
        <v>3</v>
      </c>
      <c r="H70" s="4634">
        <v>2.5</v>
      </c>
      <c r="I70" s="4638">
        <v>0.11064930394672236</v>
      </c>
      <c r="J70" s="4633">
        <v>5</v>
      </c>
      <c r="K70" s="4633" t="s">
        <v>208</v>
      </c>
      <c r="L70" s="4636">
        <v>2.2636457417968594</v>
      </c>
      <c r="M70" s="4636">
        <v>2.1438144371260188</v>
      </c>
      <c r="N70" s="4637">
        <v>2864241.335292974</v>
      </c>
      <c r="O70" s="4637">
        <v>3326776.0253947317</v>
      </c>
      <c r="P70" s="4637">
        <v>6483627.7021144917</v>
      </c>
      <c r="Q70" s="4637">
        <v>7131990.4723259406</v>
      </c>
      <c r="R70" s="4635">
        <v>1.081</v>
      </c>
      <c r="S70" s="4070">
        <f t="shared" si="11"/>
        <v>1250000</v>
      </c>
      <c r="T70" s="4070">
        <f t="shared" si="12"/>
        <v>1250000</v>
      </c>
      <c r="U70" s="4074">
        <f t="shared" si="13"/>
        <v>2500000</v>
      </c>
      <c r="V70" s="338">
        <f t="shared" si="14"/>
        <v>0.80742967501103824</v>
      </c>
      <c r="W70" s="338">
        <f t="shared" si="10"/>
        <v>9.5968788058806168E-2</v>
      </c>
      <c r="X70" s="338">
        <f t="shared" si="15"/>
        <v>6.1952991621319835E-2</v>
      </c>
    </row>
    <row r="71" spans="2:24" ht="13.8" x14ac:dyDescent="0.3">
      <c r="B71" s="296"/>
      <c r="C71" s="4639" t="s">
        <v>465</v>
      </c>
      <c r="D71" s="4632">
        <v>19</v>
      </c>
      <c r="E71" s="4632" t="s">
        <v>206</v>
      </c>
      <c r="F71" s="4633" t="s">
        <v>211</v>
      </c>
      <c r="G71" s="4634">
        <v>2</v>
      </c>
      <c r="H71" s="4634">
        <v>4.5</v>
      </c>
      <c r="I71" s="4638">
        <v>3.9418814531019843E-2</v>
      </c>
      <c r="J71" s="4633">
        <v>5</v>
      </c>
      <c r="K71" s="4633" t="s">
        <v>208</v>
      </c>
      <c r="L71" s="4636">
        <v>1.5980965120891797</v>
      </c>
      <c r="M71" s="4636">
        <v>3.3807640647402044</v>
      </c>
      <c r="N71" s="4637">
        <v>1445339.7222291119</v>
      </c>
      <c r="O71" s="4637">
        <v>751537.68707647535</v>
      </c>
      <c r="P71" s="4637">
        <v>2309792.3688782877</v>
      </c>
      <c r="Q71" s="4637">
        <v>2540771.6057661166</v>
      </c>
      <c r="R71" s="4635">
        <v>1.081</v>
      </c>
      <c r="S71" s="4070">
        <f t="shared" si="11"/>
        <v>675000</v>
      </c>
      <c r="T71" s="4070">
        <f t="shared" si="12"/>
        <v>675000</v>
      </c>
      <c r="U71" s="4074">
        <f t="shared" si="13"/>
        <v>1350000</v>
      </c>
      <c r="V71" s="338">
        <f t="shared" si="14"/>
        <v>0.86404853064488174</v>
      </c>
      <c r="W71" s="338">
        <f t="shared" si="10"/>
        <v>6.775237955054858E-2</v>
      </c>
      <c r="X71" s="338">
        <f t="shared" si="15"/>
        <v>4.3737788999143816E-2</v>
      </c>
    </row>
    <row r="72" spans="2:24" ht="13.8" x14ac:dyDescent="0.3">
      <c r="B72" s="296"/>
      <c r="C72" s="4632" t="s">
        <v>1021</v>
      </c>
      <c r="D72" s="4632">
        <v>143</v>
      </c>
      <c r="E72" s="4632" t="s">
        <v>206</v>
      </c>
      <c r="F72" s="4632" t="s">
        <v>211</v>
      </c>
      <c r="G72" s="4634">
        <v>50</v>
      </c>
      <c r="H72" s="4634">
        <v>20</v>
      </c>
      <c r="I72" s="4638">
        <v>9.8892815402383105E-4</v>
      </c>
      <c r="J72" s="4633">
        <v>18</v>
      </c>
      <c r="K72" s="4633" t="s">
        <v>208</v>
      </c>
      <c r="L72" s="4636">
        <v>6.792584187963314</v>
      </c>
      <c r="M72" s="4636">
        <v>3.3409494607464936</v>
      </c>
      <c r="N72" s="4637">
        <v>28056.372475346543</v>
      </c>
      <c r="O72" s="4637">
        <v>62746.474232978369</v>
      </c>
      <c r="P72" s="4637">
        <v>190575.27204764806</v>
      </c>
      <c r="Q72" s="4637">
        <v>209632.79925241283</v>
      </c>
      <c r="R72" s="4635">
        <v>1.081</v>
      </c>
      <c r="S72" s="4070">
        <f t="shared" si="11"/>
        <v>10000</v>
      </c>
      <c r="T72" s="4070">
        <f t="shared" si="12"/>
        <v>15000</v>
      </c>
      <c r="U72" s="4074">
        <f t="shared" si="13"/>
        <v>25000</v>
      </c>
      <c r="V72" s="338">
        <f t="shared" si="14"/>
        <v>0.82429524791238107</v>
      </c>
      <c r="W72" s="338">
        <f t="shared" si="10"/>
        <v>8.7563710114672844E-2</v>
      </c>
      <c r="X72" s="338">
        <f t="shared" si="15"/>
        <v>5.6527063733907576E-2</v>
      </c>
    </row>
    <row r="73" spans="2:24" ht="13.8" x14ac:dyDescent="0.3">
      <c r="B73" s="296"/>
      <c r="C73" s="4632" t="s">
        <v>221</v>
      </c>
      <c r="D73" s="4632">
        <v>0</v>
      </c>
      <c r="E73" s="4632" t="s">
        <v>206</v>
      </c>
      <c r="F73" s="4632" t="s">
        <v>211</v>
      </c>
      <c r="G73" s="4634"/>
      <c r="H73" s="4634">
        <v>0</v>
      </c>
      <c r="I73" s="4638">
        <v>0</v>
      </c>
      <c r="J73" s="4633"/>
      <c r="K73" s="4633"/>
      <c r="L73" s="4636" t="e">
        <v>#DIV/0!</v>
      </c>
      <c r="M73" s="4636" t="e">
        <v>#DIV/0!</v>
      </c>
      <c r="N73" s="4637">
        <v>0</v>
      </c>
      <c r="O73" s="4637">
        <v>0</v>
      </c>
      <c r="P73" s="4637">
        <v>0</v>
      </c>
      <c r="Q73" s="4637">
        <v>0</v>
      </c>
      <c r="R73" s="4635">
        <v>1.081</v>
      </c>
      <c r="S73" s="4070">
        <f t="shared" si="11"/>
        <v>0</v>
      </c>
      <c r="T73" s="4070">
        <f t="shared" si="12"/>
        <v>0</v>
      </c>
      <c r="U73" s="4074">
        <f t="shared" si="13"/>
        <v>0</v>
      </c>
      <c r="V73" s="338" t="e">
        <f t="shared" si="14"/>
        <v>#DIV/0!</v>
      </c>
      <c r="W73" s="338" t="e">
        <f t="shared" si="10"/>
        <v>#DIV/0!</v>
      </c>
      <c r="X73" s="338" t="e">
        <f t="shared" si="15"/>
        <v>#DIV/0!</v>
      </c>
    </row>
    <row r="74" spans="2:24" ht="13.8" x14ac:dyDescent="0.3">
      <c r="B74" s="296"/>
      <c r="C74" s="4632" t="s">
        <v>222</v>
      </c>
      <c r="D74" s="4632">
        <v>0</v>
      </c>
      <c r="E74" s="4632" t="s">
        <v>206</v>
      </c>
      <c r="F74" s="4632" t="s">
        <v>211</v>
      </c>
      <c r="G74" s="4634"/>
      <c r="H74" s="4634"/>
      <c r="I74" s="4638">
        <v>0</v>
      </c>
      <c r="J74" s="4633"/>
      <c r="K74" s="4633"/>
      <c r="L74" s="4636" t="e">
        <v>#DIV/0!</v>
      </c>
      <c r="M74" s="4636" t="e">
        <v>#DIV/0!</v>
      </c>
      <c r="N74" s="4637">
        <v>0</v>
      </c>
      <c r="O74" s="4637">
        <v>0</v>
      </c>
      <c r="P74" s="4637">
        <v>0</v>
      </c>
      <c r="Q74" s="4637">
        <v>0</v>
      </c>
      <c r="R74" s="4635">
        <v>1.081</v>
      </c>
      <c r="S74" s="4070">
        <f t="shared" si="11"/>
        <v>0</v>
      </c>
      <c r="T74" s="4070">
        <f t="shared" si="12"/>
        <v>0</v>
      </c>
      <c r="U74" s="4074">
        <f t="shared" si="13"/>
        <v>0</v>
      </c>
      <c r="V74" s="338" t="e">
        <f t="shared" si="14"/>
        <v>#DIV/0!</v>
      </c>
      <c r="W74" s="338" t="e">
        <f t="shared" si="10"/>
        <v>#DIV/0!</v>
      </c>
      <c r="X74" s="338" t="e">
        <f t="shared" si="15"/>
        <v>#DIV/0!</v>
      </c>
    </row>
    <row r="75" spans="2:24" ht="13.8" x14ac:dyDescent="0.3">
      <c r="B75" s="296"/>
      <c r="C75" s="296" t="s">
        <v>223</v>
      </c>
      <c r="D75" s="296">
        <v>0</v>
      </c>
      <c r="E75" s="296" t="s">
        <v>206</v>
      </c>
      <c r="F75" s="296" t="s">
        <v>211</v>
      </c>
      <c r="G75" s="297"/>
      <c r="H75" s="297"/>
      <c r="I75" s="326">
        <v>0</v>
      </c>
      <c r="J75" s="267"/>
      <c r="K75" s="267"/>
      <c r="L75" s="291" t="e">
        <f t="shared" ref="L75:M103" si="16">P75/N75</f>
        <v>#DIV/0!</v>
      </c>
      <c r="M75" s="291" t="e">
        <f t="shared" si="16"/>
        <v>#DIV/0!</v>
      </c>
      <c r="N75" s="218">
        <f t="shared" ref="N75:N103" si="17">(($I75*$F$56)+$U75)/$R75</f>
        <v>0</v>
      </c>
      <c r="O75" s="218">
        <f t="shared" ref="O75:O103" si="18">(($I75*$F$56)+($G75*$O25))/$R75</f>
        <v>0</v>
      </c>
      <c r="P75" s="218">
        <f>IF(K75=0, 0, (HLOOKUP(K75,'[1]E-CESTDWO'!$A$5:$O$35,J75+1,FALSE)*R25))</f>
        <v>0</v>
      </c>
      <c r="Q75" s="218">
        <f>IF(K75=0, 0, (HLOOKUP(K75,'[1]E-CESTD'!$A$5:$O$35,J75+1,FALSE)*R25))</f>
        <v>0</v>
      </c>
      <c r="R75" s="292">
        <v>1.081</v>
      </c>
      <c r="S75" s="4070">
        <f t="shared" si="11"/>
        <v>0</v>
      </c>
      <c r="T75" s="4070">
        <f t="shared" si="12"/>
        <v>0</v>
      </c>
      <c r="U75" s="4074">
        <f t="shared" si="13"/>
        <v>0</v>
      </c>
      <c r="V75" s="338" t="e">
        <f t="shared" si="14"/>
        <v>#DIV/0!</v>
      </c>
      <c r="W75" s="338" t="e">
        <f t="shared" si="10"/>
        <v>#DIV/0!</v>
      </c>
      <c r="X75" s="338" t="e">
        <f t="shared" si="15"/>
        <v>#DIV/0!</v>
      </c>
    </row>
    <row r="76" spans="2:24" ht="13.8" x14ac:dyDescent="0.3">
      <c r="B76" s="296"/>
      <c r="C76" s="296" t="s">
        <v>224</v>
      </c>
      <c r="D76" s="296">
        <v>0</v>
      </c>
      <c r="E76" s="296" t="s">
        <v>206</v>
      </c>
      <c r="F76" s="296" t="s">
        <v>211</v>
      </c>
      <c r="G76" s="297"/>
      <c r="H76" s="297"/>
      <c r="I76" s="326">
        <v>0</v>
      </c>
      <c r="J76" s="267"/>
      <c r="K76" s="267"/>
      <c r="L76" s="291" t="e">
        <f t="shared" si="16"/>
        <v>#DIV/0!</v>
      </c>
      <c r="M76" s="291" t="e">
        <f t="shared" si="16"/>
        <v>#DIV/0!</v>
      </c>
      <c r="N76" s="218">
        <f t="shared" si="17"/>
        <v>0</v>
      </c>
      <c r="O76" s="218">
        <f t="shared" si="18"/>
        <v>0</v>
      </c>
      <c r="P76" s="218">
        <f>IF(K76=0, 0, (HLOOKUP(K76,'[1]E-CESTDWO'!$A$5:$O$35,J76+1,FALSE)*R26))</f>
        <v>0</v>
      </c>
      <c r="Q76" s="218">
        <f>IF(K76=0, 0, (HLOOKUP(K76,'[1]E-CESTD'!$A$5:$O$35,J76+1,FALSE)*R26))</f>
        <v>0</v>
      </c>
      <c r="R76" s="292">
        <v>1.081</v>
      </c>
      <c r="S76" s="4070">
        <f t="shared" si="11"/>
        <v>0</v>
      </c>
      <c r="T76" s="4070">
        <f t="shared" si="12"/>
        <v>0</v>
      </c>
      <c r="U76" s="4074">
        <f t="shared" si="13"/>
        <v>0</v>
      </c>
      <c r="V76" s="338" t="e">
        <f t="shared" si="14"/>
        <v>#DIV/0!</v>
      </c>
      <c r="W76" s="338" t="e">
        <f t="shared" si="10"/>
        <v>#DIV/0!</v>
      </c>
      <c r="X76" s="338" t="e">
        <f t="shared" si="15"/>
        <v>#DIV/0!</v>
      </c>
    </row>
    <row r="77" spans="2:24" ht="13.8" x14ac:dyDescent="0.3">
      <c r="B77" s="296"/>
      <c r="C77" s="296" t="s">
        <v>225</v>
      </c>
      <c r="D77" s="296">
        <v>0</v>
      </c>
      <c r="E77" s="296" t="s">
        <v>206</v>
      </c>
      <c r="F77" s="296" t="s">
        <v>211</v>
      </c>
      <c r="G77" s="297"/>
      <c r="H77" s="297"/>
      <c r="I77" s="326">
        <v>0</v>
      </c>
      <c r="J77" s="267"/>
      <c r="K77" s="267"/>
      <c r="L77" s="291" t="e">
        <f t="shared" si="16"/>
        <v>#DIV/0!</v>
      </c>
      <c r="M77" s="291" t="e">
        <f t="shared" si="16"/>
        <v>#DIV/0!</v>
      </c>
      <c r="N77" s="218">
        <f t="shared" si="17"/>
        <v>0</v>
      </c>
      <c r="O77" s="218">
        <f t="shared" si="18"/>
        <v>0</v>
      </c>
      <c r="P77" s="218">
        <f>IF(K77=0, 0, (HLOOKUP(K77,'[1]E-CESTDWO'!$A$5:$O$35,J77+1,FALSE)*R27))</f>
        <v>0</v>
      </c>
      <c r="Q77" s="218">
        <f>IF(K77=0, 0, (HLOOKUP(K77,'[1]E-CESTD'!$A$5:$O$35,J77+1,FALSE)*R27))</f>
        <v>0</v>
      </c>
      <c r="R77" s="292">
        <v>1.081</v>
      </c>
      <c r="S77" s="4070">
        <f t="shared" si="11"/>
        <v>0</v>
      </c>
      <c r="T77" s="4070">
        <f t="shared" si="12"/>
        <v>0</v>
      </c>
      <c r="U77" s="4074">
        <f t="shared" si="13"/>
        <v>0</v>
      </c>
      <c r="V77" s="338" t="e">
        <f t="shared" si="14"/>
        <v>#DIV/0!</v>
      </c>
      <c r="W77" s="338" t="e">
        <f t="shared" si="10"/>
        <v>#DIV/0!</v>
      </c>
      <c r="X77" s="338" t="e">
        <f t="shared" si="15"/>
        <v>#DIV/0!</v>
      </c>
    </row>
    <row r="78" spans="2:24" ht="13.8" x14ac:dyDescent="0.3">
      <c r="B78" s="296"/>
      <c r="C78" s="296" t="s">
        <v>226</v>
      </c>
      <c r="D78" s="296">
        <v>0</v>
      </c>
      <c r="E78" s="296" t="s">
        <v>206</v>
      </c>
      <c r="F78" s="296" t="s">
        <v>211</v>
      </c>
      <c r="G78" s="297"/>
      <c r="H78" s="297"/>
      <c r="I78" s="326">
        <v>0</v>
      </c>
      <c r="J78" s="267"/>
      <c r="K78" s="267"/>
      <c r="L78" s="291" t="e">
        <f t="shared" si="16"/>
        <v>#DIV/0!</v>
      </c>
      <c r="M78" s="291" t="e">
        <f t="shared" si="16"/>
        <v>#DIV/0!</v>
      </c>
      <c r="N78" s="218">
        <f t="shared" si="17"/>
        <v>0</v>
      </c>
      <c r="O78" s="218">
        <f t="shared" si="18"/>
        <v>0</v>
      </c>
      <c r="P78" s="218">
        <f>IF(K78=0, 0, (HLOOKUP(K78,'[1]E-CESTDWO'!$A$5:$O$35,J78+1,FALSE)*R28))</f>
        <v>0</v>
      </c>
      <c r="Q78" s="218">
        <f>IF(K78=0, 0, (HLOOKUP(K78,'[1]E-CESTD'!$A$5:$O$35,J78+1,FALSE)*R28))</f>
        <v>0</v>
      </c>
      <c r="R78" s="292">
        <v>1.081</v>
      </c>
      <c r="S78" s="4070">
        <f t="shared" si="11"/>
        <v>0</v>
      </c>
      <c r="T78" s="4070">
        <f t="shared" si="12"/>
        <v>0</v>
      </c>
      <c r="U78" s="4074">
        <f t="shared" si="13"/>
        <v>0</v>
      </c>
      <c r="V78" s="338" t="e">
        <f t="shared" si="14"/>
        <v>#DIV/0!</v>
      </c>
      <c r="W78" s="338" t="e">
        <f t="shared" si="10"/>
        <v>#DIV/0!</v>
      </c>
      <c r="X78" s="338" t="e">
        <f t="shared" si="15"/>
        <v>#DIV/0!</v>
      </c>
    </row>
    <row r="79" spans="2:24" ht="13.8" x14ac:dyDescent="0.3">
      <c r="B79" s="296"/>
      <c r="C79" s="296" t="s">
        <v>227</v>
      </c>
      <c r="D79" s="296">
        <v>0</v>
      </c>
      <c r="E79" s="296" t="s">
        <v>206</v>
      </c>
      <c r="F79" s="296" t="s">
        <v>211</v>
      </c>
      <c r="G79" s="297"/>
      <c r="H79" s="297"/>
      <c r="I79" s="326">
        <v>0</v>
      </c>
      <c r="J79" s="267"/>
      <c r="K79" s="267"/>
      <c r="L79" s="291" t="e">
        <f t="shared" si="16"/>
        <v>#DIV/0!</v>
      </c>
      <c r="M79" s="291" t="e">
        <f t="shared" si="16"/>
        <v>#DIV/0!</v>
      </c>
      <c r="N79" s="218">
        <f t="shared" si="17"/>
        <v>0</v>
      </c>
      <c r="O79" s="218">
        <f t="shared" si="18"/>
        <v>0</v>
      </c>
      <c r="P79" s="218">
        <f>IF(K79=0, 0, (HLOOKUP(K79,'[1]E-CESTDWO'!$A$5:$O$35,J79+1,FALSE)*R29))</f>
        <v>0</v>
      </c>
      <c r="Q79" s="218">
        <f>IF(K79=0, 0, (HLOOKUP(K79,'[1]E-CESTD'!$A$5:$O$35,J79+1,FALSE)*R29))</f>
        <v>0</v>
      </c>
      <c r="R79" s="292">
        <v>1.081</v>
      </c>
      <c r="S79" s="4070">
        <f t="shared" si="11"/>
        <v>0</v>
      </c>
      <c r="T79" s="4070">
        <f t="shared" si="12"/>
        <v>0</v>
      </c>
      <c r="U79" s="4074">
        <f t="shared" si="13"/>
        <v>0</v>
      </c>
      <c r="V79" s="338" t="e">
        <f t="shared" si="14"/>
        <v>#DIV/0!</v>
      </c>
      <c r="W79" s="338" t="e">
        <f t="shared" si="10"/>
        <v>#DIV/0!</v>
      </c>
      <c r="X79" s="338" t="e">
        <f t="shared" si="15"/>
        <v>#DIV/0!</v>
      </c>
    </row>
    <row r="80" spans="2:24" ht="13.8" x14ac:dyDescent="0.3">
      <c r="B80" s="296"/>
      <c r="C80" s="296" t="s">
        <v>228</v>
      </c>
      <c r="D80" s="296">
        <v>0</v>
      </c>
      <c r="E80" s="296" t="s">
        <v>206</v>
      </c>
      <c r="F80" s="296" t="s">
        <v>211</v>
      </c>
      <c r="G80" s="297"/>
      <c r="H80" s="297"/>
      <c r="I80" s="326">
        <v>0</v>
      </c>
      <c r="J80" s="267"/>
      <c r="K80" s="267"/>
      <c r="L80" s="291" t="e">
        <f t="shared" si="16"/>
        <v>#DIV/0!</v>
      </c>
      <c r="M80" s="291" t="e">
        <f t="shared" si="16"/>
        <v>#DIV/0!</v>
      </c>
      <c r="N80" s="218">
        <f t="shared" si="17"/>
        <v>0</v>
      </c>
      <c r="O80" s="218">
        <f t="shared" si="18"/>
        <v>0</v>
      </c>
      <c r="P80" s="218">
        <f>IF(K80=0, 0, (HLOOKUP(K80,'[1]E-CESTDWO'!$A$5:$O$35,J80+1,FALSE)*R30))</f>
        <v>0</v>
      </c>
      <c r="Q80" s="218">
        <f>IF(K80=0, 0, (HLOOKUP(K80,'[1]E-CESTD'!$A$5:$O$35,J80+1,FALSE)*R30))</f>
        <v>0</v>
      </c>
      <c r="R80" s="292">
        <v>1.081</v>
      </c>
      <c r="S80" s="4070">
        <f t="shared" si="11"/>
        <v>0</v>
      </c>
      <c r="T80" s="4070">
        <f t="shared" si="12"/>
        <v>0</v>
      </c>
      <c r="U80" s="4074">
        <f t="shared" si="13"/>
        <v>0</v>
      </c>
      <c r="V80" s="338" t="e">
        <f t="shared" si="14"/>
        <v>#DIV/0!</v>
      </c>
      <c r="W80" s="338" t="e">
        <f t="shared" si="10"/>
        <v>#DIV/0!</v>
      </c>
      <c r="X80" s="338" t="e">
        <f t="shared" si="15"/>
        <v>#DIV/0!</v>
      </c>
    </row>
    <row r="81" spans="2:21" ht="13.8" x14ac:dyDescent="0.3">
      <c r="B81" s="296"/>
      <c r="C81" s="296" t="s">
        <v>229</v>
      </c>
      <c r="D81" s="296">
        <v>0</v>
      </c>
      <c r="E81" s="296" t="s">
        <v>206</v>
      </c>
      <c r="F81" s="296" t="s">
        <v>211</v>
      </c>
      <c r="G81" s="297"/>
      <c r="H81" s="297"/>
      <c r="I81" s="326">
        <v>0</v>
      </c>
      <c r="J81" s="267"/>
      <c r="K81" s="267"/>
      <c r="L81" s="291" t="e">
        <f t="shared" si="16"/>
        <v>#DIV/0!</v>
      </c>
      <c r="M81" s="291" t="e">
        <f t="shared" si="16"/>
        <v>#DIV/0!</v>
      </c>
      <c r="N81" s="218">
        <f t="shared" si="17"/>
        <v>0</v>
      </c>
      <c r="O81" s="218">
        <f t="shared" si="18"/>
        <v>0</v>
      </c>
      <c r="P81" s="218">
        <f>IF(K81=0, 0, (HLOOKUP(K81,'[1]E-CESTDWO'!$A$5:$O$35,J81+1,FALSE)*R31))</f>
        <v>0</v>
      </c>
      <c r="Q81" s="218">
        <f>IF(K81=0, 0, (HLOOKUP(K81,'[1]E-CESTD'!$A$5:$O$35,J81+1,FALSE)*R31))</f>
        <v>0</v>
      </c>
      <c r="R81" s="292">
        <v>1.081</v>
      </c>
      <c r="S81" s="4070">
        <f t="shared" si="11"/>
        <v>0</v>
      </c>
      <c r="T81" s="4070">
        <f t="shared" si="12"/>
        <v>0</v>
      </c>
      <c r="U81" s="4074">
        <f t="shared" si="13"/>
        <v>0</v>
      </c>
    </row>
    <row r="82" spans="2:21" ht="13.8" x14ac:dyDescent="0.3">
      <c r="B82" s="296"/>
      <c r="C82" s="296" t="s">
        <v>230</v>
      </c>
      <c r="D82" s="299">
        <v>0</v>
      </c>
      <c r="E82" s="296" t="s">
        <v>206</v>
      </c>
      <c r="F82" s="296" t="s">
        <v>211</v>
      </c>
      <c r="G82" s="297"/>
      <c r="H82" s="297"/>
      <c r="I82" s="326">
        <v>0</v>
      </c>
      <c r="J82" s="267"/>
      <c r="K82" s="267"/>
      <c r="L82" s="291" t="e">
        <f t="shared" si="16"/>
        <v>#DIV/0!</v>
      </c>
      <c r="M82" s="291" t="e">
        <f t="shared" si="16"/>
        <v>#DIV/0!</v>
      </c>
      <c r="N82" s="218">
        <f t="shared" si="17"/>
        <v>0</v>
      </c>
      <c r="O82" s="218">
        <f t="shared" si="18"/>
        <v>0</v>
      </c>
      <c r="P82" s="218">
        <f>IF(K82=0, 0, (HLOOKUP(K82,'[1]E-CESTDWO'!$A$5:$O$35,J82+1,FALSE)*R32))</f>
        <v>0</v>
      </c>
      <c r="Q82" s="218">
        <f>IF(K82=0, 0, (HLOOKUP(K82,'[1]E-CESTD'!$A$5:$O$35,J82+1,FALSE)*R32))</f>
        <v>0</v>
      </c>
      <c r="R82" s="292">
        <v>1.081</v>
      </c>
      <c r="S82" s="4070">
        <f t="shared" si="11"/>
        <v>0</v>
      </c>
      <c r="T82" s="4070">
        <f t="shared" si="12"/>
        <v>0</v>
      </c>
      <c r="U82" s="4074">
        <f t="shared" si="13"/>
        <v>0</v>
      </c>
    </row>
    <row r="83" spans="2:21" ht="13.8" x14ac:dyDescent="0.3">
      <c r="B83" s="296"/>
      <c r="C83" s="296" t="s">
        <v>231</v>
      </c>
      <c r="D83" s="299">
        <v>0</v>
      </c>
      <c r="E83" s="296" t="s">
        <v>206</v>
      </c>
      <c r="F83" s="296" t="s">
        <v>211</v>
      </c>
      <c r="G83" s="297"/>
      <c r="H83" s="297"/>
      <c r="I83" s="326">
        <v>0</v>
      </c>
      <c r="J83" s="267"/>
      <c r="K83" s="267"/>
      <c r="L83" s="291" t="e">
        <f t="shared" si="16"/>
        <v>#DIV/0!</v>
      </c>
      <c r="M83" s="291" t="e">
        <f t="shared" si="16"/>
        <v>#DIV/0!</v>
      </c>
      <c r="N83" s="218">
        <f t="shared" si="17"/>
        <v>0</v>
      </c>
      <c r="O83" s="218">
        <f t="shared" si="18"/>
        <v>0</v>
      </c>
      <c r="P83" s="218">
        <f>IF(K83=0, 0, (HLOOKUP(K83,'[1]E-CESTDWO'!$A$5:$O$35,J83+1,FALSE)*R33))</f>
        <v>0</v>
      </c>
      <c r="Q83" s="218">
        <f>IF(K83=0, 0, (HLOOKUP(K83,'[1]E-CESTD'!$A$5:$O$35,J83+1,FALSE)*R33))</f>
        <v>0</v>
      </c>
      <c r="R83" s="292">
        <v>1.081</v>
      </c>
      <c r="S83" s="4070">
        <f t="shared" si="11"/>
        <v>0</v>
      </c>
      <c r="T83" s="4070">
        <f t="shared" si="12"/>
        <v>0</v>
      </c>
      <c r="U83" s="4074">
        <f t="shared" si="13"/>
        <v>0</v>
      </c>
    </row>
    <row r="84" spans="2:21" ht="13.8" x14ac:dyDescent="0.3">
      <c r="B84" s="296"/>
      <c r="C84" s="296" t="s">
        <v>232</v>
      </c>
      <c r="D84" s="299">
        <v>0</v>
      </c>
      <c r="E84" s="296" t="s">
        <v>206</v>
      </c>
      <c r="F84" s="296" t="s">
        <v>211</v>
      </c>
      <c r="G84" s="297"/>
      <c r="H84" s="297"/>
      <c r="I84" s="326">
        <v>0</v>
      </c>
      <c r="J84" s="267"/>
      <c r="K84" s="267"/>
      <c r="L84" s="291" t="e">
        <f t="shared" si="16"/>
        <v>#DIV/0!</v>
      </c>
      <c r="M84" s="291" t="e">
        <f t="shared" si="16"/>
        <v>#DIV/0!</v>
      </c>
      <c r="N84" s="218">
        <f t="shared" si="17"/>
        <v>0</v>
      </c>
      <c r="O84" s="218">
        <f t="shared" si="18"/>
        <v>0</v>
      </c>
      <c r="P84" s="218">
        <f>IF(K84=0, 0, (HLOOKUP(K84,'[1]E-CESTDWO'!$A$5:$O$35,J84+1,FALSE)*R34))</f>
        <v>0</v>
      </c>
      <c r="Q84" s="218">
        <f>IF(K84=0, 0, (HLOOKUP(K84,'[1]E-CESTD'!$A$5:$O$35,J84+1,FALSE)*R34))</f>
        <v>0</v>
      </c>
      <c r="R84" s="292">
        <v>1.081</v>
      </c>
      <c r="S84" s="4070">
        <f t="shared" si="11"/>
        <v>0</v>
      </c>
      <c r="T84" s="4070">
        <f t="shared" si="12"/>
        <v>0</v>
      </c>
      <c r="U84" s="4074">
        <f t="shared" si="13"/>
        <v>0</v>
      </c>
    </row>
    <row r="85" spans="2:21" ht="13.8" x14ac:dyDescent="0.3">
      <c r="B85" s="296"/>
      <c r="C85" s="296" t="s">
        <v>233</v>
      </c>
      <c r="D85" s="299">
        <v>0</v>
      </c>
      <c r="E85" s="296" t="s">
        <v>206</v>
      </c>
      <c r="F85" s="296" t="s">
        <v>211</v>
      </c>
      <c r="G85" s="297"/>
      <c r="H85" s="297"/>
      <c r="I85" s="326">
        <v>0</v>
      </c>
      <c r="J85" s="267"/>
      <c r="K85" s="267"/>
      <c r="L85" s="291" t="e">
        <f t="shared" si="16"/>
        <v>#DIV/0!</v>
      </c>
      <c r="M85" s="291" t="e">
        <f t="shared" si="16"/>
        <v>#DIV/0!</v>
      </c>
      <c r="N85" s="218">
        <f t="shared" si="17"/>
        <v>0</v>
      </c>
      <c r="O85" s="218">
        <f t="shared" si="18"/>
        <v>0</v>
      </c>
      <c r="P85" s="218">
        <f>IF(K85=0, 0, (HLOOKUP(K85,'[1]E-CESTDWO'!$A$5:$O$35,J85+1,FALSE)*R35))</f>
        <v>0</v>
      </c>
      <c r="Q85" s="218">
        <f>IF(K85=0, 0, (HLOOKUP(K85,'[1]E-CESTD'!$A$5:$O$35,J85+1,FALSE)*R35))</f>
        <v>0</v>
      </c>
      <c r="R85" s="292">
        <v>1.081</v>
      </c>
      <c r="S85" s="4070">
        <f t="shared" si="11"/>
        <v>0</v>
      </c>
      <c r="T85" s="4070">
        <f t="shared" si="12"/>
        <v>0</v>
      </c>
      <c r="U85" s="4074">
        <f t="shared" si="13"/>
        <v>0</v>
      </c>
    </row>
    <row r="86" spans="2:21" ht="13.8" x14ac:dyDescent="0.3">
      <c r="B86" s="296"/>
      <c r="C86" s="296" t="s">
        <v>234</v>
      </c>
      <c r="D86" s="299">
        <v>0</v>
      </c>
      <c r="E86" s="296" t="s">
        <v>206</v>
      </c>
      <c r="F86" s="296" t="s">
        <v>211</v>
      </c>
      <c r="G86" s="297"/>
      <c r="H86" s="297"/>
      <c r="I86" s="326">
        <v>0</v>
      </c>
      <c r="J86" s="267"/>
      <c r="K86" s="267"/>
      <c r="L86" s="291" t="e">
        <f t="shared" si="16"/>
        <v>#DIV/0!</v>
      </c>
      <c r="M86" s="291" t="e">
        <f t="shared" si="16"/>
        <v>#DIV/0!</v>
      </c>
      <c r="N86" s="218">
        <f t="shared" si="17"/>
        <v>0</v>
      </c>
      <c r="O86" s="218">
        <f t="shared" si="18"/>
        <v>0</v>
      </c>
      <c r="P86" s="218">
        <f>IF(K86=0, 0, (HLOOKUP(K86,'[1]E-CESTDWO'!$A$5:$O$35,J86+1,FALSE)*R36))</f>
        <v>0</v>
      </c>
      <c r="Q86" s="218">
        <f>IF(K86=0, 0, (HLOOKUP(K86,'[1]E-CESTD'!$A$5:$O$35,J86+1,FALSE)*R36))</f>
        <v>0</v>
      </c>
      <c r="R86" s="292">
        <v>1.081</v>
      </c>
      <c r="S86" s="4070">
        <f t="shared" si="11"/>
        <v>0</v>
      </c>
      <c r="T86" s="4070">
        <f t="shared" si="12"/>
        <v>0</v>
      </c>
      <c r="U86" s="4074">
        <f t="shared" si="13"/>
        <v>0</v>
      </c>
    </row>
    <row r="87" spans="2:21" ht="13.8" x14ac:dyDescent="0.3">
      <c r="B87" s="296"/>
      <c r="C87" s="296" t="s">
        <v>235</v>
      </c>
      <c r="D87" s="299">
        <v>0</v>
      </c>
      <c r="E87" s="296" t="s">
        <v>206</v>
      </c>
      <c r="F87" s="296" t="s">
        <v>211</v>
      </c>
      <c r="G87" s="297"/>
      <c r="H87" s="297"/>
      <c r="I87" s="326">
        <v>0</v>
      </c>
      <c r="J87" s="267"/>
      <c r="K87" s="267"/>
      <c r="L87" s="291" t="e">
        <f t="shared" si="16"/>
        <v>#DIV/0!</v>
      </c>
      <c r="M87" s="291" t="e">
        <f t="shared" si="16"/>
        <v>#DIV/0!</v>
      </c>
      <c r="N87" s="218">
        <f t="shared" si="17"/>
        <v>0</v>
      </c>
      <c r="O87" s="218">
        <f t="shared" si="18"/>
        <v>0</v>
      </c>
      <c r="P87" s="218">
        <f>IF(K87=0, 0, (HLOOKUP(K87,'[1]E-CESTDWO'!$A$5:$O$35,J87+1,FALSE)*R37))</f>
        <v>0</v>
      </c>
      <c r="Q87" s="218">
        <f>IF(K87=0, 0, (HLOOKUP(K87,'[1]E-CESTD'!$A$5:$O$35,J87+1,FALSE)*R37))</f>
        <v>0</v>
      </c>
      <c r="R87" s="292">
        <v>1.081</v>
      </c>
      <c r="S87" s="4070">
        <f t="shared" si="11"/>
        <v>0</v>
      </c>
      <c r="T87" s="4070">
        <f t="shared" si="12"/>
        <v>0</v>
      </c>
      <c r="U87" s="4074">
        <f t="shared" si="13"/>
        <v>0</v>
      </c>
    </row>
    <row r="88" spans="2:21" ht="13.8" x14ac:dyDescent="0.3">
      <c r="B88" s="296"/>
      <c r="C88" s="296" t="s">
        <v>236</v>
      </c>
      <c r="D88" s="299">
        <v>0</v>
      </c>
      <c r="E88" s="296" t="s">
        <v>206</v>
      </c>
      <c r="F88" s="296" t="s">
        <v>211</v>
      </c>
      <c r="G88" s="297"/>
      <c r="H88" s="297"/>
      <c r="I88" s="326">
        <v>0</v>
      </c>
      <c r="J88" s="267"/>
      <c r="K88" s="267"/>
      <c r="L88" s="291" t="e">
        <f t="shared" si="16"/>
        <v>#DIV/0!</v>
      </c>
      <c r="M88" s="291" t="e">
        <f t="shared" si="16"/>
        <v>#DIV/0!</v>
      </c>
      <c r="N88" s="218">
        <f t="shared" si="17"/>
        <v>0</v>
      </c>
      <c r="O88" s="218">
        <f t="shared" si="18"/>
        <v>0</v>
      </c>
      <c r="P88" s="218">
        <f>IF(K88=0, 0, (HLOOKUP(K88,'[1]E-CESTDWO'!$A$5:$O$35,J88+1,FALSE)*R38))</f>
        <v>0</v>
      </c>
      <c r="Q88" s="218">
        <f>IF(K88=0, 0, (HLOOKUP(K88,'[1]E-CESTD'!$A$5:$O$35,J88+1,FALSE)*R38))</f>
        <v>0</v>
      </c>
      <c r="R88" s="292">
        <v>1.081</v>
      </c>
      <c r="S88" s="4070">
        <f t="shared" si="11"/>
        <v>0</v>
      </c>
      <c r="T88" s="4070">
        <f t="shared" si="12"/>
        <v>0</v>
      </c>
      <c r="U88" s="4074">
        <f t="shared" si="13"/>
        <v>0</v>
      </c>
    </row>
    <row r="89" spans="2:21" ht="13.8" x14ac:dyDescent="0.3">
      <c r="B89" s="296"/>
      <c r="C89" s="296" t="s">
        <v>237</v>
      </c>
      <c r="D89" s="299">
        <v>0</v>
      </c>
      <c r="E89" s="296" t="s">
        <v>206</v>
      </c>
      <c r="F89" s="296" t="s">
        <v>211</v>
      </c>
      <c r="G89" s="297"/>
      <c r="H89" s="297"/>
      <c r="I89" s="326">
        <v>0</v>
      </c>
      <c r="J89" s="267"/>
      <c r="K89" s="267"/>
      <c r="L89" s="291" t="e">
        <f t="shared" si="16"/>
        <v>#DIV/0!</v>
      </c>
      <c r="M89" s="291" t="e">
        <f t="shared" si="16"/>
        <v>#DIV/0!</v>
      </c>
      <c r="N89" s="218">
        <f t="shared" si="17"/>
        <v>0</v>
      </c>
      <c r="O89" s="218">
        <f t="shared" si="18"/>
        <v>0</v>
      </c>
      <c r="P89" s="218">
        <f>IF(K89=0, 0, (HLOOKUP(K89,'[1]E-CESTDWO'!$A$5:$O$35,J89+1,FALSE)*R39))</f>
        <v>0</v>
      </c>
      <c r="Q89" s="218">
        <f>IF(K89=0, 0, (HLOOKUP(K89,'[1]E-CESTD'!$A$5:$O$35,J89+1,FALSE)*R39))</f>
        <v>0</v>
      </c>
      <c r="R89" s="292">
        <v>1.081</v>
      </c>
      <c r="S89" s="4070">
        <f t="shared" si="11"/>
        <v>0</v>
      </c>
      <c r="T89" s="4070">
        <f t="shared" si="12"/>
        <v>0</v>
      </c>
      <c r="U89" s="4074">
        <f t="shared" si="13"/>
        <v>0</v>
      </c>
    </row>
    <row r="90" spans="2:21" ht="13.8" x14ac:dyDescent="0.3">
      <c r="B90" s="296"/>
      <c r="C90" s="296" t="s">
        <v>238</v>
      </c>
      <c r="D90" s="299">
        <v>0</v>
      </c>
      <c r="E90" s="296" t="s">
        <v>206</v>
      </c>
      <c r="F90" s="296" t="s">
        <v>211</v>
      </c>
      <c r="G90" s="297"/>
      <c r="H90" s="297"/>
      <c r="I90" s="326">
        <v>0</v>
      </c>
      <c r="J90" s="267"/>
      <c r="K90" s="267"/>
      <c r="L90" s="291" t="e">
        <f t="shared" si="16"/>
        <v>#DIV/0!</v>
      </c>
      <c r="M90" s="291" t="e">
        <f t="shared" si="16"/>
        <v>#DIV/0!</v>
      </c>
      <c r="N90" s="218">
        <f t="shared" si="17"/>
        <v>0</v>
      </c>
      <c r="O90" s="218">
        <f t="shared" si="18"/>
        <v>0</v>
      </c>
      <c r="P90" s="218">
        <f>IF(K90=0, 0, (HLOOKUP(K90,'[1]E-CESTDWO'!$A$5:$O$35,J90+1,FALSE)*R40))</f>
        <v>0</v>
      </c>
      <c r="Q90" s="218">
        <f>IF(K90=0, 0, (HLOOKUP(K90,'[1]E-CESTD'!$A$5:$O$35,J90+1,FALSE)*R40))</f>
        <v>0</v>
      </c>
      <c r="R90" s="292">
        <v>1.081</v>
      </c>
      <c r="S90" s="4070">
        <f t="shared" si="11"/>
        <v>0</v>
      </c>
      <c r="T90" s="4070">
        <f t="shared" si="12"/>
        <v>0</v>
      </c>
      <c r="U90" s="4074">
        <f t="shared" si="13"/>
        <v>0</v>
      </c>
    </row>
    <row r="91" spans="2:21" ht="13.8" x14ac:dyDescent="0.3">
      <c r="B91" s="296"/>
      <c r="C91" s="296" t="s">
        <v>239</v>
      </c>
      <c r="D91" s="299">
        <v>0</v>
      </c>
      <c r="E91" s="296" t="s">
        <v>206</v>
      </c>
      <c r="F91" s="296" t="s">
        <v>211</v>
      </c>
      <c r="G91" s="297"/>
      <c r="H91" s="297"/>
      <c r="I91" s="326">
        <v>0</v>
      </c>
      <c r="J91" s="267"/>
      <c r="K91" s="267"/>
      <c r="L91" s="291" t="e">
        <f t="shared" si="16"/>
        <v>#DIV/0!</v>
      </c>
      <c r="M91" s="291" t="e">
        <f t="shared" si="16"/>
        <v>#DIV/0!</v>
      </c>
      <c r="N91" s="218">
        <f t="shared" si="17"/>
        <v>0</v>
      </c>
      <c r="O91" s="218">
        <f t="shared" si="18"/>
        <v>0</v>
      </c>
      <c r="P91" s="218">
        <f>IF(K91=0, 0, (HLOOKUP(K91,'[1]E-CESTDWO'!$A$5:$O$35,J91+1,FALSE)*R41))</f>
        <v>0</v>
      </c>
      <c r="Q91" s="218">
        <f>IF(K91=0, 0, (HLOOKUP(K91,'[1]E-CESTD'!$A$5:$O$35,J91+1,FALSE)*R41))</f>
        <v>0</v>
      </c>
      <c r="R91" s="292">
        <v>1.081</v>
      </c>
      <c r="S91" s="4070">
        <f t="shared" si="11"/>
        <v>0</v>
      </c>
      <c r="T91" s="4070">
        <f t="shared" si="12"/>
        <v>0</v>
      </c>
      <c r="U91" s="4074">
        <f t="shared" si="13"/>
        <v>0</v>
      </c>
    </row>
    <row r="92" spans="2:21" ht="13.8" x14ac:dyDescent="0.3">
      <c r="B92" s="296"/>
      <c r="C92" s="296" t="s">
        <v>240</v>
      </c>
      <c r="D92" s="299">
        <v>0</v>
      </c>
      <c r="E92" s="296" t="s">
        <v>206</v>
      </c>
      <c r="F92" s="296" t="s">
        <v>211</v>
      </c>
      <c r="G92" s="297"/>
      <c r="H92" s="297"/>
      <c r="I92" s="326">
        <v>0</v>
      </c>
      <c r="J92" s="267"/>
      <c r="K92" s="267"/>
      <c r="L92" s="291" t="e">
        <f t="shared" si="16"/>
        <v>#DIV/0!</v>
      </c>
      <c r="M92" s="291" t="e">
        <f t="shared" si="16"/>
        <v>#DIV/0!</v>
      </c>
      <c r="N92" s="218">
        <f t="shared" si="17"/>
        <v>0</v>
      </c>
      <c r="O92" s="218">
        <f t="shared" si="18"/>
        <v>0</v>
      </c>
      <c r="P92" s="218">
        <f>IF(K92=0, 0, (HLOOKUP(K92,'[1]E-CESTDWO'!$A$5:$O$35,J92+1,FALSE)*R42))</f>
        <v>0</v>
      </c>
      <c r="Q92" s="218">
        <f>IF(K92=0, 0, (HLOOKUP(K92,'[1]E-CESTD'!$A$5:$O$35,J92+1,FALSE)*R42))</f>
        <v>0</v>
      </c>
      <c r="R92" s="292">
        <v>1.081</v>
      </c>
      <c r="S92" s="4070">
        <f t="shared" si="11"/>
        <v>0</v>
      </c>
      <c r="T92" s="4070">
        <f t="shared" si="12"/>
        <v>0</v>
      </c>
      <c r="U92" s="4074">
        <f t="shared" si="13"/>
        <v>0</v>
      </c>
    </row>
    <row r="93" spans="2:21" ht="13.8" x14ac:dyDescent="0.3">
      <c r="B93" s="296"/>
      <c r="C93" s="296" t="s">
        <v>241</v>
      </c>
      <c r="D93" s="299">
        <v>0</v>
      </c>
      <c r="E93" s="296" t="s">
        <v>206</v>
      </c>
      <c r="F93" s="296" t="s">
        <v>211</v>
      </c>
      <c r="G93" s="297"/>
      <c r="H93" s="297"/>
      <c r="I93" s="326">
        <v>0</v>
      </c>
      <c r="J93" s="267"/>
      <c r="K93" s="267"/>
      <c r="L93" s="291" t="e">
        <f t="shared" si="16"/>
        <v>#DIV/0!</v>
      </c>
      <c r="M93" s="291" t="e">
        <f t="shared" si="16"/>
        <v>#DIV/0!</v>
      </c>
      <c r="N93" s="218">
        <f t="shared" si="17"/>
        <v>0</v>
      </c>
      <c r="O93" s="218">
        <f t="shared" si="18"/>
        <v>0</v>
      </c>
      <c r="P93" s="218">
        <f>IF(K93=0, 0, (HLOOKUP(K93,'[1]E-CESTDWO'!$A$5:$O$35,J93+1,FALSE)*R43))</f>
        <v>0</v>
      </c>
      <c r="Q93" s="218">
        <f>IF(K93=0, 0, (HLOOKUP(K93,'[1]E-CESTD'!$A$5:$O$35,J93+1,FALSE)*R43))</f>
        <v>0</v>
      </c>
      <c r="R93" s="292">
        <v>1.081</v>
      </c>
      <c r="S93" s="4070">
        <f t="shared" si="11"/>
        <v>0</v>
      </c>
      <c r="T93" s="4070">
        <f t="shared" si="12"/>
        <v>0</v>
      </c>
      <c r="U93" s="4074">
        <f t="shared" si="13"/>
        <v>0</v>
      </c>
    </row>
    <row r="94" spans="2:21" ht="13.8" x14ac:dyDescent="0.3">
      <c r="B94" s="296"/>
      <c r="C94" s="296" t="s">
        <v>242</v>
      </c>
      <c r="D94" s="299">
        <v>0</v>
      </c>
      <c r="E94" s="296" t="s">
        <v>206</v>
      </c>
      <c r="F94" s="296" t="s">
        <v>211</v>
      </c>
      <c r="G94" s="297"/>
      <c r="H94" s="297"/>
      <c r="I94" s="326">
        <v>0</v>
      </c>
      <c r="J94" s="267"/>
      <c r="K94" s="267"/>
      <c r="L94" s="291" t="e">
        <f t="shared" si="16"/>
        <v>#DIV/0!</v>
      </c>
      <c r="M94" s="291" t="e">
        <f t="shared" si="16"/>
        <v>#DIV/0!</v>
      </c>
      <c r="N94" s="218">
        <f t="shared" si="17"/>
        <v>0</v>
      </c>
      <c r="O94" s="218">
        <f t="shared" si="18"/>
        <v>0</v>
      </c>
      <c r="P94" s="218">
        <f>IF(K94=0, 0, (HLOOKUP(K94,'[1]E-CESTDWO'!$A$5:$O$35,J94+1,FALSE)*R44))</f>
        <v>0</v>
      </c>
      <c r="Q94" s="218">
        <f>IF(K94=0, 0, (HLOOKUP(K94,'[1]E-CESTD'!$A$5:$O$35,J94+1,FALSE)*R44))</f>
        <v>0</v>
      </c>
      <c r="R94" s="292">
        <v>1.081</v>
      </c>
      <c r="S94" s="4070">
        <f t="shared" si="11"/>
        <v>0</v>
      </c>
      <c r="T94" s="4070">
        <f t="shared" si="12"/>
        <v>0</v>
      </c>
      <c r="U94" s="4074">
        <f t="shared" si="13"/>
        <v>0</v>
      </c>
    </row>
    <row r="95" spans="2:21" ht="13.8" x14ac:dyDescent="0.3">
      <c r="B95" s="296"/>
      <c r="C95" s="296" t="s">
        <v>243</v>
      </c>
      <c r="D95" s="299">
        <v>0</v>
      </c>
      <c r="E95" s="296" t="s">
        <v>206</v>
      </c>
      <c r="F95" s="296" t="s">
        <v>211</v>
      </c>
      <c r="G95" s="297"/>
      <c r="H95" s="297"/>
      <c r="I95" s="326">
        <v>0</v>
      </c>
      <c r="J95" s="267"/>
      <c r="K95" s="267"/>
      <c r="L95" s="291" t="e">
        <f t="shared" si="16"/>
        <v>#DIV/0!</v>
      </c>
      <c r="M95" s="291" t="e">
        <f t="shared" si="16"/>
        <v>#DIV/0!</v>
      </c>
      <c r="N95" s="218">
        <f t="shared" si="17"/>
        <v>0</v>
      </c>
      <c r="O95" s="218">
        <f t="shared" si="18"/>
        <v>0</v>
      </c>
      <c r="P95" s="218">
        <f>IF(K95=0, 0, (HLOOKUP(K95,'[1]E-CESTDWO'!$A$5:$O$35,J95+1,FALSE)*R45))</f>
        <v>0</v>
      </c>
      <c r="Q95" s="218">
        <f>IF(K95=0, 0, (HLOOKUP(K95,'[1]E-CESTD'!$A$5:$O$35,J95+1,FALSE)*R45))</f>
        <v>0</v>
      </c>
      <c r="R95" s="292">
        <v>1.081</v>
      </c>
      <c r="S95" s="4070">
        <f t="shared" si="11"/>
        <v>0</v>
      </c>
      <c r="T95" s="4070">
        <f t="shared" si="12"/>
        <v>0</v>
      </c>
      <c r="U95" s="4074">
        <f t="shared" si="13"/>
        <v>0</v>
      </c>
    </row>
    <row r="96" spans="2:21" ht="13.8" x14ac:dyDescent="0.3">
      <c r="B96" s="296"/>
      <c r="C96" s="296" t="s">
        <v>244</v>
      </c>
      <c r="D96" s="299">
        <v>0</v>
      </c>
      <c r="E96" s="296" t="s">
        <v>206</v>
      </c>
      <c r="F96" s="296" t="s">
        <v>211</v>
      </c>
      <c r="G96" s="297"/>
      <c r="H96" s="297"/>
      <c r="I96" s="326">
        <v>0</v>
      </c>
      <c r="J96" s="267"/>
      <c r="K96" s="267"/>
      <c r="L96" s="291" t="e">
        <f t="shared" si="16"/>
        <v>#DIV/0!</v>
      </c>
      <c r="M96" s="291" t="e">
        <f t="shared" si="16"/>
        <v>#DIV/0!</v>
      </c>
      <c r="N96" s="218">
        <f t="shared" si="17"/>
        <v>0</v>
      </c>
      <c r="O96" s="218">
        <f t="shared" si="18"/>
        <v>0</v>
      </c>
      <c r="P96" s="218">
        <f>IF(K96=0, 0, (HLOOKUP(K96,'[1]E-CESTDWO'!$A$5:$O$35,J96+1,FALSE)*R46))</f>
        <v>0</v>
      </c>
      <c r="Q96" s="218">
        <f>IF(K96=0, 0, (HLOOKUP(K96,'[1]E-CESTD'!$A$5:$O$35,J96+1,FALSE)*R46))</f>
        <v>0</v>
      </c>
      <c r="R96" s="292">
        <v>1.081</v>
      </c>
      <c r="S96" s="4070">
        <f t="shared" si="11"/>
        <v>0</v>
      </c>
      <c r="T96" s="4070">
        <f t="shared" si="12"/>
        <v>0</v>
      </c>
      <c r="U96" s="4074">
        <f t="shared" si="13"/>
        <v>0</v>
      </c>
    </row>
    <row r="97" spans="2:21" ht="13.8" x14ac:dyDescent="0.3">
      <c r="B97" s="296"/>
      <c r="C97" s="296" t="s">
        <v>245</v>
      </c>
      <c r="D97" s="299">
        <v>0</v>
      </c>
      <c r="E97" s="296" t="s">
        <v>206</v>
      </c>
      <c r="F97" s="296" t="s">
        <v>211</v>
      </c>
      <c r="G97" s="297"/>
      <c r="H97" s="297"/>
      <c r="I97" s="326">
        <v>0</v>
      </c>
      <c r="J97" s="267"/>
      <c r="K97" s="267"/>
      <c r="L97" s="291" t="e">
        <f t="shared" si="16"/>
        <v>#DIV/0!</v>
      </c>
      <c r="M97" s="291" t="e">
        <f t="shared" si="16"/>
        <v>#DIV/0!</v>
      </c>
      <c r="N97" s="218">
        <f t="shared" si="17"/>
        <v>0</v>
      </c>
      <c r="O97" s="218">
        <f t="shared" si="18"/>
        <v>0</v>
      </c>
      <c r="P97" s="218">
        <f>IF(K97=0, 0, (HLOOKUP(K97,'[1]E-CESTDWO'!$A$5:$O$35,J97+1,FALSE)*R47))</f>
        <v>0</v>
      </c>
      <c r="Q97" s="218">
        <f>IF(K97=0, 0, (HLOOKUP(K97,'[1]E-CESTD'!$A$5:$O$35,J97+1,FALSE)*R47))</f>
        <v>0</v>
      </c>
      <c r="R97" s="292">
        <v>1.081</v>
      </c>
      <c r="S97" s="4070">
        <f t="shared" si="11"/>
        <v>0</v>
      </c>
      <c r="T97" s="4070">
        <f t="shared" si="12"/>
        <v>0</v>
      </c>
      <c r="U97" s="4074">
        <f t="shared" si="13"/>
        <v>0</v>
      </c>
    </row>
    <row r="98" spans="2:21" ht="13.8" x14ac:dyDescent="0.3">
      <c r="B98" s="296"/>
      <c r="C98" s="296" t="s">
        <v>246</v>
      </c>
      <c r="D98" s="299">
        <v>0</v>
      </c>
      <c r="E98" s="296" t="s">
        <v>206</v>
      </c>
      <c r="F98" s="296" t="s">
        <v>211</v>
      </c>
      <c r="G98" s="297"/>
      <c r="H98" s="297"/>
      <c r="I98" s="326">
        <v>0</v>
      </c>
      <c r="J98" s="267"/>
      <c r="K98" s="267"/>
      <c r="L98" s="291" t="e">
        <f t="shared" si="16"/>
        <v>#DIV/0!</v>
      </c>
      <c r="M98" s="291" t="e">
        <f t="shared" si="16"/>
        <v>#DIV/0!</v>
      </c>
      <c r="N98" s="218">
        <f t="shared" si="17"/>
        <v>0</v>
      </c>
      <c r="O98" s="218">
        <f t="shared" si="18"/>
        <v>0</v>
      </c>
      <c r="P98" s="218">
        <f>IF(K98=0, 0, (HLOOKUP(K98,'[1]E-CESTDWO'!$A$5:$O$35,J98+1,FALSE)*R48))</f>
        <v>0</v>
      </c>
      <c r="Q98" s="218">
        <f>IF(K98=0, 0, (HLOOKUP(K98,'[1]E-CESTD'!$A$5:$O$35,J98+1,FALSE)*R48))</f>
        <v>0</v>
      </c>
      <c r="R98" s="292">
        <v>1.081</v>
      </c>
      <c r="S98" s="4070">
        <f t="shared" si="11"/>
        <v>0</v>
      </c>
      <c r="T98" s="4070">
        <f t="shared" si="12"/>
        <v>0</v>
      </c>
      <c r="U98" s="4074">
        <f t="shared" si="13"/>
        <v>0</v>
      </c>
    </row>
    <row r="99" spans="2:21" ht="13.8" x14ac:dyDescent="0.3">
      <c r="B99" s="296"/>
      <c r="C99" s="296" t="s">
        <v>247</v>
      </c>
      <c r="D99" s="299">
        <v>0</v>
      </c>
      <c r="E99" s="296" t="s">
        <v>206</v>
      </c>
      <c r="F99" s="296" t="s">
        <v>211</v>
      </c>
      <c r="G99" s="297"/>
      <c r="H99" s="297"/>
      <c r="I99" s="326">
        <v>0</v>
      </c>
      <c r="J99" s="267"/>
      <c r="K99" s="267"/>
      <c r="L99" s="291" t="e">
        <f t="shared" si="16"/>
        <v>#DIV/0!</v>
      </c>
      <c r="M99" s="291" t="e">
        <f t="shared" si="16"/>
        <v>#DIV/0!</v>
      </c>
      <c r="N99" s="218">
        <f t="shared" si="17"/>
        <v>0</v>
      </c>
      <c r="O99" s="218">
        <f t="shared" si="18"/>
        <v>0</v>
      </c>
      <c r="P99" s="218">
        <f>IF(K99=0, 0, (HLOOKUP(K99,'[1]E-CESTDWO'!$A$5:$O$35,J99+1,FALSE)*R49))</f>
        <v>0</v>
      </c>
      <c r="Q99" s="218">
        <f>IF(K99=0, 0, (HLOOKUP(K99,'[1]E-CESTD'!$A$5:$O$35,J99+1,FALSE)*R49))</f>
        <v>0</v>
      </c>
      <c r="R99" s="292">
        <v>1.081</v>
      </c>
      <c r="S99" s="4070">
        <f t="shared" si="11"/>
        <v>0</v>
      </c>
      <c r="T99" s="4070">
        <f t="shared" si="12"/>
        <v>0</v>
      </c>
      <c r="U99" s="4074">
        <f t="shared" si="13"/>
        <v>0</v>
      </c>
    </row>
    <row r="100" spans="2:21" ht="13.8" x14ac:dyDescent="0.3">
      <c r="B100" s="296"/>
      <c r="C100" s="296" t="s">
        <v>248</v>
      </c>
      <c r="D100" s="299">
        <v>0</v>
      </c>
      <c r="E100" s="296" t="s">
        <v>206</v>
      </c>
      <c r="F100" s="296" t="s">
        <v>211</v>
      </c>
      <c r="G100" s="297"/>
      <c r="H100" s="297"/>
      <c r="I100" s="326">
        <v>0</v>
      </c>
      <c r="J100" s="267"/>
      <c r="K100" s="267"/>
      <c r="L100" s="291" t="e">
        <f t="shared" si="16"/>
        <v>#DIV/0!</v>
      </c>
      <c r="M100" s="291" t="e">
        <f t="shared" si="16"/>
        <v>#DIV/0!</v>
      </c>
      <c r="N100" s="218">
        <f t="shared" si="17"/>
        <v>0</v>
      </c>
      <c r="O100" s="218">
        <f t="shared" si="18"/>
        <v>0</v>
      </c>
      <c r="P100" s="218">
        <f>IF(K100=0, 0, (HLOOKUP(K100,'[1]E-CESTDWO'!$A$5:$O$35,J100+1,FALSE)*R50))</f>
        <v>0</v>
      </c>
      <c r="Q100" s="218">
        <f>IF(K100=0, 0, (HLOOKUP(K100,'[1]E-CESTD'!$A$5:$O$35,J100+1,FALSE)*R50))</f>
        <v>0</v>
      </c>
      <c r="R100" s="292">
        <v>1.081</v>
      </c>
      <c r="S100" s="4070">
        <f t="shared" si="11"/>
        <v>0</v>
      </c>
      <c r="T100" s="4070">
        <f t="shared" si="12"/>
        <v>0</v>
      </c>
      <c r="U100" s="4074">
        <f t="shared" si="13"/>
        <v>0</v>
      </c>
    </row>
    <row r="101" spans="2:21" ht="13.8" x14ac:dyDescent="0.3">
      <c r="B101" s="296"/>
      <c r="C101" s="296" t="s">
        <v>249</v>
      </c>
      <c r="D101" s="299">
        <v>0</v>
      </c>
      <c r="E101" s="296" t="s">
        <v>206</v>
      </c>
      <c r="F101" s="296" t="s">
        <v>211</v>
      </c>
      <c r="G101" s="297"/>
      <c r="H101" s="297"/>
      <c r="I101" s="326">
        <v>0</v>
      </c>
      <c r="J101" s="267"/>
      <c r="K101" s="267"/>
      <c r="L101" s="291" t="e">
        <f t="shared" si="16"/>
        <v>#DIV/0!</v>
      </c>
      <c r="M101" s="291" t="e">
        <f t="shared" si="16"/>
        <v>#DIV/0!</v>
      </c>
      <c r="N101" s="218">
        <f t="shared" si="17"/>
        <v>0</v>
      </c>
      <c r="O101" s="218">
        <f t="shared" si="18"/>
        <v>0</v>
      </c>
      <c r="P101" s="218">
        <f>IF(K101=0, 0, (HLOOKUP(K101,'[1]E-CESTDWO'!$A$5:$O$35,J101+1,FALSE)*R51))</f>
        <v>0</v>
      </c>
      <c r="Q101" s="218">
        <f>IF(K101=0, 0, (HLOOKUP(K101,'[1]E-CESTD'!$A$5:$O$35,J101+1,FALSE)*R51))</f>
        <v>0</v>
      </c>
      <c r="R101" s="292">
        <v>1.081</v>
      </c>
      <c r="S101" s="4070">
        <f t="shared" si="11"/>
        <v>0</v>
      </c>
      <c r="T101" s="4070">
        <f t="shared" si="12"/>
        <v>0</v>
      </c>
      <c r="U101" s="4074">
        <f t="shared" si="13"/>
        <v>0</v>
      </c>
    </row>
    <row r="102" spans="2:21" ht="13.8" x14ac:dyDescent="0.3">
      <c r="B102" s="296"/>
      <c r="C102" s="296" t="s">
        <v>250</v>
      </c>
      <c r="D102" s="299">
        <v>0</v>
      </c>
      <c r="E102" s="296" t="s">
        <v>206</v>
      </c>
      <c r="F102" s="296" t="s">
        <v>211</v>
      </c>
      <c r="G102" s="297"/>
      <c r="H102" s="297"/>
      <c r="I102" s="326">
        <v>0</v>
      </c>
      <c r="J102" s="267"/>
      <c r="K102" s="267"/>
      <c r="L102" s="291" t="e">
        <f t="shared" si="16"/>
        <v>#DIV/0!</v>
      </c>
      <c r="M102" s="291" t="e">
        <f t="shared" si="16"/>
        <v>#DIV/0!</v>
      </c>
      <c r="N102" s="218">
        <f t="shared" si="17"/>
        <v>0</v>
      </c>
      <c r="O102" s="218">
        <f t="shared" si="18"/>
        <v>0</v>
      </c>
      <c r="P102" s="218">
        <f>IF(K102=0, 0, (HLOOKUP(K102,'[1]E-CESTDWO'!$A$5:$O$35,J102+1,FALSE)*R52))</f>
        <v>0</v>
      </c>
      <c r="Q102" s="218">
        <f>IF(K102=0, 0, (HLOOKUP(K102,'[1]E-CESTD'!$A$5:$O$35,J102+1,FALSE)*R52))</f>
        <v>0</v>
      </c>
      <c r="R102" s="292">
        <v>1.081</v>
      </c>
      <c r="S102" s="4070">
        <f t="shared" si="11"/>
        <v>0</v>
      </c>
      <c r="T102" s="4070">
        <f t="shared" si="12"/>
        <v>0</v>
      </c>
      <c r="U102" s="4074">
        <f t="shared" si="13"/>
        <v>0</v>
      </c>
    </row>
    <row r="103" spans="2:21" ht="14.4" thickBot="1" x14ac:dyDescent="0.35">
      <c r="B103" s="296"/>
      <c r="C103" s="296" t="s">
        <v>251</v>
      </c>
      <c r="D103" s="299">
        <v>0</v>
      </c>
      <c r="E103" s="296" t="s">
        <v>206</v>
      </c>
      <c r="F103" s="296" t="s">
        <v>211</v>
      </c>
      <c r="G103" s="297"/>
      <c r="H103" s="297"/>
      <c r="I103" s="326">
        <v>0</v>
      </c>
      <c r="J103" s="267"/>
      <c r="K103" s="267"/>
      <c r="L103" s="291" t="e">
        <f t="shared" si="16"/>
        <v>#DIV/0!</v>
      </c>
      <c r="M103" s="291" t="e">
        <f t="shared" si="16"/>
        <v>#DIV/0!</v>
      </c>
      <c r="N103" s="218">
        <f t="shared" si="17"/>
        <v>0</v>
      </c>
      <c r="O103" s="218">
        <f t="shared" si="18"/>
        <v>0</v>
      </c>
      <c r="P103" s="218">
        <f>IF(K103=0, 0, (HLOOKUP(K103,'[1]E-CESTDWO'!$A$5:$O$35,J103+1,FALSE)*R53))</f>
        <v>0</v>
      </c>
      <c r="Q103" s="218">
        <f>IF(K103=0, 0, (HLOOKUP(K103,'[1]E-CESTD'!$A$5:$O$35,J103+1,FALSE)*R53))</f>
        <v>0</v>
      </c>
      <c r="R103" s="292">
        <v>1.081</v>
      </c>
      <c r="S103" s="4070">
        <f t="shared" si="11"/>
        <v>0</v>
      </c>
      <c r="T103" s="4070">
        <f t="shared" si="12"/>
        <v>0</v>
      </c>
      <c r="U103" s="4074">
        <f t="shared" si="13"/>
        <v>0</v>
      </c>
    </row>
    <row r="104" spans="2:21" ht="14.4" thickBot="1" x14ac:dyDescent="0.35">
      <c r="G104" s="300">
        <f>SUMPRODUCT(G62:G103,O12:O53)</f>
        <v>26722625</v>
      </c>
      <c r="H104" s="301">
        <f>U104</f>
        <v>19892312.5</v>
      </c>
      <c r="I104" s="302">
        <f>SUM(I62:I103)</f>
        <v>0.99999999999999989</v>
      </c>
      <c r="J104" s="303">
        <f>ROUND(SUMPRODUCT(J62:J103,R12:R53)/R54,0)</f>
        <v>7</v>
      </c>
      <c r="K104" s="274"/>
      <c r="L104" s="304">
        <f>P104/N104</f>
        <v>3.0409515867365684</v>
      </c>
      <c r="M104" s="305">
        <f>Q104/O104</f>
        <v>2.6335287539910759</v>
      </c>
      <c r="N104" s="306">
        <f>SUM(N62:N103)</f>
        <v>23386598.426919512</v>
      </c>
      <c r="O104" s="306">
        <f>SUM(O62:O103)</f>
        <v>29705111.377890836</v>
      </c>
      <c r="P104" s="306">
        <f>SUM(P62:P103)</f>
        <v>71117513.594711825</v>
      </c>
      <c r="Q104" s="306">
        <f>SUM(Q62:Q103)</f>
        <v>78229264.954182982</v>
      </c>
      <c r="R104" s="307"/>
      <c r="S104" s="308">
        <f>SUM(S62:S103)</f>
        <v>9908812.5</v>
      </c>
      <c r="T104" s="308">
        <f>SUM(T62:T103)</f>
        <v>9983500</v>
      </c>
      <c r="U104" s="308">
        <f>SUM(U62:U103)</f>
        <v>19892312.5</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4" right="0.28000000000000003" top="0.37" bottom="0.35" header="0.3" footer="0.3"/>
  <pageSetup paperSize="17" scale="51" orientation="landscape"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4.88671875" style="3369" customWidth="1"/>
    <col min="2" max="2" width="19.6640625" customWidth="1"/>
    <col min="3" max="3" width="38.44140625" customWidth="1"/>
    <col min="4" max="4" width="17.44140625" style="19" customWidth="1"/>
    <col min="5" max="6" width="17.441406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5.332031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6.109375"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5.332031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6.109375"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5.332031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6.109375"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5.332031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6.109375"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5.332031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6.109375"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5.332031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6.109375"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5.332031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6.109375"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5.332031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6.109375"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5.332031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6.109375"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5.332031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6.109375"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5.332031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6.109375"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5.332031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6.109375"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5.332031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6.109375"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5.332031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6.109375"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5.332031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6.109375"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5.332031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6.109375"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5.332031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6.109375"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5.332031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6.109375"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5.332031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6.109375"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5.332031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6.109375"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5.332031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6.109375"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5.332031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6.109375"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5.332031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6.109375"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5.332031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6.109375"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5.332031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6.109375"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5.332031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6.109375"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5.332031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6.109375"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5.332031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6.109375"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5.332031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6.109375"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5.332031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6.109375"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5.332031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6.109375"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5.332031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6.109375"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5.332031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6.109375"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5.332031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6.109375"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5.332031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6.109375"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5.332031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6.109375"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5.332031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6.109375"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5.332031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6.109375"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5.332031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6.109375"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5.332031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6.109375"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5.332031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6.109375"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5.332031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6.109375"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5.332031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6.109375"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5.332031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6.109375"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5.332031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6.109375"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5.332031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6.109375"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5.332031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6.109375"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5.332031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6.109375"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5.332031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6.109375"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5.332031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6.109375"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5.332031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6.109375"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5.332031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6.109375"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5.332031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6.109375"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5.332031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6.109375"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5.332031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6.109375"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5.332031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6.109375"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5.332031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6.109375"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5.332031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6.109375"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5.332031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6.109375"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5.332031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6.109375"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5.332031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6.109375"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5.332031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6.109375"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5.332031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6.109375"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5.332031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F1" s="202"/>
      <c r="G1" s="202">
        <f>C3</f>
        <v>18230405</v>
      </c>
      <c r="H1" s="202" t="str">
        <f>C4</f>
        <v>Single Family New Construction - Electric</v>
      </c>
      <c r="I1" s="202"/>
    </row>
    <row r="2" spans="2:22" ht="16.2" thickBot="1" x14ac:dyDescent="0.35">
      <c r="B2" s="202" t="s">
        <v>131</v>
      </c>
      <c r="C2" s="203" t="s">
        <v>487</v>
      </c>
      <c r="G2" s="204" t="s">
        <v>8</v>
      </c>
      <c r="Q2" s="4765"/>
      <c r="R2" s="4765"/>
      <c r="S2" s="4762" t="s">
        <v>132</v>
      </c>
      <c r="T2" s="4763"/>
      <c r="U2" s="4764"/>
      <c r="V2" s="4766" t="s">
        <v>133</v>
      </c>
    </row>
    <row r="3" spans="2:22" ht="16.2" thickBot="1" x14ac:dyDescent="0.35">
      <c r="B3" s="203" t="s">
        <v>6</v>
      </c>
      <c r="C3" s="203">
        <v>18230405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488</v>
      </c>
      <c r="F4" s="202">
        <v>2011</v>
      </c>
      <c r="G4" s="210">
        <f>B12</f>
        <v>118716</v>
      </c>
      <c r="H4" s="211">
        <f>B17</f>
        <v>33000</v>
      </c>
      <c r="I4" s="211">
        <f>B22</f>
        <v>95580</v>
      </c>
      <c r="J4" s="211">
        <f>B27</f>
        <v>42933</v>
      </c>
      <c r="K4" s="211">
        <f>B32</f>
        <v>5000</v>
      </c>
      <c r="L4" s="211">
        <f>B37</f>
        <v>261224</v>
      </c>
      <c r="M4" s="211">
        <f>B42</f>
        <v>2000</v>
      </c>
      <c r="N4" s="211">
        <f>B47</f>
        <v>5000</v>
      </c>
      <c r="O4" s="211">
        <f>B52</f>
        <v>832800</v>
      </c>
      <c r="P4" s="211">
        <f>B53</f>
        <v>0</v>
      </c>
      <c r="Q4" s="213">
        <f>B54</f>
        <v>1396253</v>
      </c>
      <c r="R4" s="214">
        <f>T54</f>
        <v>2767908</v>
      </c>
      <c r="S4" s="331">
        <f>O4/Q4</f>
        <v>0.59645350806766395</v>
      </c>
      <c r="T4" s="331">
        <f>(J4+(H4*1.63))/Q4</f>
        <v>6.9273262080726053E-2</v>
      </c>
      <c r="U4" s="331">
        <f>L4/Q4</f>
        <v>0.18708930258341433</v>
      </c>
      <c r="V4" s="216">
        <f>Q4/R4</f>
        <v>0.50444342803301268</v>
      </c>
    </row>
    <row r="5" spans="2:22" ht="16.2" thickBot="1" x14ac:dyDescent="0.35">
      <c r="B5" s="202" t="s">
        <v>34</v>
      </c>
      <c r="F5" s="202">
        <v>2012</v>
      </c>
      <c r="G5" s="217">
        <f>D12</f>
        <v>142573</v>
      </c>
      <c r="H5" s="218">
        <f>D17</f>
        <v>62700</v>
      </c>
      <c r="I5" s="218">
        <f>D22</f>
        <v>129321.99</v>
      </c>
      <c r="J5" s="218">
        <f>D27</f>
        <v>54190</v>
      </c>
      <c r="K5" s="218">
        <f>D32</f>
        <v>6000</v>
      </c>
      <c r="L5" s="218">
        <f>D37</f>
        <v>142724</v>
      </c>
      <c r="M5" s="218">
        <f>D42</f>
        <v>2000</v>
      </c>
      <c r="N5" s="218">
        <f>D47</f>
        <v>5000</v>
      </c>
      <c r="O5" s="218">
        <f>D52</f>
        <v>517050</v>
      </c>
      <c r="P5" s="218">
        <f>D53</f>
        <v>0</v>
      </c>
      <c r="Q5" s="219">
        <f>SUM(G5:P5)</f>
        <v>1061558.99</v>
      </c>
      <c r="R5" s="220">
        <f>P53</f>
        <v>1127100</v>
      </c>
      <c r="S5" s="332">
        <f>O5/Q5</f>
        <v>0.48706666786364833</v>
      </c>
      <c r="T5" s="332">
        <f>(J5+(H5*1.63))/Q5</f>
        <v>0.14732200609972698</v>
      </c>
      <c r="U5" s="332">
        <f>L5/Q5</f>
        <v>0.13444754492635402</v>
      </c>
      <c r="V5" s="222">
        <f>Q5/R5</f>
        <v>0.94184987135125542</v>
      </c>
    </row>
    <row r="6" spans="2:22" ht="16.2" thickBot="1" x14ac:dyDescent="0.35">
      <c r="C6" s="202" t="s">
        <v>489</v>
      </c>
      <c r="F6" s="202">
        <v>2013</v>
      </c>
      <c r="G6" s="223">
        <f>E12</f>
        <v>146850</v>
      </c>
      <c r="H6" s="224">
        <f>E17</f>
        <v>64268</v>
      </c>
      <c r="I6" s="224">
        <f>E22</f>
        <v>133004.34</v>
      </c>
      <c r="J6" s="224">
        <f>E27</f>
        <v>54190</v>
      </c>
      <c r="K6" s="224">
        <f>E32</f>
        <v>6000</v>
      </c>
      <c r="L6" s="224">
        <f>E37</f>
        <v>142724</v>
      </c>
      <c r="M6" s="224">
        <f>E42</f>
        <v>2000</v>
      </c>
      <c r="N6" s="224">
        <f>E47</f>
        <v>5000</v>
      </c>
      <c r="O6" s="224">
        <f>E52</f>
        <v>517050</v>
      </c>
      <c r="P6" s="224">
        <f>E53</f>
        <v>0</v>
      </c>
      <c r="Q6" s="225">
        <f>SUM(G6:P6)</f>
        <v>1071086.3399999999</v>
      </c>
      <c r="R6" s="226">
        <f>Q53</f>
        <v>1127100</v>
      </c>
      <c r="S6" s="332">
        <f>O6/Q6</f>
        <v>0.48273419302499931</v>
      </c>
      <c r="T6" s="332">
        <f>(J6+(H6*1.63))/Q6</f>
        <v>0.14839778462677436</v>
      </c>
      <c r="U6" s="332">
        <f>L6/Q6</f>
        <v>0.13325162936911325</v>
      </c>
      <c r="V6" s="222">
        <f>Q6/R6</f>
        <v>0.95030284801703468</v>
      </c>
    </row>
    <row r="7" spans="2:22" ht="16.2" thickBot="1" x14ac:dyDescent="0.35">
      <c r="C7" s="227" t="s">
        <v>490</v>
      </c>
      <c r="F7" s="228" t="s">
        <v>140</v>
      </c>
      <c r="G7" s="229">
        <f>SUM(G5:G6)</f>
        <v>289423</v>
      </c>
      <c r="H7" s="229">
        <f t="shared" ref="H7:P7" si="0">SUM(H5:H6)</f>
        <v>126968</v>
      </c>
      <c r="I7" s="229">
        <f t="shared" si="0"/>
        <v>262326.33</v>
      </c>
      <c r="J7" s="229">
        <f t="shared" si="0"/>
        <v>108380</v>
      </c>
      <c r="K7" s="229">
        <f t="shared" si="0"/>
        <v>12000</v>
      </c>
      <c r="L7" s="229">
        <f t="shared" si="0"/>
        <v>285448</v>
      </c>
      <c r="M7" s="229">
        <f t="shared" si="0"/>
        <v>4000</v>
      </c>
      <c r="N7" s="229">
        <f t="shared" si="0"/>
        <v>10000</v>
      </c>
      <c r="O7" s="229">
        <f t="shared" si="0"/>
        <v>1034100</v>
      </c>
      <c r="P7" s="229">
        <f t="shared" si="0"/>
        <v>0</v>
      </c>
      <c r="Q7" s="230">
        <f>SUM(G7:P7)</f>
        <v>2132645.33</v>
      </c>
      <c r="R7" s="231">
        <f>R53</f>
        <v>2254200</v>
      </c>
      <c r="S7" s="332">
        <f>O7/Q7</f>
        <v>0.4848907530254925</v>
      </c>
      <c r="T7" s="332">
        <f>(J7+(H7*1.63))/Q7</f>
        <v>0.14786229832224373</v>
      </c>
      <c r="U7" s="332">
        <f>L7/Q7</f>
        <v>0.13384691583949404</v>
      </c>
      <c r="V7" s="222">
        <f>Q7/R7</f>
        <v>0.94607635968414516</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118716</v>
      </c>
      <c r="C12" s="244" t="s">
        <v>161</v>
      </c>
      <c r="D12" s="245">
        <f>SUM(D13:D16)</f>
        <v>142573</v>
      </c>
      <c r="E12" s="245">
        <f>SUM(E13:E16)</f>
        <v>146850</v>
      </c>
      <c r="F12" s="246">
        <f>D12+E12</f>
        <v>289423</v>
      </c>
      <c r="H12" s="135"/>
      <c r="I12" s="2640">
        <v>0</v>
      </c>
      <c r="J12" s="2641"/>
      <c r="K12" s="2642"/>
      <c r="L12" s="2645">
        <v>0</v>
      </c>
      <c r="M12" s="2646"/>
      <c r="N12" s="2646"/>
      <c r="O12" s="2636">
        <v>0</v>
      </c>
      <c r="P12" s="2643">
        <v>0</v>
      </c>
      <c r="Q12" s="2643">
        <v>0</v>
      </c>
      <c r="R12" s="2644">
        <v>0</v>
      </c>
      <c r="T12" s="309">
        <v>2208000</v>
      </c>
    </row>
    <row r="13" spans="2:22" ht="13.8" x14ac:dyDescent="0.3">
      <c r="B13" s="256"/>
      <c r="C13" s="257" t="s">
        <v>162</v>
      </c>
      <c r="D13" s="2548">
        <v>142573</v>
      </c>
      <c r="E13" s="2548">
        <v>146850</v>
      </c>
      <c r="F13" s="258">
        <f>SUM(D13:E13)</f>
        <v>289423</v>
      </c>
      <c r="H13" s="135"/>
      <c r="I13" s="2637" t="s">
        <v>1056</v>
      </c>
      <c r="J13" s="2638"/>
      <c r="K13" s="2639"/>
      <c r="L13" s="2645">
        <v>43</v>
      </c>
      <c r="M13" s="2646">
        <v>14790</v>
      </c>
      <c r="N13" s="2646">
        <v>14790</v>
      </c>
      <c r="O13" s="2636">
        <v>29580</v>
      </c>
      <c r="P13" s="2643">
        <v>635970</v>
      </c>
      <c r="Q13" s="2643">
        <v>635970</v>
      </c>
      <c r="R13" s="2644">
        <v>1271940</v>
      </c>
      <c r="T13" s="263">
        <v>0</v>
      </c>
    </row>
    <row r="14" spans="2:22" ht="13.8" x14ac:dyDescent="0.3">
      <c r="B14" s="264"/>
      <c r="C14" s="265" t="s">
        <v>163</v>
      </c>
      <c r="D14" s="266">
        <v>0</v>
      </c>
      <c r="E14" s="266"/>
      <c r="F14" s="258">
        <f t="shared" ref="F14:F24" si="1">SUM(D14:E14)</f>
        <v>0</v>
      </c>
      <c r="H14" s="135"/>
      <c r="I14" s="2637" t="s">
        <v>472</v>
      </c>
      <c r="J14" s="2638"/>
      <c r="K14" s="2639"/>
      <c r="L14" s="2645">
        <v>145</v>
      </c>
      <c r="M14" s="2635">
        <v>60</v>
      </c>
      <c r="N14" s="2635">
        <v>60</v>
      </c>
      <c r="O14" s="2636">
        <v>120</v>
      </c>
      <c r="P14" s="2643">
        <v>8700</v>
      </c>
      <c r="Q14" s="2643">
        <v>8700</v>
      </c>
      <c r="R14" s="2644">
        <v>17400</v>
      </c>
      <c r="T14" s="263">
        <v>0</v>
      </c>
    </row>
    <row r="15" spans="2:22" ht="13.8" x14ac:dyDescent="0.3">
      <c r="B15" s="264"/>
      <c r="C15" s="265" t="s">
        <v>164</v>
      </c>
      <c r="D15" s="268">
        <v>0</v>
      </c>
      <c r="E15" s="268"/>
      <c r="F15" s="258">
        <f t="shared" si="1"/>
        <v>0</v>
      </c>
      <c r="H15" s="135"/>
      <c r="I15" s="2637" t="s">
        <v>473</v>
      </c>
      <c r="J15" s="2638"/>
      <c r="K15" s="2639"/>
      <c r="L15" s="2645">
        <v>81</v>
      </c>
      <c r="M15" s="2635">
        <v>120</v>
      </c>
      <c r="N15" s="2635">
        <v>120</v>
      </c>
      <c r="O15" s="2636">
        <v>240</v>
      </c>
      <c r="P15" s="2643">
        <v>9720</v>
      </c>
      <c r="Q15" s="2643">
        <v>9720</v>
      </c>
      <c r="R15" s="2644">
        <v>19440</v>
      </c>
      <c r="T15" s="263">
        <v>19440</v>
      </c>
    </row>
    <row r="16" spans="2:22" ht="14.4" thickBot="1" x14ac:dyDescent="0.35">
      <c r="B16" s="264"/>
      <c r="C16" s="265" t="s">
        <v>165</v>
      </c>
      <c r="D16" s="268">
        <v>0</v>
      </c>
      <c r="E16" s="268"/>
      <c r="F16" s="258">
        <f t="shared" si="1"/>
        <v>0</v>
      </c>
      <c r="H16" s="135"/>
      <c r="I16" s="2637" t="s">
        <v>474</v>
      </c>
      <c r="J16" s="2638"/>
      <c r="K16" s="2639"/>
      <c r="L16" s="2645">
        <v>130</v>
      </c>
      <c r="M16" s="2635">
        <v>180</v>
      </c>
      <c r="N16" s="2635">
        <v>180</v>
      </c>
      <c r="O16" s="2636">
        <v>360</v>
      </c>
      <c r="P16" s="2643">
        <v>23400</v>
      </c>
      <c r="Q16" s="2643">
        <v>23400</v>
      </c>
      <c r="R16" s="2644">
        <v>46800</v>
      </c>
      <c r="T16" s="263">
        <v>0</v>
      </c>
    </row>
    <row r="17" spans="2:20" ht="14.4" thickBot="1" x14ac:dyDescent="0.35">
      <c r="B17" s="272">
        <v>33000</v>
      </c>
      <c r="C17" s="244" t="s">
        <v>166</v>
      </c>
      <c r="D17" s="245">
        <f>SUM(D18:D21)</f>
        <v>62700</v>
      </c>
      <c r="E17" s="245">
        <f>SUM(E18:E21)</f>
        <v>64268</v>
      </c>
      <c r="F17" s="246">
        <f>D17+E17</f>
        <v>126968</v>
      </c>
      <c r="H17" s="135"/>
      <c r="I17" s="2637" t="s">
        <v>475</v>
      </c>
      <c r="J17" s="2638"/>
      <c r="K17" s="2639"/>
      <c r="L17" s="2645">
        <v>86</v>
      </c>
      <c r="M17" s="2635">
        <v>100</v>
      </c>
      <c r="N17" s="2635">
        <v>100</v>
      </c>
      <c r="O17" s="2636">
        <v>200</v>
      </c>
      <c r="P17" s="2643">
        <v>8600</v>
      </c>
      <c r="Q17" s="2643">
        <v>8600</v>
      </c>
      <c r="R17" s="2644">
        <v>17200</v>
      </c>
      <c r="T17" s="263">
        <v>0</v>
      </c>
    </row>
    <row r="18" spans="2:20" ht="13.8" x14ac:dyDescent="0.3">
      <c r="B18" s="256"/>
      <c r="C18" s="257" t="s">
        <v>466</v>
      </c>
      <c r="D18" s="2549">
        <v>62700</v>
      </c>
      <c r="E18" s="2549">
        <v>64268</v>
      </c>
      <c r="F18" s="258">
        <f t="shared" si="1"/>
        <v>126968</v>
      </c>
      <c r="H18" s="135"/>
      <c r="I18" s="2637" t="s">
        <v>476</v>
      </c>
      <c r="J18" s="2638"/>
      <c r="K18" s="2639"/>
      <c r="L18" s="2645">
        <v>65</v>
      </c>
      <c r="M18" s="2635">
        <v>300</v>
      </c>
      <c r="N18" s="2635">
        <v>300</v>
      </c>
      <c r="O18" s="2636">
        <v>600</v>
      </c>
      <c r="P18" s="2643">
        <v>19500</v>
      </c>
      <c r="Q18" s="2643">
        <v>19500</v>
      </c>
      <c r="R18" s="2644">
        <v>39000</v>
      </c>
      <c r="T18" s="263">
        <v>17600</v>
      </c>
    </row>
    <row r="19" spans="2:20" ht="13.8" x14ac:dyDescent="0.3">
      <c r="B19" s="264"/>
      <c r="C19" s="265" t="s">
        <v>163</v>
      </c>
      <c r="D19" s="266">
        <v>0</v>
      </c>
      <c r="E19" s="266"/>
      <c r="F19" s="258">
        <f t="shared" si="1"/>
        <v>0</v>
      </c>
      <c r="H19" s="135"/>
      <c r="I19" s="2637" t="s">
        <v>477</v>
      </c>
      <c r="J19" s="2638"/>
      <c r="K19" s="2639"/>
      <c r="L19" s="2645">
        <v>73</v>
      </c>
      <c r="M19" s="2635">
        <v>500</v>
      </c>
      <c r="N19" s="2635">
        <v>500</v>
      </c>
      <c r="O19" s="2636">
        <v>1000</v>
      </c>
      <c r="P19" s="2643">
        <v>36500</v>
      </c>
      <c r="Q19" s="2643">
        <v>36500</v>
      </c>
      <c r="R19" s="2644">
        <v>73000</v>
      </c>
      <c r="T19" s="263">
        <v>36500</v>
      </c>
    </row>
    <row r="20" spans="2:20" ht="13.8" x14ac:dyDescent="0.3">
      <c r="B20" s="264"/>
      <c r="C20" s="265" t="s">
        <v>164</v>
      </c>
      <c r="D20" s="268">
        <v>0</v>
      </c>
      <c r="E20" s="268"/>
      <c r="F20" s="258">
        <f t="shared" si="1"/>
        <v>0</v>
      </c>
      <c r="H20" s="135"/>
      <c r="I20" s="2637" t="s">
        <v>478</v>
      </c>
      <c r="J20" s="2638"/>
      <c r="K20" s="2639"/>
      <c r="L20" s="2645">
        <v>0</v>
      </c>
      <c r="M20" s="2635"/>
      <c r="N20" s="2635"/>
      <c r="O20" s="2636">
        <v>0</v>
      </c>
      <c r="P20" s="2643">
        <v>0</v>
      </c>
      <c r="Q20" s="2643">
        <v>0</v>
      </c>
      <c r="R20" s="2644">
        <v>0</v>
      </c>
      <c r="T20" s="263">
        <v>12168</v>
      </c>
    </row>
    <row r="21" spans="2:20" ht="14.4" thickBot="1" x14ac:dyDescent="0.35">
      <c r="B21" s="264"/>
      <c r="C21" s="265" t="s">
        <v>165</v>
      </c>
      <c r="D21" s="268">
        <v>0</v>
      </c>
      <c r="E21" s="268"/>
      <c r="F21" s="258">
        <f t="shared" si="1"/>
        <v>0</v>
      </c>
      <c r="H21" s="135"/>
      <c r="I21" s="2637" t="s">
        <v>479</v>
      </c>
      <c r="J21" s="2638"/>
      <c r="K21" s="2639"/>
      <c r="L21" s="2645">
        <v>554</v>
      </c>
      <c r="M21" s="2635">
        <v>40</v>
      </c>
      <c r="N21" s="2635">
        <v>40</v>
      </c>
      <c r="O21" s="2636">
        <v>80</v>
      </c>
      <c r="P21" s="2643">
        <v>22160</v>
      </c>
      <c r="Q21" s="2643">
        <v>22160</v>
      </c>
      <c r="R21" s="2644">
        <v>44320</v>
      </c>
      <c r="T21" s="263">
        <v>30200</v>
      </c>
    </row>
    <row r="22" spans="2:20" ht="14.4" thickBot="1" x14ac:dyDescent="0.35">
      <c r="B22" s="272">
        <v>95580</v>
      </c>
      <c r="C22" s="244" t="s">
        <v>467</v>
      </c>
      <c r="D22" s="245">
        <f>SUM(D23:D26)</f>
        <v>129321.99</v>
      </c>
      <c r="E22" s="245">
        <f>SUM(E23:E26)</f>
        <v>133004.34</v>
      </c>
      <c r="F22" s="246">
        <f>D22+E22</f>
        <v>262326.33</v>
      </c>
      <c r="G22" s="55"/>
      <c r="H22" s="135"/>
      <c r="I22" s="2637" t="s">
        <v>480</v>
      </c>
      <c r="J22" s="2638"/>
      <c r="K22" s="2639"/>
      <c r="L22" s="2645">
        <v>3500</v>
      </c>
      <c r="M22" s="2635">
        <v>75</v>
      </c>
      <c r="N22" s="2635">
        <v>75</v>
      </c>
      <c r="O22" s="2636">
        <v>150</v>
      </c>
      <c r="P22" s="2643">
        <v>262500</v>
      </c>
      <c r="Q22" s="2643">
        <v>262500</v>
      </c>
      <c r="R22" s="2644">
        <v>525000</v>
      </c>
      <c r="T22" s="263"/>
    </row>
    <row r="23" spans="2:20" ht="13.8" x14ac:dyDescent="0.3">
      <c r="B23" s="256"/>
      <c r="C23" s="257" t="s">
        <v>168</v>
      </c>
      <c r="D23" s="258">
        <f>0.63*D12</f>
        <v>89820.99</v>
      </c>
      <c r="E23" s="258">
        <f>0.63*E12</f>
        <v>92515.5</v>
      </c>
      <c r="F23" s="258">
        <f t="shared" si="1"/>
        <v>182336.49</v>
      </c>
      <c r="H23" s="135"/>
      <c r="I23" s="2637" t="s">
        <v>481</v>
      </c>
      <c r="J23" s="2638"/>
      <c r="K23" s="2639"/>
      <c r="L23" s="2645">
        <v>2001</v>
      </c>
      <c r="M23" s="2635">
        <v>50</v>
      </c>
      <c r="N23" s="2635">
        <v>50</v>
      </c>
      <c r="O23" s="2636">
        <v>100</v>
      </c>
      <c r="P23" s="2643">
        <v>100050</v>
      </c>
      <c r="Q23" s="2643">
        <v>100050</v>
      </c>
      <c r="R23" s="2644">
        <v>200100</v>
      </c>
      <c r="T23" s="263">
        <v>0</v>
      </c>
    </row>
    <row r="24" spans="2:20" ht="13.8" x14ac:dyDescent="0.3">
      <c r="B24" s="256"/>
      <c r="C24" s="257" t="s">
        <v>169</v>
      </c>
      <c r="D24" s="266">
        <f>0.63*D17</f>
        <v>39501</v>
      </c>
      <c r="E24" s="266">
        <f>0.63*E17</f>
        <v>40488.840000000004</v>
      </c>
      <c r="F24" s="258">
        <f t="shared" si="1"/>
        <v>79989.84</v>
      </c>
      <c r="H24" s="135"/>
      <c r="I24" s="2637" t="s">
        <v>1022</v>
      </c>
      <c r="J24" s="2638"/>
      <c r="K24" s="2639"/>
      <c r="L24" s="2645">
        <v>0</v>
      </c>
      <c r="M24" s="2635"/>
      <c r="N24" s="2635"/>
      <c r="O24" s="2636">
        <v>0</v>
      </c>
      <c r="P24" s="2643">
        <v>0</v>
      </c>
      <c r="Q24" s="2643">
        <v>0</v>
      </c>
      <c r="R24" s="2644">
        <v>0</v>
      </c>
      <c r="T24" s="263">
        <v>0</v>
      </c>
    </row>
    <row r="25" spans="2:20" ht="13.8" x14ac:dyDescent="0.3">
      <c r="B25" s="264"/>
      <c r="C25" s="265"/>
      <c r="D25" s="268"/>
      <c r="E25" s="268"/>
      <c r="F25" s="268"/>
      <c r="H25" s="135"/>
      <c r="I25" s="2637" t="s">
        <v>483</v>
      </c>
      <c r="J25" s="2638"/>
      <c r="K25" s="2639"/>
      <c r="L25" s="2645">
        <v>0</v>
      </c>
      <c r="M25" s="2635"/>
      <c r="N25" s="2635"/>
      <c r="O25" s="2636">
        <v>0</v>
      </c>
      <c r="P25" s="2643">
        <v>0</v>
      </c>
      <c r="Q25" s="2643">
        <v>0</v>
      </c>
      <c r="R25" s="2644">
        <v>0</v>
      </c>
      <c r="T25" s="263">
        <v>0</v>
      </c>
    </row>
    <row r="26" spans="2:20" ht="14.4" thickBot="1" x14ac:dyDescent="0.35">
      <c r="B26" s="264"/>
      <c r="C26" s="265"/>
      <c r="D26" s="268"/>
      <c r="E26" s="268"/>
      <c r="F26" s="268"/>
      <c r="H26" s="135"/>
      <c r="I26" s="3844" t="s">
        <v>484</v>
      </c>
      <c r="J26" s="3845"/>
      <c r="K26" s="3846"/>
      <c r="L26" s="3847">
        <v>0</v>
      </c>
      <c r="M26" s="3550"/>
      <c r="N26" s="3550"/>
      <c r="O26" s="3848">
        <v>0</v>
      </c>
      <c r="P26" s="3849">
        <v>0</v>
      </c>
      <c r="Q26" s="3849">
        <v>0</v>
      </c>
      <c r="R26" s="3850">
        <v>0</v>
      </c>
      <c r="T26" s="263">
        <v>0</v>
      </c>
    </row>
    <row r="27" spans="2:20" ht="14.4" thickBot="1" x14ac:dyDescent="0.35">
      <c r="B27" s="272">
        <v>42933</v>
      </c>
      <c r="C27" s="244" t="s">
        <v>170</v>
      </c>
      <c r="D27" s="245">
        <f>SUM(D28:D31)</f>
        <v>54190</v>
      </c>
      <c r="E27" s="245">
        <f>SUM(E28:E31)</f>
        <v>54190</v>
      </c>
      <c r="F27" s="246">
        <f>D27+E27</f>
        <v>108380</v>
      </c>
      <c r="H27" s="135"/>
      <c r="I27" s="2637" t="s">
        <v>485</v>
      </c>
      <c r="J27" s="2638"/>
      <c r="K27" s="2639"/>
      <c r="L27" s="2645">
        <v>0</v>
      </c>
      <c r="M27" s="2635">
        <v>500</v>
      </c>
      <c r="N27" s="2635">
        <v>500</v>
      </c>
      <c r="O27" s="2636">
        <v>1000</v>
      </c>
      <c r="P27" s="2643">
        <v>0</v>
      </c>
      <c r="Q27" s="2643">
        <v>0</v>
      </c>
      <c r="R27" s="2644">
        <v>0</v>
      </c>
      <c r="T27" s="263">
        <v>0</v>
      </c>
    </row>
    <row r="28" spans="2:20" ht="13.8" x14ac:dyDescent="0.3">
      <c r="B28" s="256"/>
      <c r="C28" s="257" t="s">
        <v>468</v>
      </c>
      <c r="D28" s="258">
        <v>54190</v>
      </c>
      <c r="E28" s="258">
        <v>54190</v>
      </c>
      <c r="F28" s="258">
        <f t="shared" ref="F28:F36" si="2">SUM(D28:E28)</f>
        <v>108380</v>
      </c>
      <c r="H28" s="135"/>
      <c r="I28" s="2637" t="s">
        <v>486</v>
      </c>
      <c r="J28" s="2638"/>
      <c r="K28" s="2639"/>
      <c r="L28" s="2645">
        <v>0</v>
      </c>
      <c r="M28" s="2635">
        <v>250</v>
      </c>
      <c r="N28" s="2635">
        <v>250</v>
      </c>
      <c r="O28" s="2636">
        <v>500</v>
      </c>
      <c r="P28" s="2643">
        <v>0</v>
      </c>
      <c r="Q28" s="2643">
        <v>0</v>
      </c>
      <c r="R28" s="2644">
        <v>0</v>
      </c>
      <c r="T28" s="263">
        <v>0</v>
      </c>
    </row>
    <row r="29" spans="2:20" ht="13.8" x14ac:dyDescent="0.3">
      <c r="B29" s="264"/>
      <c r="C29" s="265" t="s">
        <v>163</v>
      </c>
      <c r="D29" s="266">
        <v>0</v>
      </c>
      <c r="E29" s="266"/>
      <c r="F29" s="258">
        <f t="shared" si="2"/>
        <v>0</v>
      </c>
      <c r="H29" s="135"/>
      <c r="I29" s="2637">
        <v>0</v>
      </c>
      <c r="J29" s="2638"/>
      <c r="K29" s="2639"/>
      <c r="L29" s="2645">
        <v>0</v>
      </c>
      <c r="M29" s="2635"/>
      <c r="N29" s="2635"/>
      <c r="O29" s="2636">
        <v>0</v>
      </c>
      <c r="P29" s="2643">
        <v>0</v>
      </c>
      <c r="Q29" s="2643">
        <v>0</v>
      </c>
      <c r="R29" s="2644">
        <v>0</v>
      </c>
      <c r="T29" s="263">
        <v>444000</v>
      </c>
    </row>
    <row r="30" spans="2:20" ht="13.8" x14ac:dyDescent="0.3">
      <c r="B30" s="264"/>
      <c r="C30" s="265" t="s">
        <v>164</v>
      </c>
      <c r="D30" s="266">
        <v>0</v>
      </c>
      <c r="E30" s="266"/>
      <c r="F30" s="258">
        <f t="shared" si="2"/>
        <v>0</v>
      </c>
      <c r="H30" s="135"/>
      <c r="I30" s="2637" t="s">
        <v>1057</v>
      </c>
      <c r="J30" s="2638"/>
      <c r="K30" s="2639"/>
      <c r="L30" s="2645">
        <v>0</v>
      </c>
      <c r="M30" s="2635">
        <v>14000</v>
      </c>
      <c r="N30" s="2635">
        <v>14000</v>
      </c>
      <c r="O30" s="2636">
        <v>28000</v>
      </c>
      <c r="P30" s="2643">
        <v>0</v>
      </c>
      <c r="Q30" s="2643">
        <v>0</v>
      </c>
      <c r="R30" s="2644">
        <v>0</v>
      </c>
      <c r="T30" s="263">
        <v>0</v>
      </c>
    </row>
    <row r="31" spans="2:20" ht="14.4" thickBot="1" x14ac:dyDescent="0.35">
      <c r="B31" s="264"/>
      <c r="C31" s="265" t="s">
        <v>165</v>
      </c>
      <c r="D31" s="266">
        <v>0</v>
      </c>
      <c r="E31" s="266"/>
      <c r="F31" s="258">
        <f t="shared" si="2"/>
        <v>0</v>
      </c>
      <c r="H31" s="135"/>
      <c r="I31" s="259" t="str">
        <f t="shared" ref="I31:I52" si="3">C81</f>
        <v>Measure 20</v>
      </c>
      <c r="J31" s="260"/>
      <c r="K31" s="261"/>
      <c r="L31" s="250">
        <f t="shared" ref="L31:L52" si="4">D81</f>
        <v>0</v>
      </c>
      <c r="M31" s="267">
        <v>0</v>
      </c>
      <c r="N31" s="267">
        <v>0</v>
      </c>
      <c r="O31" s="252">
        <f t="shared" ref="O31:O52" si="5">M31+N31</f>
        <v>0</v>
      </c>
      <c r="P31" s="253">
        <f t="shared" ref="P31:P52" si="6">M31*$D81</f>
        <v>0</v>
      </c>
      <c r="Q31" s="253">
        <f t="shared" ref="Q31:Q52" si="7">N31*$D81</f>
        <v>0</v>
      </c>
      <c r="R31" s="254">
        <f t="shared" ref="R31:R52" si="8">O31*$D81</f>
        <v>0</v>
      </c>
      <c r="T31" s="263">
        <v>0</v>
      </c>
    </row>
    <row r="32" spans="2:20" ht="14.4" thickBot="1" x14ac:dyDescent="0.35">
      <c r="B32" s="272">
        <v>5000</v>
      </c>
      <c r="C32" s="244" t="s">
        <v>171</v>
      </c>
      <c r="D32" s="245">
        <f>SUM(D33:D36)</f>
        <v>6000</v>
      </c>
      <c r="E32" s="245">
        <f>SUM(E33:E36)</f>
        <v>6000</v>
      </c>
      <c r="F32" s="246">
        <f>D32+E32</f>
        <v>12000</v>
      </c>
      <c r="H32" s="135"/>
      <c r="I32" s="259" t="str">
        <f t="shared" si="3"/>
        <v>Measure 21</v>
      </c>
      <c r="J32" s="260"/>
      <c r="K32" s="261"/>
      <c r="L32" s="250">
        <f t="shared" si="4"/>
        <v>0</v>
      </c>
      <c r="M32" s="267">
        <v>0</v>
      </c>
      <c r="N32" s="267">
        <v>0</v>
      </c>
      <c r="O32" s="252">
        <f t="shared" si="5"/>
        <v>0</v>
      </c>
      <c r="P32" s="253">
        <f t="shared" si="6"/>
        <v>0</v>
      </c>
      <c r="Q32" s="253">
        <f t="shared" si="7"/>
        <v>0</v>
      </c>
      <c r="R32" s="254">
        <f t="shared" si="8"/>
        <v>0</v>
      </c>
      <c r="T32" s="263">
        <v>0</v>
      </c>
    </row>
    <row r="33" spans="2:20" ht="13.8" x14ac:dyDescent="0.3">
      <c r="B33" s="264"/>
      <c r="C33" s="265" t="s">
        <v>469</v>
      </c>
      <c r="D33" s="266">
        <v>6000</v>
      </c>
      <c r="E33" s="266">
        <v>6000</v>
      </c>
      <c r="F33" s="258">
        <f t="shared" si="2"/>
        <v>12000</v>
      </c>
      <c r="H33" s="135"/>
      <c r="I33" s="259" t="str">
        <f t="shared" si="3"/>
        <v>Measure 22</v>
      </c>
      <c r="J33" s="260"/>
      <c r="K33" s="261"/>
      <c r="L33" s="250">
        <f t="shared" si="4"/>
        <v>0</v>
      </c>
      <c r="M33" s="267">
        <v>0</v>
      </c>
      <c r="N33" s="267">
        <v>0</v>
      </c>
      <c r="O33" s="252">
        <f t="shared" si="5"/>
        <v>0</v>
      </c>
      <c r="P33" s="253">
        <f t="shared" si="6"/>
        <v>0</v>
      </c>
      <c r="Q33" s="253">
        <f t="shared" si="7"/>
        <v>0</v>
      </c>
      <c r="R33" s="254">
        <f t="shared" si="8"/>
        <v>0</v>
      </c>
      <c r="T33" s="263">
        <v>0</v>
      </c>
    </row>
    <row r="34" spans="2:20" ht="13.8" x14ac:dyDescent="0.3">
      <c r="B34" s="264"/>
      <c r="C34" s="265" t="s">
        <v>163</v>
      </c>
      <c r="D34" s="266">
        <v>0</v>
      </c>
      <c r="E34" s="266"/>
      <c r="F34" s="258">
        <f t="shared" si="2"/>
        <v>0</v>
      </c>
      <c r="H34" s="135"/>
      <c r="I34" s="259" t="str">
        <f t="shared" si="3"/>
        <v>Measure 23</v>
      </c>
      <c r="J34" s="260"/>
      <c r="K34" s="261"/>
      <c r="L34" s="250">
        <f t="shared" si="4"/>
        <v>0</v>
      </c>
      <c r="M34" s="267">
        <v>0</v>
      </c>
      <c r="N34" s="267">
        <v>0</v>
      </c>
      <c r="O34" s="252">
        <f t="shared" si="5"/>
        <v>0</v>
      </c>
      <c r="P34" s="253">
        <f t="shared" si="6"/>
        <v>0</v>
      </c>
      <c r="Q34" s="253">
        <f t="shared" si="7"/>
        <v>0</v>
      </c>
      <c r="R34" s="254">
        <f t="shared" si="8"/>
        <v>0</v>
      </c>
      <c r="T34" s="263">
        <v>0</v>
      </c>
    </row>
    <row r="35" spans="2:20" ht="13.8" x14ac:dyDescent="0.3">
      <c r="B35" s="264"/>
      <c r="C35" s="265" t="s">
        <v>164</v>
      </c>
      <c r="D35" s="266">
        <v>0</v>
      </c>
      <c r="E35" s="266"/>
      <c r="F35" s="258">
        <f t="shared" si="2"/>
        <v>0</v>
      </c>
      <c r="H35" s="135"/>
      <c r="I35" s="259" t="str">
        <f t="shared" si="3"/>
        <v>Measure 24</v>
      </c>
      <c r="J35" s="260"/>
      <c r="K35" s="261"/>
      <c r="L35" s="250">
        <f t="shared" si="4"/>
        <v>0</v>
      </c>
      <c r="M35" s="267">
        <v>0</v>
      </c>
      <c r="N35" s="267">
        <v>0</v>
      </c>
      <c r="O35" s="252">
        <f t="shared" si="5"/>
        <v>0</v>
      </c>
      <c r="P35" s="253">
        <f t="shared" si="6"/>
        <v>0</v>
      </c>
      <c r="Q35" s="253">
        <f t="shared" si="7"/>
        <v>0</v>
      </c>
      <c r="R35" s="254">
        <f t="shared" si="8"/>
        <v>0</v>
      </c>
      <c r="T35" s="263">
        <v>0</v>
      </c>
    </row>
    <row r="36" spans="2:20" ht="14.4" thickBot="1" x14ac:dyDescent="0.35">
      <c r="B36" s="264"/>
      <c r="C36" s="265" t="s">
        <v>165</v>
      </c>
      <c r="D36" s="266">
        <v>0</v>
      </c>
      <c r="E36" s="266"/>
      <c r="F36" s="258">
        <f t="shared" si="2"/>
        <v>0</v>
      </c>
      <c r="H36" s="135"/>
      <c r="I36" s="259" t="str">
        <f t="shared" si="3"/>
        <v>Measure 25</v>
      </c>
      <c r="J36" s="260"/>
      <c r="K36" s="270"/>
      <c r="L36" s="250">
        <f t="shared" si="4"/>
        <v>0</v>
      </c>
      <c r="M36" s="267">
        <v>0</v>
      </c>
      <c r="N36" s="267">
        <v>0</v>
      </c>
      <c r="O36" s="252">
        <f t="shared" si="5"/>
        <v>0</v>
      </c>
      <c r="P36" s="253">
        <f t="shared" si="6"/>
        <v>0</v>
      </c>
      <c r="Q36" s="253">
        <f t="shared" si="7"/>
        <v>0</v>
      </c>
      <c r="R36" s="254">
        <f t="shared" si="8"/>
        <v>0</v>
      </c>
      <c r="T36" s="263">
        <v>0</v>
      </c>
    </row>
    <row r="37" spans="2:20" ht="14.4" thickBot="1" x14ac:dyDescent="0.35">
      <c r="B37" s="272">
        <v>261224</v>
      </c>
      <c r="C37" s="244" t="s">
        <v>172</v>
      </c>
      <c r="D37" s="245">
        <f>SUM(D38:D41)</f>
        <v>142724</v>
      </c>
      <c r="E37" s="245">
        <f>SUM(E38:E41)</f>
        <v>142724</v>
      </c>
      <c r="F37" s="246">
        <f>D37+E37</f>
        <v>285448</v>
      </c>
      <c r="H37" s="135"/>
      <c r="I37" s="259" t="str">
        <f t="shared" si="3"/>
        <v>Measure 26</v>
      </c>
      <c r="J37" s="260"/>
      <c r="K37" s="270"/>
      <c r="L37" s="250">
        <f t="shared" si="4"/>
        <v>0</v>
      </c>
      <c r="M37" s="267">
        <v>0</v>
      </c>
      <c r="N37" s="267">
        <v>0</v>
      </c>
      <c r="O37" s="252">
        <f t="shared" si="5"/>
        <v>0</v>
      </c>
      <c r="P37" s="253">
        <f t="shared" si="6"/>
        <v>0</v>
      </c>
      <c r="Q37" s="253">
        <f t="shared" si="7"/>
        <v>0</v>
      </c>
      <c r="R37" s="254">
        <f t="shared" si="8"/>
        <v>0</v>
      </c>
      <c r="T37" s="263">
        <v>0</v>
      </c>
    </row>
    <row r="38" spans="2:20" ht="13.8" x14ac:dyDescent="0.3">
      <c r="B38" s="264"/>
      <c r="C38" s="265" t="s">
        <v>470</v>
      </c>
      <c r="D38" s="266">
        <v>2500</v>
      </c>
      <c r="E38" s="266">
        <v>2500</v>
      </c>
      <c r="F38" s="258">
        <f t="shared" ref="F38:F51" si="9">SUM(D38:E38)</f>
        <v>5000</v>
      </c>
      <c r="H38" s="135"/>
      <c r="I38" s="259" t="str">
        <f t="shared" si="3"/>
        <v>Measure 27</v>
      </c>
      <c r="J38" s="260"/>
      <c r="K38" s="270"/>
      <c r="L38" s="250">
        <f t="shared" si="4"/>
        <v>0</v>
      </c>
      <c r="M38" s="267">
        <v>0</v>
      </c>
      <c r="N38" s="267">
        <v>0</v>
      </c>
      <c r="O38" s="252">
        <f t="shared" si="5"/>
        <v>0</v>
      </c>
      <c r="P38" s="253">
        <f t="shared" si="6"/>
        <v>0</v>
      </c>
      <c r="Q38" s="253">
        <f t="shared" si="7"/>
        <v>0</v>
      </c>
      <c r="R38" s="254">
        <f t="shared" si="8"/>
        <v>0</v>
      </c>
      <c r="T38" s="263">
        <v>0</v>
      </c>
    </row>
    <row r="39" spans="2:20" ht="13.8" x14ac:dyDescent="0.3">
      <c r="B39" s="264"/>
      <c r="C39" s="2633" t="s">
        <v>1055</v>
      </c>
      <c r="D39" s="2634">
        <v>140224</v>
      </c>
      <c r="E39" s="2634">
        <v>140224</v>
      </c>
      <c r="F39" s="258">
        <f t="shared" si="9"/>
        <v>280448</v>
      </c>
      <c r="H39" s="135"/>
      <c r="I39" s="259" t="str">
        <f t="shared" si="3"/>
        <v>Measure 28</v>
      </c>
      <c r="J39" s="260"/>
      <c r="K39" s="270"/>
      <c r="L39" s="250">
        <f t="shared" si="4"/>
        <v>0</v>
      </c>
      <c r="M39" s="267">
        <v>0</v>
      </c>
      <c r="N39" s="267">
        <v>0</v>
      </c>
      <c r="O39" s="252">
        <f t="shared" si="5"/>
        <v>0</v>
      </c>
      <c r="P39" s="253">
        <f t="shared" si="6"/>
        <v>0</v>
      </c>
      <c r="Q39" s="253">
        <f t="shared" si="7"/>
        <v>0</v>
      </c>
      <c r="R39" s="254">
        <f t="shared" si="8"/>
        <v>0</v>
      </c>
      <c r="T39" s="263">
        <v>0</v>
      </c>
    </row>
    <row r="40" spans="2:20" ht="13.8" x14ac:dyDescent="0.3">
      <c r="B40" s="264"/>
      <c r="C40" s="265" t="s">
        <v>164</v>
      </c>
      <c r="D40" s="266">
        <v>0</v>
      </c>
      <c r="E40" s="266"/>
      <c r="F40" s="258">
        <f t="shared" si="9"/>
        <v>0</v>
      </c>
      <c r="H40" s="135"/>
      <c r="I40" s="259" t="str">
        <f t="shared" si="3"/>
        <v>Measure 29</v>
      </c>
      <c r="J40" s="260"/>
      <c r="K40" s="270"/>
      <c r="L40" s="250">
        <f t="shared" si="4"/>
        <v>0</v>
      </c>
      <c r="M40" s="267">
        <v>0</v>
      </c>
      <c r="N40" s="267">
        <v>0</v>
      </c>
      <c r="O40" s="252">
        <f t="shared" si="5"/>
        <v>0</v>
      </c>
      <c r="P40" s="253">
        <f t="shared" si="6"/>
        <v>0</v>
      </c>
      <c r="Q40" s="253">
        <f t="shared" si="7"/>
        <v>0</v>
      </c>
      <c r="R40" s="254">
        <f t="shared" si="8"/>
        <v>0</v>
      </c>
      <c r="T40" s="263">
        <v>0</v>
      </c>
    </row>
    <row r="41" spans="2:20" ht="14.4" thickBot="1" x14ac:dyDescent="0.35">
      <c r="B41" s="264"/>
      <c r="C41" s="265" t="s">
        <v>165</v>
      </c>
      <c r="D41" s="266">
        <v>0</v>
      </c>
      <c r="E41" s="266"/>
      <c r="F41" s="258">
        <f t="shared" si="9"/>
        <v>0</v>
      </c>
      <c r="H41" s="135"/>
      <c r="I41" s="259" t="str">
        <f t="shared" si="3"/>
        <v>Measure 30</v>
      </c>
      <c r="J41" s="260"/>
      <c r="K41" s="270"/>
      <c r="L41" s="250">
        <f t="shared" si="4"/>
        <v>0</v>
      </c>
      <c r="M41" s="267">
        <v>0</v>
      </c>
      <c r="N41" s="267">
        <v>0</v>
      </c>
      <c r="O41" s="252">
        <f t="shared" si="5"/>
        <v>0</v>
      </c>
      <c r="P41" s="253">
        <f t="shared" si="6"/>
        <v>0</v>
      </c>
      <c r="Q41" s="253">
        <f t="shared" si="7"/>
        <v>0</v>
      </c>
      <c r="R41" s="254">
        <f t="shared" si="8"/>
        <v>0</v>
      </c>
      <c r="T41" s="263">
        <v>0</v>
      </c>
    </row>
    <row r="42" spans="2:20" ht="14.4" thickBot="1" x14ac:dyDescent="0.35">
      <c r="B42" s="272">
        <v>2000</v>
      </c>
      <c r="C42" s="244" t="s">
        <v>173</v>
      </c>
      <c r="D42" s="245">
        <f>SUM(D43:D46)</f>
        <v>2000</v>
      </c>
      <c r="E42" s="245">
        <f>SUM(E43:E46)</f>
        <v>2000</v>
      </c>
      <c r="F42" s="246">
        <f>D42+E42</f>
        <v>4000</v>
      </c>
      <c r="H42" s="135"/>
      <c r="I42" s="259" t="str">
        <f t="shared" si="3"/>
        <v>Measure 31</v>
      </c>
      <c r="J42" s="260"/>
      <c r="K42" s="270"/>
      <c r="L42" s="250">
        <f t="shared" si="4"/>
        <v>0</v>
      </c>
      <c r="M42" s="267">
        <v>0</v>
      </c>
      <c r="N42" s="267">
        <v>0</v>
      </c>
      <c r="O42" s="252">
        <f t="shared" si="5"/>
        <v>0</v>
      </c>
      <c r="P42" s="253">
        <f t="shared" si="6"/>
        <v>0</v>
      </c>
      <c r="Q42" s="253">
        <f t="shared" si="7"/>
        <v>0</v>
      </c>
      <c r="R42" s="254">
        <f t="shared" si="8"/>
        <v>0</v>
      </c>
      <c r="T42" s="263">
        <v>0</v>
      </c>
    </row>
    <row r="43" spans="2:20" ht="13.8" x14ac:dyDescent="0.3">
      <c r="B43" s="264"/>
      <c r="C43" s="265" t="s">
        <v>471</v>
      </c>
      <c r="D43" s="266">
        <v>2000</v>
      </c>
      <c r="E43" s="266">
        <v>2000</v>
      </c>
      <c r="F43" s="258">
        <f t="shared" si="9"/>
        <v>4000</v>
      </c>
      <c r="H43" s="135"/>
      <c r="I43" s="259" t="str">
        <f t="shared" si="3"/>
        <v>Measure 32</v>
      </c>
      <c r="J43" s="260"/>
      <c r="K43" s="270"/>
      <c r="L43" s="250">
        <f t="shared" si="4"/>
        <v>0</v>
      </c>
      <c r="M43" s="267">
        <v>0</v>
      </c>
      <c r="N43" s="267">
        <v>0</v>
      </c>
      <c r="O43" s="252">
        <f t="shared" si="5"/>
        <v>0</v>
      </c>
      <c r="P43" s="253">
        <f t="shared" si="6"/>
        <v>0</v>
      </c>
      <c r="Q43" s="253">
        <f t="shared" si="7"/>
        <v>0</v>
      </c>
      <c r="R43" s="254">
        <f t="shared" si="8"/>
        <v>0</v>
      </c>
      <c r="T43" s="263">
        <v>0</v>
      </c>
    </row>
    <row r="44" spans="2:20" ht="13.8" x14ac:dyDescent="0.3">
      <c r="B44" s="264"/>
      <c r="C44" s="265" t="s">
        <v>163</v>
      </c>
      <c r="D44" s="266">
        <v>0</v>
      </c>
      <c r="E44" s="266"/>
      <c r="F44" s="258">
        <f t="shared" si="9"/>
        <v>0</v>
      </c>
      <c r="H44" s="135"/>
      <c r="I44" s="259" t="str">
        <f t="shared" si="3"/>
        <v>Measure 33</v>
      </c>
      <c r="J44" s="260"/>
      <c r="K44" s="270"/>
      <c r="L44" s="250">
        <f t="shared" si="4"/>
        <v>0</v>
      </c>
      <c r="M44" s="267">
        <v>0</v>
      </c>
      <c r="N44" s="267">
        <v>0</v>
      </c>
      <c r="O44" s="252">
        <f t="shared" si="5"/>
        <v>0</v>
      </c>
      <c r="P44" s="253">
        <f t="shared" si="6"/>
        <v>0</v>
      </c>
      <c r="Q44" s="253">
        <f t="shared" si="7"/>
        <v>0</v>
      </c>
      <c r="R44" s="254">
        <f t="shared" si="8"/>
        <v>0</v>
      </c>
      <c r="T44" s="263">
        <v>0</v>
      </c>
    </row>
    <row r="45" spans="2:20" ht="13.8" x14ac:dyDescent="0.3">
      <c r="B45" s="264"/>
      <c r="C45" s="265" t="s">
        <v>164</v>
      </c>
      <c r="D45" s="266">
        <v>0</v>
      </c>
      <c r="E45" s="266"/>
      <c r="F45" s="258">
        <f t="shared" si="9"/>
        <v>0</v>
      </c>
      <c r="H45" s="135"/>
      <c r="I45" s="259" t="str">
        <f t="shared" si="3"/>
        <v>Measure 34</v>
      </c>
      <c r="J45" s="260"/>
      <c r="K45" s="270"/>
      <c r="L45" s="250">
        <f t="shared" si="4"/>
        <v>0</v>
      </c>
      <c r="M45" s="267">
        <v>0</v>
      </c>
      <c r="N45" s="267">
        <v>0</v>
      </c>
      <c r="O45" s="252">
        <f t="shared" si="5"/>
        <v>0</v>
      </c>
      <c r="P45" s="253">
        <f t="shared" si="6"/>
        <v>0</v>
      </c>
      <c r="Q45" s="253">
        <f t="shared" si="7"/>
        <v>0</v>
      </c>
      <c r="R45" s="254">
        <f t="shared" si="8"/>
        <v>0</v>
      </c>
      <c r="T45" s="263">
        <v>0</v>
      </c>
    </row>
    <row r="46" spans="2:20" ht="14.4" thickBot="1" x14ac:dyDescent="0.35">
      <c r="B46" s="264"/>
      <c r="C46" s="265" t="s">
        <v>165</v>
      </c>
      <c r="D46" s="266">
        <v>0</v>
      </c>
      <c r="E46" s="266"/>
      <c r="F46" s="258">
        <f t="shared" si="9"/>
        <v>0</v>
      </c>
      <c r="H46" s="135"/>
      <c r="I46" s="259" t="str">
        <f t="shared" si="3"/>
        <v>Measure 35</v>
      </c>
      <c r="J46" s="260"/>
      <c r="K46" s="270"/>
      <c r="L46" s="250">
        <f t="shared" si="4"/>
        <v>0</v>
      </c>
      <c r="M46" s="267">
        <v>0</v>
      </c>
      <c r="N46" s="267">
        <v>0</v>
      </c>
      <c r="O46" s="252">
        <f t="shared" si="5"/>
        <v>0</v>
      </c>
      <c r="P46" s="253">
        <f t="shared" si="6"/>
        <v>0</v>
      </c>
      <c r="Q46" s="253">
        <f t="shared" si="7"/>
        <v>0</v>
      </c>
      <c r="R46" s="254">
        <f t="shared" si="8"/>
        <v>0</v>
      </c>
      <c r="T46" s="263">
        <v>0</v>
      </c>
    </row>
    <row r="47" spans="2:20" ht="14.4" thickBot="1" x14ac:dyDescent="0.35">
      <c r="B47" s="272">
        <v>5000</v>
      </c>
      <c r="C47" s="244" t="s">
        <v>174</v>
      </c>
      <c r="D47" s="245">
        <f>SUM(D48:D51)</f>
        <v>5000</v>
      </c>
      <c r="E47" s="245">
        <f>SUM(E48:E51)</f>
        <v>5000</v>
      </c>
      <c r="F47" s="246">
        <f>D47+E47</f>
        <v>10000</v>
      </c>
      <c r="H47" s="135"/>
      <c r="I47" s="259" t="str">
        <f t="shared" si="3"/>
        <v>Measure 36</v>
      </c>
      <c r="J47" s="260"/>
      <c r="K47" s="270"/>
      <c r="L47" s="250">
        <f t="shared" si="4"/>
        <v>0</v>
      </c>
      <c r="M47" s="267">
        <v>0</v>
      </c>
      <c r="N47" s="267">
        <v>0</v>
      </c>
      <c r="O47" s="252">
        <f t="shared" si="5"/>
        <v>0</v>
      </c>
      <c r="P47" s="253">
        <f t="shared" si="6"/>
        <v>0</v>
      </c>
      <c r="Q47" s="253">
        <f t="shared" si="7"/>
        <v>0</v>
      </c>
      <c r="R47" s="254">
        <f t="shared" si="8"/>
        <v>0</v>
      </c>
      <c r="T47" s="263">
        <v>0</v>
      </c>
    </row>
    <row r="48" spans="2:20" ht="13.8" x14ac:dyDescent="0.3">
      <c r="B48" s="264"/>
      <c r="C48" s="265" t="s">
        <v>162</v>
      </c>
      <c r="D48" s="266">
        <v>5000</v>
      </c>
      <c r="E48" s="266">
        <v>5000</v>
      </c>
      <c r="F48" s="258">
        <f t="shared" si="9"/>
        <v>10000</v>
      </c>
      <c r="H48" s="135"/>
      <c r="I48" s="259" t="str">
        <f t="shared" si="3"/>
        <v>Measure 37</v>
      </c>
      <c r="J48" s="260"/>
      <c r="K48" s="261"/>
      <c r="L48" s="250">
        <f t="shared" si="4"/>
        <v>0</v>
      </c>
      <c r="M48" s="267">
        <v>0</v>
      </c>
      <c r="N48" s="267">
        <v>0</v>
      </c>
      <c r="O48" s="252">
        <f t="shared" si="5"/>
        <v>0</v>
      </c>
      <c r="P48" s="253">
        <f t="shared" si="6"/>
        <v>0</v>
      </c>
      <c r="Q48" s="253">
        <f t="shared" si="7"/>
        <v>0</v>
      </c>
      <c r="R48" s="254">
        <f t="shared" si="8"/>
        <v>0</v>
      </c>
      <c r="T48" s="263">
        <v>0</v>
      </c>
    </row>
    <row r="49" spans="2:24" ht="13.8" x14ac:dyDescent="0.3">
      <c r="B49" s="264"/>
      <c r="C49" s="265" t="s">
        <v>163</v>
      </c>
      <c r="D49" s="266">
        <v>0</v>
      </c>
      <c r="E49" s="266"/>
      <c r="F49" s="258">
        <f t="shared" si="9"/>
        <v>0</v>
      </c>
      <c r="I49" s="259" t="str">
        <f t="shared" si="3"/>
        <v>Measure 38</v>
      </c>
      <c r="J49" s="260"/>
      <c r="K49" s="261"/>
      <c r="L49" s="250">
        <f t="shared" si="4"/>
        <v>0</v>
      </c>
      <c r="M49" s="267">
        <v>0</v>
      </c>
      <c r="N49" s="267">
        <v>0</v>
      </c>
      <c r="O49" s="252">
        <f t="shared" si="5"/>
        <v>0</v>
      </c>
      <c r="P49" s="253">
        <f t="shared" si="6"/>
        <v>0</v>
      </c>
      <c r="Q49" s="253">
        <f t="shared" si="7"/>
        <v>0</v>
      </c>
      <c r="R49" s="254">
        <f t="shared" si="8"/>
        <v>0</v>
      </c>
      <c r="T49" s="263">
        <v>0</v>
      </c>
    </row>
    <row r="50" spans="2:24" ht="13.8" x14ac:dyDescent="0.3">
      <c r="B50" s="264"/>
      <c r="C50" s="265" t="s">
        <v>164</v>
      </c>
      <c r="D50" s="266">
        <v>0</v>
      </c>
      <c r="E50" s="266"/>
      <c r="F50" s="258">
        <f t="shared" si="9"/>
        <v>0</v>
      </c>
      <c r="I50" s="259" t="str">
        <f t="shared" si="3"/>
        <v>Measure 39</v>
      </c>
      <c r="J50" s="260"/>
      <c r="K50" s="261"/>
      <c r="L50" s="250">
        <f t="shared" si="4"/>
        <v>0</v>
      </c>
      <c r="M50" s="267">
        <v>0</v>
      </c>
      <c r="N50" s="267">
        <v>0</v>
      </c>
      <c r="O50" s="252">
        <f t="shared" si="5"/>
        <v>0</v>
      </c>
      <c r="P50" s="253">
        <f t="shared" si="6"/>
        <v>0</v>
      </c>
      <c r="Q50" s="253">
        <f t="shared" si="7"/>
        <v>0</v>
      </c>
      <c r="R50" s="254">
        <f t="shared" si="8"/>
        <v>0</v>
      </c>
      <c r="T50" s="263">
        <v>0</v>
      </c>
    </row>
    <row r="51" spans="2:24" ht="14.4" thickBot="1" x14ac:dyDescent="0.35">
      <c r="B51" s="264"/>
      <c r="C51" s="265" t="s">
        <v>165</v>
      </c>
      <c r="D51" s="266">
        <v>0</v>
      </c>
      <c r="E51" s="266"/>
      <c r="F51" s="258">
        <f t="shared" si="9"/>
        <v>0</v>
      </c>
      <c r="I51" s="259" t="str">
        <f t="shared" si="3"/>
        <v>Measure 40</v>
      </c>
      <c r="J51" s="260"/>
      <c r="K51" s="261"/>
      <c r="L51" s="250">
        <f t="shared" si="4"/>
        <v>0</v>
      </c>
      <c r="M51" s="267">
        <v>0</v>
      </c>
      <c r="N51" s="267">
        <v>0</v>
      </c>
      <c r="O51" s="252">
        <f t="shared" si="5"/>
        <v>0</v>
      </c>
      <c r="P51" s="253">
        <f t="shared" si="6"/>
        <v>0</v>
      </c>
      <c r="Q51" s="253">
        <f t="shared" si="7"/>
        <v>0</v>
      </c>
      <c r="R51" s="254">
        <f t="shared" si="8"/>
        <v>0</v>
      </c>
      <c r="T51" s="263">
        <v>0</v>
      </c>
    </row>
    <row r="52" spans="2:24" ht="14.4" thickBot="1" x14ac:dyDescent="0.35">
      <c r="B52" s="272">
        <v>832800</v>
      </c>
      <c r="C52" s="244" t="s">
        <v>175</v>
      </c>
      <c r="D52" s="245">
        <f>S104</f>
        <v>517050</v>
      </c>
      <c r="E52" s="245">
        <f>T104</f>
        <v>517050</v>
      </c>
      <c r="F52" s="246">
        <f>U104</f>
        <v>1034100</v>
      </c>
      <c r="G52" s="271" t="s">
        <v>176</v>
      </c>
      <c r="I52" s="259" t="str">
        <f t="shared" si="3"/>
        <v>Measure 41</v>
      </c>
      <c r="J52" s="260"/>
      <c r="K52" s="261"/>
      <c r="L52" s="250">
        <f t="shared" si="4"/>
        <v>0</v>
      </c>
      <c r="M52" s="267">
        <v>0</v>
      </c>
      <c r="N52" s="267">
        <v>0</v>
      </c>
      <c r="O52" s="252">
        <f t="shared" si="5"/>
        <v>0</v>
      </c>
      <c r="P52" s="253">
        <f t="shared" si="6"/>
        <v>0</v>
      </c>
      <c r="Q52" s="253">
        <f t="shared" si="7"/>
        <v>0</v>
      </c>
      <c r="R52" s="254">
        <f t="shared" si="8"/>
        <v>0</v>
      </c>
      <c r="T52" s="263">
        <v>0</v>
      </c>
    </row>
    <row r="53" spans="2:24" ht="14.4" thickBot="1" x14ac:dyDescent="0.35">
      <c r="B53" s="272">
        <v>0</v>
      </c>
      <c r="C53" s="244" t="s">
        <v>177</v>
      </c>
      <c r="D53" s="245">
        <v>0</v>
      </c>
      <c r="E53" s="245">
        <v>0</v>
      </c>
      <c r="F53" s="246">
        <v>0</v>
      </c>
      <c r="P53" s="275">
        <f>SUM(P12:P52)</f>
        <v>1127100</v>
      </c>
      <c r="Q53" s="275">
        <f>SUM(Q12:Q52)</f>
        <v>1127100</v>
      </c>
      <c r="R53" s="275">
        <f>SUM(R12:R52)</f>
        <v>2254200</v>
      </c>
      <c r="T53" s="263">
        <v>0</v>
      </c>
    </row>
    <row r="54" spans="2:24" ht="13.8" x14ac:dyDescent="0.3">
      <c r="B54" s="273">
        <f>B12+B17+B22+B27+B32+B37+B42+B47+B52+B53</f>
        <v>1396253</v>
      </c>
      <c r="C54" s="274" t="s">
        <v>178</v>
      </c>
      <c r="D54" s="273">
        <f>D12+D17+D22+D27+D32+D37+D42+D47+D52+D53</f>
        <v>1061558.99</v>
      </c>
      <c r="E54" s="273">
        <f>E12+E17+E22+E27+E32+E37+E42+E47+E52+E53</f>
        <v>1071086.3399999999</v>
      </c>
      <c r="F54" s="273">
        <f>F12+F17+F22+F27+F32+F37+F42+F47+F52+F53</f>
        <v>2132645.33</v>
      </c>
      <c r="T54" s="275">
        <f>SUM(T12:T53)</f>
        <v>2767908</v>
      </c>
    </row>
    <row r="55" spans="2:24" ht="13.8" x14ac:dyDescent="0.3">
      <c r="C55" s="274"/>
      <c r="D55" s="273"/>
      <c r="E55" s="273"/>
      <c r="F55" s="273"/>
    </row>
    <row r="56" spans="2:24" ht="13.8" x14ac:dyDescent="0.3">
      <c r="C56" s="274" t="s">
        <v>179</v>
      </c>
      <c r="D56" s="273">
        <f>D54-D52</f>
        <v>544508.99</v>
      </c>
      <c r="E56" s="273">
        <f>E54-E52</f>
        <v>554036.33999999985</v>
      </c>
      <c r="F56" s="273">
        <f>F54-F52</f>
        <v>1098545.33</v>
      </c>
    </row>
    <row r="57" spans="2:24" ht="13.8" x14ac:dyDescent="0.3">
      <c r="C57" s="274" t="s">
        <v>180</v>
      </c>
      <c r="D57" s="276">
        <f>D52</f>
        <v>517050</v>
      </c>
      <c r="E57" s="276">
        <f>E52</f>
        <v>517050</v>
      </c>
      <c r="F57" s="276">
        <f>F52</f>
        <v>1034100</v>
      </c>
      <c r="G57" s="335">
        <f>F57/(F56+F57)</f>
        <v>0.4848907530254925</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96"/>
      <c r="C62" s="2656"/>
      <c r="D62" s="2648"/>
      <c r="E62" s="2648" t="s">
        <v>206</v>
      </c>
      <c r="F62" s="2648" t="s">
        <v>211</v>
      </c>
      <c r="G62" s="2649"/>
      <c r="H62" s="2649"/>
      <c r="I62" s="2655"/>
      <c r="J62" s="2648"/>
      <c r="K62" s="2648"/>
      <c r="L62" s="2653" t="e">
        <v>#DIV/0!</v>
      </c>
      <c r="M62" s="2653" t="e">
        <v>#DIV/0!</v>
      </c>
      <c r="N62" s="2654">
        <v>0</v>
      </c>
      <c r="O62" s="2654">
        <v>0</v>
      </c>
      <c r="P62" s="2654">
        <v>0</v>
      </c>
      <c r="Q62" s="2654">
        <v>0</v>
      </c>
      <c r="R62" s="2652">
        <v>1.081</v>
      </c>
      <c r="S62" s="2651">
        <v>0</v>
      </c>
      <c r="T62" s="2651">
        <v>0</v>
      </c>
      <c r="U62" s="2651">
        <v>0</v>
      </c>
      <c r="V62" s="338" t="e">
        <f t="shared" ref="V62:V79" si="10">U62/(U62+(I62*F$56))</f>
        <v>#DIV/0!</v>
      </c>
      <c r="W62" s="338" t="e">
        <f t="shared" ref="W62:W79" si="11">(I62*((F$17*1.63)+F$27))/(U62+(I62*F$56))</f>
        <v>#DIV/0!</v>
      </c>
      <c r="X62" s="338" t="e">
        <f t="shared" ref="X62:X79" si="12">(I62*F$37)/(U62+(I62*F$56))</f>
        <v>#DIV/0!</v>
      </c>
    </row>
    <row r="63" spans="2:24" ht="13.8" x14ac:dyDescent="0.3">
      <c r="B63" s="296"/>
      <c r="C63" s="2657" t="s">
        <v>1056</v>
      </c>
      <c r="D63" s="2647">
        <v>43</v>
      </c>
      <c r="E63" s="2647" t="s">
        <v>206</v>
      </c>
      <c r="F63" s="2647" t="s">
        <v>211</v>
      </c>
      <c r="G63" s="2649">
        <v>18.03</v>
      </c>
      <c r="H63" s="2649">
        <v>20</v>
      </c>
      <c r="I63" s="2655">
        <v>0.75</v>
      </c>
      <c r="J63" s="2648">
        <v>15</v>
      </c>
      <c r="K63" s="2648" t="s">
        <v>208</v>
      </c>
      <c r="L63" s="2653">
        <v>0.92710349714747464</v>
      </c>
      <c r="M63" s="2653">
        <v>1.0635992953530871</v>
      </c>
      <c r="N63" s="2654">
        <v>1309444.0309898243</v>
      </c>
      <c r="O63" s="2654">
        <v>1255537.8330249768</v>
      </c>
      <c r="P63" s="2654">
        <v>1213990.1404495523</v>
      </c>
      <c r="Q63" s="2654">
        <v>1335389.1544945072</v>
      </c>
      <c r="R63" s="2652">
        <v>1.081</v>
      </c>
      <c r="S63" s="2651">
        <v>295800</v>
      </c>
      <c r="T63" s="2651">
        <v>295800</v>
      </c>
      <c r="U63" s="2651">
        <v>591600</v>
      </c>
      <c r="V63" s="338">
        <f t="shared" si="10"/>
        <v>0.41794153272416762</v>
      </c>
      <c r="W63" s="338">
        <f t="shared" si="11"/>
        <v>0.16708009657141015</v>
      </c>
      <c r="X63" s="338">
        <f t="shared" si="12"/>
        <v>0.15124312199930046</v>
      </c>
    </row>
    <row r="64" spans="2:24" ht="13.8" x14ac:dyDescent="0.3">
      <c r="B64" s="296"/>
      <c r="C64" s="2659" t="s">
        <v>472</v>
      </c>
      <c r="D64" s="2647">
        <v>145</v>
      </c>
      <c r="E64" s="2647" t="s">
        <v>206</v>
      </c>
      <c r="F64" s="2647" t="s">
        <v>211</v>
      </c>
      <c r="G64" s="2649">
        <v>209</v>
      </c>
      <c r="H64" s="2649">
        <v>100</v>
      </c>
      <c r="I64" s="2655">
        <v>0</v>
      </c>
      <c r="J64" s="2648">
        <v>14</v>
      </c>
      <c r="K64" s="2648" t="s">
        <v>259</v>
      </c>
      <c r="L64" s="2653">
        <v>1.3976753022694777</v>
      </c>
      <c r="M64" s="2653">
        <v>0.73561858014183024</v>
      </c>
      <c r="N64" s="2654">
        <v>11100.832562442183</v>
      </c>
      <c r="O64" s="2654">
        <v>23200.740055504164</v>
      </c>
      <c r="P64" s="2654">
        <v>15515.359507154239</v>
      </c>
      <c r="Q64" s="2654">
        <v>17066.895457869661</v>
      </c>
      <c r="R64" s="2652">
        <v>1.081</v>
      </c>
      <c r="S64" s="2651">
        <v>6000</v>
      </c>
      <c r="T64" s="2651">
        <v>6000</v>
      </c>
      <c r="U64" s="2651">
        <v>12000</v>
      </c>
      <c r="V64" s="338">
        <f t="shared" si="10"/>
        <v>1</v>
      </c>
      <c r="W64" s="338">
        <f t="shared" si="11"/>
        <v>0</v>
      </c>
      <c r="X64" s="338">
        <f t="shared" si="12"/>
        <v>0</v>
      </c>
    </row>
    <row r="65" spans="2:24" ht="13.8" x14ac:dyDescent="0.3">
      <c r="B65" s="296"/>
      <c r="C65" s="2659" t="s">
        <v>473</v>
      </c>
      <c r="D65" s="2647">
        <v>81</v>
      </c>
      <c r="E65" s="2647" t="s">
        <v>206</v>
      </c>
      <c r="F65" s="2647" t="s">
        <v>211</v>
      </c>
      <c r="G65" s="2649">
        <v>107</v>
      </c>
      <c r="H65" s="2649">
        <v>50</v>
      </c>
      <c r="I65" s="2655">
        <v>0</v>
      </c>
      <c r="J65" s="2648">
        <v>14</v>
      </c>
      <c r="K65" s="2648" t="s">
        <v>259</v>
      </c>
      <c r="L65" s="2653">
        <v>1.5615406825355544</v>
      </c>
      <c r="M65" s="2653">
        <v>0.802661098499584</v>
      </c>
      <c r="N65" s="2654">
        <v>11100.832562442183</v>
      </c>
      <c r="O65" s="2654">
        <v>23755.781683626272</v>
      </c>
      <c r="P65" s="2654">
        <v>17334.401656268874</v>
      </c>
      <c r="Q65" s="2654">
        <v>19067.841821895759</v>
      </c>
      <c r="R65" s="2652">
        <v>1.081</v>
      </c>
      <c r="S65" s="2651">
        <v>6000</v>
      </c>
      <c r="T65" s="2651">
        <v>6000</v>
      </c>
      <c r="U65" s="2651">
        <v>12000</v>
      </c>
      <c r="V65" s="338">
        <f t="shared" si="10"/>
        <v>1</v>
      </c>
      <c r="W65" s="338">
        <f t="shared" si="11"/>
        <v>0</v>
      </c>
      <c r="X65" s="338">
        <f t="shared" si="12"/>
        <v>0</v>
      </c>
    </row>
    <row r="66" spans="2:24" ht="13.8" x14ac:dyDescent="0.3">
      <c r="B66" s="296"/>
      <c r="C66" s="2659" t="s">
        <v>474</v>
      </c>
      <c r="D66" s="2647">
        <v>130</v>
      </c>
      <c r="E66" s="2647" t="s">
        <v>206</v>
      </c>
      <c r="F66" s="2647" t="s">
        <v>211</v>
      </c>
      <c r="G66" s="2649">
        <v>246</v>
      </c>
      <c r="H66" s="2649">
        <v>100</v>
      </c>
      <c r="I66" s="2655">
        <v>0</v>
      </c>
      <c r="J66" s="2648">
        <v>14</v>
      </c>
      <c r="K66" s="2648" t="s">
        <v>259</v>
      </c>
      <c r="L66" s="2653">
        <v>1.2530882020347043</v>
      </c>
      <c r="M66" s="2653">
        <v>0.56032399277974554</v>
      </c>
      <c r="N66" s="2654">
        <v>33302.497687326548</v>
      </c>
      <c r="O66" s="2654">
        <v>81924.144310823322</v>
      </c>
      <c r="P66" s="2654">
        <v>41730.966950276917</v>
      </c>
      <c r="Q66" s="2654">
        <v>45904.063645304603</v>
      </c>
      <c r="R66" s="2652">
        <v>1.081</v>
      </c>
      <c r="S66" s="2651">
        <v>18000</v>
      </c>
      <c r="T66" s="2651">
        <v>18000</v>
      </c>
      <c r="U66" s="2651">
        <v>36000</v>
      </c>
      <c r="V66" s="338">
        <f t="shared" si="10"/>
        <v>1</v>
      </c>
      <c r="W66" s="338">
        <f t="shared" si="11"/>
        <v>0</v>
      </c>
      <c r="X66" s="338">
        <f t="shared" si="12"/>
        <v>0</v>
      </c>
    </row>
    <row r="67" spans="2:24" ht="13.8" x14ac:dyDescent="0.3">
      <c r="B67" s="296"/>
      <c r="C67" s="2660" t="s">
        <v>475</v>
      </c>
      <c r="D67" s="2647">
        <v>86</v>
      </c>
      <c r="E67" s="2647" t="s">
        <v>206</v>
      </c>
      <c r="F67" s="2647" t="s">
        <v>211</v>
      </c>
      <c r="G67" s="2649">
        <v>77</v>
      </c>
      <c r="H67" s="2649">
        <v>35</v>
      </c>
      <c r="I67" s="2655">
        <v>0</v>
      </c>
      <c r="J67" s="2648">
        <v>20</v>
      </c>
      <c r="K67" s="2648" t="s">
        <v>291</v>
      </c>
      <c r="L67" s="2653">
        <v>2.5737432673006166</v>
      </c>
      <c r="M67" s="2653">
        <v>1.2868716336503081</v>
      </c>
      <c r="N67" s="2654">
        <v>6475.4856614246073</v>
      </c>
      <c r="O67" s="2654">
        <v>14246.068455134136</v>
      </c>
      <c r="P67" s="2654">
        <v>16666.237623593264</v>
      </c>
      <c r="Q67" s="2654">
        <v>18332.861385952587</v>
      </c>
      <c r="R67" s="2652">
        <v>1.081</v>
      </c>
      <c r="S67" s="2651">
        <v>3500</v>
      </c>
      <c r="T67" s="2651">
        <v>3500</v>
      </c>
      <c r="U67" s="2651">
        <v>7000</v>
      </c>
      <c r="V67" s="338">
        <f t="shared" si="10"/>
        <v>1</v>
      </c>
      <c r="W67" s="338">
        <f t="shared" si="11"/>
        <v>0</v>
      </c>
      <c r="X67" s="338">
        <f t="shared" si="12"/>
        <v>0</v>
      </c>
    </row>
    <row r="68" spans="2:24" ht="13.8" x14ac:dyDescent="0.3">
      <c r="B68" s="296"/>
      <c r="C68" s="2661" t="s">
        <v>476</v>
      </c>
      <c r="D68" s="2647">
        <v>65</v>
      </c>
      <c r="E68" s="2647" t="s">
        <v>206</v>
      </c>
      <c r="F68" s="2647" t="s">
        <v>211</v>
      </c>
      <c r="G68" s="2649">
        <v>38</v>
      </c>
      <c r="H68" s="2649">
        <v>35</v>
      </c>
      <c r="I68" s="2655">
        <v>0.02</v>
      </c>
      <c r="J68" s="2648">
        <v>20</v>
      </c>
      <c r="K68" s="2648" t="s">
        <v>291</v>
      </c>
      <c r="L68" s="2653">
        <v>0.9506593132148099</v>
      </c>
      <c r="M68" s="2653">
        <v>1.0036821950849462</v>
      </c>
      <c r="N68" s="2654">
        <v>39751.069935245148</v>
      </c>
      <c r="O68" s="2654">
        <v>41416.194819611475</v>
      </c>
      <c r="P68" s="2654">
        <v>37789.724844194032</v>
      </c>
      <c r="Q68" s="2654">
        <v>41568.697328613423</v>
      </c>
      <c r="R68" s="2652">
        <v>1.081</v>
      </c>
      <c r="S68" s="2651">
        <v>10500</v>
      </c>
      <c r="T68" s="2651">
        <v>10500</v>
      </c>
      <c r="U68" s="2651">
        <v>21000</v>
      </c>
      <c r="V68" s="338">
        <f t="shared" si="10"/>
        <v>0.48870274475428449</v>
      </c>
      <c r="W68" s="338">
        <f t="shared" si="11"/>
        <v>0.14676806469798798</v>
      </c>
      <c r="X68" s="338">
        <f t="shared" si="12"/>
        <v>0.13285640103297239</v>
      </c>
    </row>
    <row r="69" spans="2:24" ht="13.8" x14ac:dyDescent="0.3">
      <c r="B69" s="296"/>
      <c r="C69" s="2662" t="s">
        <v>477</v>
      </c>
      <c r="D69" s="2647">
        <v>73</v>
      </c>
      <c r="E69" s="2647" t="s">
        <v>206</v>
      </c>
      <c r="F69" s="2647" t="s">
        <v>211</v>
      </c>
      <c r="G69" s="2649">
        <v>18.03</v>
      </c>
      <c r="H69" s="2649">
        <v>40</v>
      </c>
      <c r="I69" s="2655">
        <v>0.05</v>
      </c>
      <c r="J69" s="2648">
        <v>15</v>
      </c>
      <c r="K69" s="2648" t="s">
        <v>348</v>
      </c>
      <c r="L69" s="2653">
        <v>0.79013415302734435</v>
      </c>
      <c r="M69" s="2653">
        <v>1.1308784827717793</v>
      </c>
      <c r="N69" s="2654">
        <v>87814.307585568924</v>
      </c>
      <c r="O69" s="2654">
        <v>67490.533302497686</v>
      </c>
      <c r="P69" s="2654">
        <v>69385.083547806207</v>
      </c>
      <c r="Q69" s="2654">
        <v>76323.591902586821</v>
      </c>
      <c r="R69" s="2652">
        <v>1.081</v>
      </c>
      <c r="S69" s="2651">
        <v>20000</v>
      </c>
      <c r="T69" s="2651">
        <v>20000</v>
      </c>
      <c r="U69" s="2651">
        <v>40000</v>
      </c>
      <c r="V69" s="338">
        <f t="shared" si="10"/>
        <v>0.4213752431183721</v>
      </c>
      <c r="W69" s="338">
        <f t="shared" si="11"/>
        <v>0.16609444874302789</v>
      </c>
      <c r="X69" s="338">
        <f t="shared" si="12"/>
        <v>0.15035090049706637</v>
      </c>
    </row>
    <row r="70" spans="2:24" ht="13.8" x14ac:dyDescent="0.3">
      <c r="B70" s="296"/>
      <c r="C70" s="2661" t="s">
        <v>478</v>
      </c>
      <c r="D70" s="2647"/>
      <c r="E70" s="2647" t="s">
        <v>206</v>
      </c>
      <c r="F70" s="2647" t="s">
        <v>211</v>
      </c>
      <c r="G70" s="2649"/>
      <c r="H70" s="2649"/>
      <c r="I70" s="2655"/>
      <c r="J70" s="2648"/>
      <c r="K70" s="2648"/>
      <c r="L70" s="2653" t="e">
        <v>#DIV/0!</v>
      </c>
      <c r="M70" s="2653" t="e">
        <v>#DIV/0!</v>
      </c>
      <c r="N70" s="2654">
        <v>0</v>
      </c>
      <c r="O70" s="2654">
        <v>0</v>
      </c>
      <c r="P70" s="2654">
        <v>0</v>
      </c>
      <c r="Q70" s="2654">
        <v>0</v>
      </c>
      <c r="R70" s="2652">
        <v>1.081</v>
      </c>
      <c r="S70" s="2651">
        <v>0</v>
      </c>
      <c r="T70" s="2651">
        <v>0</v>
      </c>
      <c r="U70" s="2651">
        <v>0</v>
      </c>
      <c r="V70" s="338" t="e">
        <f t="shared" si="10"/>
        <v>#DIV/0!</v>
      </c>
      <c r="W70" s="338" t="e">
        <f t="shared" si="11"/>
        <v>#DIV/0!</v>
      </c>
      <c r="X70" s="338" t="e">
        <f t="shared" si="12"/>
        <v>#DIV/0!</v>
      </c>
    </row>
    <row r="71" spans="2:24" ht="13.8" x14ac:dyDescent="0.3">
      <c r="B71" s="296"/>
      <c r="C71" s="2661" t="s">
        <v>479</v>
      </c>
      <c r="D71" s="2647">
        <v>554</v>
      </c>
      <c r="E71" s="2647" t="s">
        <v>206</v>
      </c>
      <c r="F71" s="2647" t="s">
        <v>211</v>
      </c>
      <c r="G71" s="2649">
        <v>650</v>
      </c>
      <c r="H71" s="2649">
        <v>350</v>
      </c>
      <c r="I71" s="2655">
        <v>0.01</v>
      </c>
      <c r="J71" s="2648">
        <v>12</v>
      </c>
      <c r="K71" s="2648" t="s">
        <v>400</v>
      </c>
      <c r="L71" s="2653">
        <v>1.5885328883250176</v>
      </c>
      <c r="M71" s="2653">
        <v>1.0815615136112704</v>
      </c>
      <c r="N71" s="2654">
        <v>36064.24912118409</v>
      </c>
      <c r="O71" s="2654">
        <v>58265.91424606846</v>
      </c>
      <c r="P71" s="2654">
        <v>57289.245821747543</v>
      </c>
      <c r="Q71" s="2654">
        <v>63018.17040392229</v>
      </c>
      <c r="R71" s="2652">
        <v>1.081</v>
      </c>
      <c r="S71" s="2651">
        <v>14000</v>
      </c>
      <c r="T71" s="2651">
        <v>14000</v>
      </c>
      <c r="U71" s="2651">
        <v>28000</v>
      </c>
      <c r="V71" s="338">
        <f t="shared" si="10"/>
        <v>0.71821660721846725</v>
      </c>
      <c r="W71" s="338">
        <f t="shared" si="11"/>
        <v>8.0886026275857087E-2</v>
      </c>
      <c r="X71" s="338">
        <f t="shared" si="12"/>
        <v>7.3219105034748946E-2</v>
      </c>
    </row>
    <row r="72" spans="2:24" ht="13.8" x14ac:dyDescent="0.3">
      <c r="B72" s="296"/>
      <c r="C72" s="2658" t="s">
        <v>480</v>
      </c>
      <c r="D72" s="2647">
        <v>3500</v>
      </c>
      <c r="E72" s="2647" t="s">
        <v>206</v>
      </c>
      <c r="F72" s="2647" t="s">
        <v>211</v>
      </c>
      <c r="G72" s="2649">
        <v>3407</v>
      </c>
      <c r="H72" s="2649">
        <v>800</v>
      </c>
      <c r="I72" s="2655">
        <v>0.08</v>
      </c>
      <c r="J72" s="2648">
        <v>20</v>
      </c>
      <c r="K72" s="2648" t="s">
        <v>400</v>
      </c>
      <c r="L72" s="2653">
        <v>4.8004011180431974</v>
      </c>
      <c r="M72" s="2653">
        <v>1.8327861777452839</v>
      </c>
      <c r="N72" s="2654">
        <v>192306.77742830713</v>
      </c>
      <c r="O72" s="2654">
        <v>554055.15855689172</v>
      </c>
      <c r="P72" s="2654">
        <v>923149.66937412985</v>
      </c>
      <c r="Q72" s="2654">
        <v>1015464.6363115428</v>
      </c>
      <c r="R72" s="2652">
        <v>1.081</v>
      </c>
      <c r="S72" s="2651">
        <v>60000</v>
      </c>
      <c r="T72" s="2651">
        <v>60000</v>
      </c>
      <c r="U72" s="2651">
        <v>120000</v>
      </c>
      <c r="V72" s="338">
        <f t="shared" si="10"/>
        <v>0.57724603942160202</v>
      </c>
      <c r="W72" s="338">
        <f t="shared" si="11"/>
        <v>0.12135167947984188</v>
      </c>
      <c r="X72" s="338">
        <f t="shared" si="12"/>
        <v>0.10984915164054498</v>
      </c>
    </row>
    <row r="73" spans="2:24" ht="13.8" x14ac:dyDescent="0.3">
      <c r="B73" s="296"/>
      <c r="C73" s="2658" t="s">
        <v>481</v>
      </c>
      <c r="D73" s="2647">
        <v>2001</v>
      </c>
      <c r="E73" s="2647" t="s">
        <v>206</v>
      </c>
      <c r="F73" s="2647" t="s">
        <v>211</v>
      </c>
      <c r="G73" s="2649">
        <v>701</v>
      </c>
      <c r="H73" s="2649">
        <v>250</v>
      </c>
      <c r="I73" s="2655">
        <v>0.09</v>
      </c>
      <c r="J73" s="2648">
        <v>15</v>
      </c>
      <c r="K73" s="2648" t="s">
        <v>259</v>
      </c>
      <c r="L73" s="2653">
        <v>1.6272822260073911</v>
      </c>
      <c r="M73" s="2653">
        <v>1.3122338555441231</v>
      </c>
      <c r="N73" s="2654">
        <v>114587.49278445884</v>
      </c>
      <c r="O73" s="2654">
        <v>156308.12183163737</v>
      </c>
      <c r="P73" s="2654">
        <v>186466.19033090005</v>
      </c>
      <c r="Q73" s="2654">
        <v>205112.80936399003</v>
      </c>
      <c r="R73" s="2652">
        <v>1.081</v>
      </c>
      <c r="S73" s="2651">
        <v>12500</v>
      </c>
      <c r="T73" s="2651">
        <v>12500</v>
      </c>
      <c r="U73" s="2651">
        <v>25000</v>
      </c>
      <c r="V73" s="338">
        <f t="shared" si="10"/>
        <v>0.20182599289950162</v>
      </c>
      <c r="W73" s="338">
        <f t="shared" si="11"/>
        <v>0.229116141564423</v>
      </c>
      <c r="X73" s="338">
        <f t="shared" si="12"/>
        <v>0.20739897367623697</v>
      </c>
    </row>
    <row r="74" spans="2:24" ht="13.8" x14ac:dyDescent="0.3">
      <c r="B74" s="296"/>
      <c r="C74" s="2658" t="s">
        <v>482</v>
      </c>
      <c r="D74" s="2647"/>
      <c r="E74" s="2647" t="s">
        <v>206</v>
      </c>
      <c r="F74" s="2647" t="s">
        <v>211</v>
      </c>
      <c r="G74" s="2649"/>
      <c r="H74" s="2649"/>
      <c r="I74" s="2655"/>
      <c r="J74" s="2648"/>
      <c r="K74" s="2648"/>
      <c r="L74" s="2653" t="e">
        <v>#DIV/0!</v>
      </c>
      <c r="M74" s="2653" t="e">
        <v>#DIV/0!</v>
      </c>
      <c r="N74" s="2654">
        <v>0</v>
      </c>
      <c r="O74" s="2654">
        <v>0</v>
      </c>
      <c r="P74" s="2654">
        <v>0</v>
      </c>
      <c r="Q74" s="2654">
        <v>0</v>
      </c>
      <c r="R74" s="2652">
        <v>1.081</v>
      </c>
      <c r="S74" s="2651">
        <v>0</v>
      </c>
      <c r="T74" s="2651">
        <v>0</v>
      </c>
      <c r="U74" s="2651">
        <v>0</v>
      </c>
      <c r="V74" s="338" t="e">
        <f t="shared" si="10"/>
        <v>#DIV/0!</v>
      </c>
      <c r="W74" s="338" t="e">
        <f t="shared" si="11"/>
        <v>#DIV/0!</v>
      </c>
      <c r="X74" s="338" t="e">
        <f t="shared" si="12"/>
        <v>#DIV/0!</v>
      </c>
    </row>
    <row r="75" spans="2:24" ht="13.8" x14ac:dyDescent="0.3">
      <c r="B75" s="296"/>
      <c r="C75" s="2658" t="s">
        <v>483</v>
      </c>
      <c r="D75" s="2647"/>
      <c r="E75" s="2647" t="s">
        <v>206</v>
      </c>
      <c r="F75" s="2647" t="s">
        <v>211</v>
      </c>
      <c r="G75" s="2649"/>
      <c r="H75" s="2649"/>
      <c r="I75" s="2655"/>
      <c r="J75" s="2648"/>
      <c r="K75" s="2648"/>
      <c r="L75" s="2653" t="e">
        <v>#DIV/0!</v>
      </c>
      <c r="M75" s="2653" t="e">
        <v>#DIV/0!</v>
      </c>
      <c r="N75" s="2654">
        <v>0</v>
      </c>
      <c r="O75" s="2654">
        <v>0</v>
      </c>
      <c r="P75" s="2654">
        <v>0</v>
      </c>
      <c r="Q75" s="2654">
        <v>0</v>
      </c>
      <c r="R75" s="2652">
        <v>1.081</v>
      </c>
      <c r="S75" s="2651">
        <v>0</v>
      </c>
      <c r="T75" s="2651">
        <v>0</v>
      </c>
      <c r="U75" s="2651">
        <v>0</v>
      </c>
      <c r="V75" s="338" t="e">
        <f t="shared" si="10"/>
        <v>#DIV/0!</v>
      </c>
      <c r="W75" s="338" t="e">
        <f t="shared" si="11"/>
        <v>#DIV/0!</v>
      </c>
      <c r="X75" s="338" t="e">
        <f t="shared" si="12"/>
        <v>#DIV/0!</v>
      </c>
    </row>
    <row r="76" spans="2:24" ht="13.8" x14ac:dyDescent="0.3">
      <c r="B76" s="296"/>
      <c r="C76" s="3851" t="s">
        <v>484</v>
      </c>
      <c r="D76" s="3547"/>
      <c r="E76" s="3547" t="s">
        <v>206</v>
      </c>
      <c r="F76" s="3547" t="s">
        <v>211</v>
      </c>
      <c r="G76" s="3523"/>
      <c r="H76" s="3523"/>
      <c r="I76" s="3546"/>
      <c r="J76" s="3550"/>
      <c r="K76" s="3550"/>
      <c r="L76" s="2653" t="e">
        <v>#DIV/0!</v>
      </c>
      <c r="M76" s="2653" t="e">
        <v>#DIV/0!</v>
      </c>
      <c r="N76" s="2654">
        <v>0</v>
      </c>
      <c r="O76" s="2654">
        <v>0</v>
      </c>
      <c r="P76" s="2654">
        <v>0</v>
      </c>
      <c r="Q76" s="2654">
        <v>0</v>
      </c>
      <c r="R76" s="2652">
        <v>1.081</v>
      </c>
      <c r="S76" s="2651">
        <v>0</v>
      </c>
      <c r="T76" s="2651">
        <v>0</v>
      </c>
      <c r="U76" s="2651">
        <v>0</v>
      </c>
      <c r="V76" s="338" t="e">
        <f t="shared" si="10"/>
        <v>#DIV/0!</v>
      </c>
      <c r="W76" s="338" t="e">
        <f t="shared" si="11"/>
        <v>#DIV/0!</v>
      </c>
      <c r="X76" s="338" t="e">
        <f t="shared" si="12"/>
        <v>#DIV/0!</v>
      </c>
    </row>
    <row r="77" spans="2:24" ht="13.8" x14ac:dyDescent="0.3">
      <c r="B77" s="296"/>
      <c r="C77" s="2657" t="s">
        <v>485</v>
      </c>
      <c r="D77" s="2647"/>
      <c r="E77" s="2647" t="s">
        <v>206</v>
      </c>
      <c r="F77" s="2647" t="s">
        <v>211</v>
      </c>
      <c r="G77" s="2649"/>
      <c r="H77" s="2649">
        <v>50</v>
      </c>
      <c r="I77" s="2655"/>
      <c r="J77" s="2648"/>
      <c r="K77" s="2648"/>
      <c r="L77" s="2653">
        <v>0</v>
      </c>
      <c r="M77" s="2653" t="e">
        <v>#DIV/0!</v>
      </c>
      <c r="N77" s="2654">
        <v>46253.469010175766</v>
      </c>
      <c r="O77" s="2654">
        <v>0</v>
      </c>
      <c r="P77" s="2654">
        <v>0</v>
      </c>
      <c r="Q77" s="2654">
        <v>0</v>
      </c>
      <c r="R77" s="2652">
        <v>1.081</v>
      </c>
      <c r="S77" s="2651">
        <v>25000</v>
      </c>
      <c r="T77" s="2651">
        <v>25000</v>
      </c>
      <c r="U77" s="2651">
        <v>50000</v>
      </c>
      <c r="V77" s="338">
        <f t="shared" si="10"/>
        <v>1</v>
      </c>
      <c r="W77" s="338">
        <f t="shared" si="11"/>
        <v>0</v>
      </c>
      <c r="X77" s="338">
        <f t="shared" si="12"/>
        <v>0</v>
      </c>
    </row>
    <row r="78" spans="2:24" ht="13.8" x14ac:dyDescent="0.3">
      <c r="B78" s="296"/>
      <c r="C78" s="2657" t="s">
        <v>486</v>
      </c>
      <c r="D78" s="2647"/>
      <c r="E78" s="2647" t="s">
        <v>206</v>
      </c>
      <c r="F78" s="2647" t="s">
        <v>211</v>
      </c>
      <c r="G78" s="2649"/>
      <c r="H78" s="2649">
        <v>15</v>
      </c>
      <c r="I78" s="2655"/>
      <c r="J78" s="2648"/>
      <c r="K78" s="2648"/>
      <c r="L78" s="2653">
        <v>0</v>
      </c>
      <c r="M78" s="2653" t="e">
        <v>#DIV/0!</v>
      </c>
      <c r="N78" s="2654">
        <v>6938.0203515263647</v>
      </c>
      <c r="O78" s="2654">
        <v>0</v>
      </c>
      <c r="P78" s="2654">
        <v>0</v>
      </c>
      <c r="Q78" s="2654">
        <v>0</v>
      </c>
      <c r="R78" s="2652">
        <v>1.081</v>
      </c>
      <c r="S78" s="2651">
        <v>3750</v>
      </c>
      <c r="T78" s="2651">
        <v>3750</v>
      </c>
      <c r="U78" s="2651">
        <v>7500</v>
      </c>
      <c r="V78" s="338">
        <f t="shared" si="10"/>
        <v>1</v>
      </c>
      <c r="W78" s="338">
        <f t="shared" si="11"/>
        <v>0</v>
      </c>
      <c r="X78" s="338">
        <f t="shared" si="12"/>
        <v>0</v>
      </c>
    </row>
    <row r="79" spans="2:24" ht="13.8" x14ac:dyDescent="0.3">
      <c r="B79" s="296"/>
      <c r="C79" s="2657"/>
      <c r="D79" s="2647">
        <v>0</v>
      </c>
      <c r="E79" s="2647" t="s">
        <v>206</v>
      </c>
      <c r="F79" s="2647" t="s">
        <v>211</v>
      </c>
      <c r="G79" s="2649"/>
      <c r="H79" s="2649"/>
      <c r="I79" s="2650">
        <v>0</v>
      </c>
      <c r="J79" s="2648"/>
      <c r="K79" s="2648"/>
      <c r="L79" s="2653" t="e">
        <v>#DIV/0!</v>
      </c>
      <c r="M79" s="2653" t="e">
        <v>#DIV/0!</v>
      </c>
      <c r="N79" s="2654">
        <v>0</v>
      </c>
      <c r="O79" s="2654">
        <v>0</v>
      </c>
      <c r="P79" s="2654">
        <v>0</v>
      </c>
      <c r="Q79" s="2654">
        <v>0</v>
      </c>
      <c r="R79" s="2652">
        <v>1.081</v>
      </c>
      <c r="S79" s="2651">
        <v>0</v>
      </c>
      <c r="T79" s="2651">
        <v>0</v>
      </c>
      <c r="U79" s="2651">
        <v>0</v>
      </c>
      <c r="V79" s="338" t="e">
        <f t="shared" si="10"/>
        <v>#DIV/0!</v>
      </c>
      <c r="W79" s="338" t="e">
        <f t="shared" si="11"/>
        <v>#DIV/0!</v>
      </c>
      <c r="X79" s="338" t="e">
        <f t="shared" si="12"/>
        <v>#DIV/0!</v>
      </c>
    </row>
    <row r="80" spans="2:24" ht="13.8" x14ac:dyDescent="0.3">
      <c r="B80" s="296"/>
      <c r="C80" s="2657" t="s">
        <v>1057</v>
      </c>
      <c r="D80" s="2647">
        <v>0</v>
      </c>
      <c r="E80" s="2647" t="s">
        <v>206</v>
      </c>
      <c r="F80" s="2647" t="s">
        <v>211</v>
      </c>
      <c r="G80" s="2649"/>
      <c r="H80" s="2649">
        <v>3</v>
      </c>
      <c r="I80" s="2650">
        <v>0</v>
      </c>
      <c r="J80" s="2648"/>
      <c r="K80" s="2648"/>
      <c r="L80" s="2653">
        <v>0</v>
      </c>
      <c r="M80" s="2653" t="e">
        <v>#DIV/0!</v>
      </c>
      <c r="N80" s="2654">
        <v>77705.827937095281</v>
      </c>
      <c r="O80" s="2654">
        <v>0</v>
      </c>
      <c r="P80" s="2654">
        <v>0</v>
      </c>
      <c r="Q80" s="2654">
        <v>0</v>
      </c>
      <c r="R80" s="2652">
        <v>1.081</v>
      </c>
      <c r="S80" s="2651">
        <v>42000</v>
      </c>
      <c r="T80" s="2651">
        <v>42000</v>
      </c>
      <c r="U80" s="2651">
        <v>84000</v>
      </c>
    </row>
    <row r="81" spans="2:21" ht="13.8" x14ac:dyDescent="0.3">
      <c r="B81" s="296"/>
      <c r="C81" s="2550" t="s">
        <v>229</v>
      </c>
      <c r="D81" s="2550">
        <v>0</v>
      </c>
      <c r="E81" s="2550" t="s">
        <v>206</v>
      </c>
      <c r="F81" s="2550" t="s">
        <v>211</v>
      </c>
      <c r="G81" s="2552"/>
      <c r="H81" s="2552"/>
      <c r="I81" s="2553">
        <v>0</v>
      </c>
      <c r="J81" s="2551"/>
      <c r="K81" s="2551"/>
      <c r="L81" s="2555" t="e">
        <v>#DIV/0!</v>
      </c>
      <c r="M81" s="2555" t="e">
        <v>#DIV/0!</v>
      </c>
      <c r="N81" s="2557">
        <v>0</v>
      </c>
      <c r="O81" s="2557">
        <v>0</v>
      </c>
      <c r="P81" s="2557">
        <v>0</v>
      </c>
      <c r="Q81" s="2557">
        <v>0</v>
      </c>
      <c r="R81" s="2554">
        <v>1.081</v>
      </c>
      <c r="S81" s="2558">
        <v>0</v>
      </c>
      <c r="T81" s="2558">
        <v>0</v>
      </c>
      <c r="U81" s="2558">
        <v>0</v>
      </c>
    </row>
    <row r="82" spans="2:21" ht="13.8" x14ac:dyDescent="0.3">
      <c r="B82" s="296"/>
      <c r="C82" s="2550" t="s">
        <v>230</v>
      </c>
      <c r="D82" s="2556">
        <v>0</v>
      </c>
      <c r="E82" s="2550" t="s">
        <v>206</v>
      </c>
      <c r="F82" s="2550" t="s">
        <v>211</v>
      </c>
      <c r="G82" s="2552"/>
      <c r="H82" s="2552"/>
      <c r="I82" s="2553">
        <v>0</v>
      </c>
      <c r="J82" s="2551"/>
      <c r="K82" s="2551"/>
      <c r="L82" s="2555" t="e">
        <v>#DIV/0!</v>
      </c>
      <c r="M82" s="2555" t="e">
        <v>#DIV/0!</v>
      </c>
      <c r="N82" s="2557">
        <v>0</v>
      </c>
      <c r="O82" s="2557">
        <v>0</v>
      </c>
      <c r="P82" s="2557">
        <v>0</v>
      </c>
      <c r="Q82" s="2557">
        <v>0</v>
      </c>
      <c r="R82" s="2554">
        <v>1.081</v>
      </c>
      <c r="S82" s="2558">
        <v>0</v>
      </c>
      <c r="T82" s="2558">
        <v>0</v>
      </c>
      <c r="U82" s="2558">
        <v>0</v>
      </c>
    </row>
    <row r="83" spans="2:21" ht="13.8" x14ac:dyDescent="0.3">
      <c r="B83" s="296"/>
      <c r="C83" s="2550" t="s">
        <v>231</v>
      </c>
      <c r="D83" s="2556">
        <v>0</v>
      </c>
      <c r="E83" s="2550" t="s">
        <v>206</v>
      </c>
      <c r="F83" s="2550" t="s">
        <v>211</v>
      </c>
      <c r="G83" s="2552"/>
      <c r="H83" s="2552"/>
      <c r="I83" s="2553">
        <v>0</v>
      </c>
      <c r="J83" s="2551"/>
      <c r="K83" s="2551"/>
      <c r="L83" s="2555" t="e">
        <v>#DIV/0!</v>
      </c>
      <c r="M83" s="2555" t="e">
        <v>#DIV/0!</v>
      </c>
      <c r="N83" s="2557">
        <v>0</v>
      </c>
      <c r="O83" s="2557">
        <v>0</v>
      </c>
      <c r="P83" s="2557">
        <v>0</v>
      </c>
      <c r="Q83" s="2557">
        <v>0</v>
      </c>
      <c r="R83" s="2554">
        <v>1.081</v>
      </c>
      <c r="S83" s="2558">
        <v>0</v>
      </c>
      <c r="T83" s="2558">
        <v>0</v>
      </c>
      <c r="U83" s="2558">
        <v>0</v>
      </c>
    </row>
    <row r="84" spans="2:21" ht="13.8" x14ac:dyDescent="0.3">
      <c r="B84" s="296"/>
      <c r="C84" s="2550" t="s">
        <v>232</v>
      </c>
      <c r="D84" s="2556">
        <v>0</v>
      </c>
      <c r="E84" s="2550" t="s">
        <v>206</v>
      </c>
      <c r="F84" s="2550" t="s">
        <v>211</v>
      </c>
      <c r="G84" s="2552"/>
      <c r="H84" s="2552"/>
      <c r="I84" s="2553">
        <v>0</v>
      </c>
      <c r="J84" s="2551"/>
      <c r="K84" s="2551"/>
      <c r="L84" s="2555" t="e">
        <v>#DIV/0!</v>
      </c>
      <c r="M84" s="2555" t="e">
        <v>#DIV/0!</v>
      </c>
      <c r="N84" s="2557">
        <v>0</v>
      </c>
      <c r="O84" s="2557">
        <v>0</v>
      </c>
      <c r="P84" s="2557">
        <v>0</v>
      </c>
      <c r="Q84" s="2557">
        <v>0</v>
      </c>
      <c r="R84" s="2554">
        <v>1.081</v>
      </c>
      <c r="S84" s="2558">
        <v>0</v>
      </c>
      <c r="T84" s="2558">
        <v>0</v>
      </c>
      <c r="U84" s="2558">
        <v>0</v>
      </c>
    </row>
    <row r="85" spans="2:21" ht="13.8" x14ac:dyDescent="0.3">
      <c r="B85" s="296"/>
      <c r="C85" s="2550" t="s">
        <v>233</v>
      </c>
      <c r="D85" s="2556">
        <v>0</v>
      </c>
      <c r="E85" s="2550" t="s">
        <v>206</v>
      </c>
      <c r="F85" s="2550" t="s">
        <v>211</v>
      </c>
      <c r="G85" s="2552"/>
      <c r="H85" s="2552"/>
      <c r="I85" s="2553">
        <v>0</v>
      </c>
      <c r="J85" s="2551"/>
      <c r="K85" s="2551"/>
      <c r="L85" s="2555" t="e">
        <v>#DIV/0!</v>
      </c>
      <c r="M85" s="2555" t="e">
        <v>#DIV/0!</v>
      </c>
      <c r="N85" s="2557">
        <v>0</v>
      </c>
      <c r="O85" s="2557">
        <v>0</v>
      </c>
      <c r="P85" s="2557">
        <v>0</v>
      </c>
      <c r="Q85" s="2557">
        <v>0</v>
      </c>
      <c r="R85" s="2554">
        <v>1.081</v>
      </c>
      <c r="S85" s="2558">
        <v>0</v>
      </c>
      <c r="T85" s="2558">
        <v>0</v>
      </c>
      <c r="U85" s="2558">
        <v>0</v>
      </c>
    </row>
    <row r="86" spans="2:21" ht="13.8" x14ac:dyDescent="0.3">
      <c r="B86" s="296"/>
      <c r="C86" s="2550" t="s">
        <v>234</v>
      </c>
      <c r="D86" s="2556">
        <v>0</v>
      </c>
      <c r="E86" s="2550" t="s">
        <v>206</v>
      </c>
      <c r="F86" s="2550" t="s">
        <v>211</v>
      </c>
      <c r="G86" s="2552"/>
      <c r="H86" s="2552"/>
      <c r="I86" s="2553">
        <v>0</v>
      </c>
      <c r="J86" s="2551"/>
      <c r="K86" s="2551"/>
      <c r="L86" s="2555" t="e">
        <v>#DIV/0!</v>
      </c>
      <c r="M86" s="2555" t="e">
        <v>#DIV/0!</v>
      </c>
      <c r="N86" s="2557">
        <v>0</v>
      </c>
      <c r="O86" s="2557">
        <v>0</v>
      </c>
      <c r="P86" s="2557">
        <v>0</v>
      </c>
      <c r="Q86" s="2557">
        <v>0</v>
      </c>
      <c r="R86" s="2554">
        <v>1.081</v>
      </c>
      <c r="S86" s="2558">
        <v>0</v>
      </c>
      <c r="T86" s="2558">
        <v>0</v>
      </c>
      <c r="U86" s="2558">
        <v>0</v>
      </c>
    </row>
    <row r="87" spans="2:21" ht="13.8" x14ac:dyDescent="0.3">
      <c r="B87" s="296"/>
      <c r="C87" s="2550" t="s">
        <v>235</v>
      </c>
      <c r="D87" s="2556">
        <v>0</v>
      </c>
      <c r="E87" s="2550" t="s">
        <v>206</v>
      </c>
      <c r="F87" s="2550" t="s">
        <v>211</v>
      </c>
      <c r="G87" s="2552"/>
      <c r="H87" s="2552"/>
      <c r="I87" s="2553">
        <v>0</v>
      </c>
      <c r="J87" s="2551"/>
      <c r="K87" s="2551"/>
      <c r="L87" s="2555" t="e">
        <v>#DIV/0!</v>
      </c>
      <c r="M87" s="2555" t="e">
        <v>#DIV/0!</v>
      </c>
      <c r="N87" s="2557">
        <v>0</v>
      </c>
      <c r="O87" s="2557">
        <v>0</v>
      </c>
      <c r="P87" s="2557">
        <v>0</v>
      </c>
      <c r="Q87" s="2557">
        <v>0</v>
      </c>
      <c r="R87" s="2554">
        <v>1.081</v>
      </c>
      <c r="S87" s="2558">
        <v>0</v>
      </c>
      <c r="T87" s="2558">
        <v>0</v>
      </c>
      <c r="U87" s="2558">
        <v>0</v>
      </c>
    </row>
    <row r="88" spans="2:21" ht="13.8" x14ac:dyDescent="0.3">
      <c r="B88" s="296"/>
      <c r="C88" s="2550" t="s">
        <v>236</v>
      </c>
      <c r="D88" s="2556">
        <v>0</v>
      </c>
      <c r="E88" s="2550" t="s">
        <v>206</v>
      </c>
      <c r="F88" s="2550" t="s">
        <v>211</v>
      </c>
      <c r="G88" s="2552"/>
      <c r="H88" s="2552"/>
      <c r="I88" s="2553">
        <v>0</v>
      </c>
      <c r="J88" s="2551"/>
      <c r="K88" s="2551"/>
      <c r="L88" s="2555" t="e">
        <v>#DIV/0!</v>
      </c>
      <c r="M88" s="2555" t="e">
        <v>#DIV/0!</v>
      </c>
      <c r="N88" s="2557">
        <v>0</v>
      </c>
      <c r="O88" s="2557">
        <v>0</v>
      </c>
      <c r="P88" s="2557">
        <v>0</v>
      </c>
      <c r="Q88" s="2557">
        <v>0</v>
      </c>
      <c r="R88" s="2554">
        <v>1.081</v>
      </c>
      <c r="S88" s="2558">
        <v>0</v>
      </c>
      <c r="T88" s="2558">
        <v>0</v>
      </c>
      <c r="U88" s="2558">
        <v>0</v>
      </c>
    </row>
    <row r="89" spans="2:21" ht="13.8" x14ac:dyDescent="0.3">
      <c r="B89" s="296"/>
      <c r="C89" s="2550" t="s">
        <v>237</v>
      </c>
      <c r="D89" s="2556">
        <v>0</v>
      </c>
      <c r="E89" s="2550" t="s">
        <v>206</v>
      </c>
      <c r="F89" s="2550" t="s">
        <v>211</v>
      </c>
      <c r="G89" s="2552"/>
      <c r="H89" s="2552"/>
      <c r="I89" s="2553">
        <v>0</v>
      </c>
      <c r="J89" s="2551"/>
      <c r="K89" s="2551"/>
      <c r="L89" s="2555" t="e">
        <v>#DIV/0!</v>
      </c>
      <c r="M89" s="2555" t="e">
        <v>#DIV/0!</v>
      </c>
      <c r="N89" s="2557">
        <v>0</v>
      </c>
      <c r="O89" s="2557">
        <v>0</v>
      </c>
      <c r="P89" s="2557">
        <v>0</v>
      </c>
      <c r="Q89" s="2557">
        <v>0</v>
      </c>
      <c r="R89" s="2554">
        <v>1.081</v>
      </c>
      <c r="S89" s="2558">
        <v>0</v>
      </c>
      <c r="T89" s="2558">
        <v>0</v>
      </c>
      <c r="U89" s="2558">
        <v>0</v>
      </c>
    </row>
    <row r="90" spans="2:21" ht="13.8" x14ac:dyDescent="0.3">
      <c r="B90" s="296"/>
      <c r="C90" s="2550" t="s">
        <v>238</v>
      </c>
      <c r="D90" s="2556">
        <v>0</v>
      </c>
      <c r="E90" s="2550" t="s">
        <v>206</v>
      </c>
      <c r="F90" s="2550" t="s">
        <v>211</v>
      </c>
      <c r="G90" s="2552"/>
      <c r="H90" s="2552"/>
      <c r="I90" s="2553">
        <v>0</v>
      </c>
      <c r="J90" s="2551"/>
      <c r="K90" s="2551"/>
      <c r="L90" s="2555" t="e">
        <v>#DIV/0!</v>
      </c>
      <c r="M90" s="2555" t="e">
        <v>#DIV/0!</v>
      </c>
      <c r="N90" s="2557">
        <v>0</v>
      </c>
      <c r="O90" s="2557">
        <v>0</v>
      </c>
      <c r="P90" s="2557">
        <v>0</v>
      </c>
      <c r="Q90" s="2557">
        <v>0</v>
      </c>
      <c r="R90" s="2554">
        <v>1.081</v>
      </c>
      <c r="S90" s="2558">
        <v>0</v>
      </c>
      <c r="T90" s="2558">
        <v>0</v>
      </c>
      <c r="U90" s="2558">
        <v>0</v>
      </c>
    </row>
    <row r="91" spans="2:21" ht="13.8" x14ac:dyDescent="0.3">
      <c r="B91" s="296"/>
      <c r="C91" s="2550" t="s">
        <v>239</v>
      </c>
      <c r="D91" s="2556">
        <v>0</v>
      </c>
      <c r="E91" s="2550" t="s">
        <v>206</v>
      </c>
      <c r="F91" s="2550" t="s">
        <v>211</v>
      </c>
      <c r="G91" s="2552"/>
      <c r="H91" s="2552"/>
      <c r="I91" s="2553">
        <v>0</v>
      </c>
      <c r="J91" s="2551"/>
      <c r="K91" s="2551"/>
      <c r="L91" s="2555" t="e">
        <v>#DIV/0!</v>
      </c>
      <c r="M91" s="2555" t="e">
        <v>#DIV/0!</v>
      </c>
      <c r="N91" s="2557">
        <v>0</v>
      </c>
      <c r="O91" s="2557">
        <v>0</v>
      </c>
      <c r="P91" s="2557">
        <v>0</v>
      </c>
      <c r="Q91" s="2557">
        <v>0</v>
      </c>
      <c r="R91" s="2554">
        <v>1.081</v>
      </c>
      <c r="S91" s="2558">
        <v>0</v>
      </c>
      <c r="T91" s="2558">
        <v>0</v>
      </c>
      <c r="U91" s="2558">
        <v>0</v>
      </c>
    </row>
    <row r="92" spans="2:21" ht="13.8" x14ac:dyDescent="0.3">
      <c r="B92" s="296"/>
      <c r="C92" s="2550" t="s">
        <v>240</v>
      </c>
      <c r="D92" s="2556">
        <v>0</v>
      </c>
      <c r="E92" s="2550" t="s">
        <v>206</v>
      </c>
      <c r="F92" s="2550" t="s">
        <v>211</v>
      </c>
      <c r="G92" s="2552"/>
      <c r="H92" s="2552"/>
      <c r="I92" s="2553">
        <v>0</v>
      </c>
      <c r="J92" s="2551"/>
      <c r="K92" s="2551"/>
      <c r="L92" s="2555" t="e">
        <v>#DIV/0!</v>
      </c>
      <c r="M92" s="2555" t="e">
        <v>#DIV/0!</v>
      </c>
      <c r="N92" s="2557">
        <v>0</v>
      </c>
      <c r="O92" s="2557">
        <v>0</v>
      </c>
      <c r="P92" s="2557">
        <v>0</v>
      </c>
      <c r="Q92" s="2557">
        <v>0</v>
      </c>
      <c r="R92" s="2554">
        <v>1.081</v>
      </c>
      <c r="S92" s="2558">
        <v>0</v>
      </c>
      <c r="T92" s="2558">
        <v>0</v>
      </c>
      <c r="U92" s="2558">
        <v>0</v>
      </c>
    </row>
    <row r="93" spans="2:21" ht="13.8" x14ac:dyDescent="0.3">
      <c r="B93" s="296"/>
      <c r="C93" s="2550" t="s">
        <v>241</v>
      </c>
      <c r="D93" s="2556">
        <v>0</v>
      </c>
      <c r="E93" s="2550" t="s">
        <v>206</v>
      </c>
      <c r="F93" s="2550" t="s">
        <v>211</v>
      </c>
      <c r="G93" s="2552"/>
      <c r="H93" s="2552"/>
      <c r="I93" s="2553">
        <v>0</v>
      </c>
      <c r="J93" s="2551"/>
      <c r="K93" s="2551"/>
      <c r="L93" s="2555" t="e">
        <v>#DIV/0!</v>
      </c>
      <c r="M93" s="2555" t="e">
        <v>#DIV/0!</v>
      </c>
      <c r="N93" s="2557">
        <v>0</v>
      </c>
      <c r="O93" s="2557">
        <v>0</v>
      </c>
      <c r="P93" s="2557">
        <v>0</v>
      </c>
      <c r="Q93" s="2557">
        <v>0</v>
      </c>
      <c r="R93" s="2554">
        <v>1.081</v>
      </c>
      <c r="S93" s="2558">
        <v>0</v>
      </c>
      <c r="T93" s="2558">
        <v>0</v>
      </c>
      <c r="U93" s="2558">
        <v>0</v>
      </c>
    </row>
    <row r="94" spans="2:21" ht="13.8" x14ac:dyDescent="0.3">
      <c r="B94" s="296"/>
      <c r="C94" s="2550" t="s">
        <v>242</v>
      </c>
      <c r="D94" s="2556">
        <v>0</v>
      </c>
      <c r="E94" s="2550" t="s">
        <v>206</v>
      </c>
      <c r="F94" s="2550" t="s">
        <v>211</v>
      </c>
      <c r="G94" s="2552"/>
      <c r="H94" s="2552"/>
      <c r="I94" s="2553">
        <v>0</v>
      </c>
      <c r="J94" s="2551"/>
      <c r="K94" s="2551"/>
      <c r="L94" s="2555" t="e">
        <v>#DIV/0!</v>
      </c>
      <c r="M94" s="2555" t="e">
        <v>#DIV/0!</v>
      </c>
      <c r="N94" s="2557">
        <v>0</v>
      </c>
      <c r="O94" s="2557">
        <v>0</v>
      </c>
      <c r="P94" s="2557">
        <v>0</v>
      </c>
      <c r="Q94" s="2557">
        <v>0</v>
      </c>
      <c r="R94" s="2554">
        <v>1.081</v>
      </c>
      <c r="S94" s="2558">
        <v>0</v>
      </c>
      <c r="T94" s="2558">
        <v>0</v>
      </c>
      <c r="U94" s="2558">
        <v>0</v>
      </c>
    </row>
    <row r="95" spans="2:21" ht="13.8" x14ac:dyDescent="0.3">
      <c r="B95" s="296"/>
      <c r="C95" s="2550" t="s">
        <v>243</v>
      </c>
      <c r="D95" s="2556">
        <v>0</v>
      </c>
      <c r="E95" s="2550" t="s">
        <v>206</v>
      </c>
      <c r="F95" s="2550" t="s">
        <v>211</v>
      </c>
      <c r="G95" s="2552"/>
      <c r="H95" s="2552"/>
      <c r="I95" s="2553">
        <v>0</v>
      </c>
      <c r="J95" s="2551"/>
      <c r="K95" s="2551"/>
      <c r="L95" s="2555" t="e">
        <v>#DIV/0!</v>
      </c>
      <c r="M95" s="2555" t="e">
        <v>#DIV/0!</v>
      </c>
      <c r="N95" s="2557">
        <v>0</v>
      </c>
      <c r="O95" s="2557">
        <v>0</v>
      </c>
      <c r="P95" s="2557">
        <v>0</v>
      </c>
      <c r="Q95" s="2557">
        <v>0</v>
      </c>
      <c r="R95" s="2554">
        <v>1.081</v>
      </c>
      <c r="S95" s="2558">
        <v>0</v>
      </c>
      <c r="T95" s="2558">
        <v>0</v>
      </c>
      <c r="U95" s="2558">
        <v>0</v>
      </c>
    </row>
    <row r="96" spans="2:21" ht="13.8" x14ac:dyDescent="0.3">
      <c r="B96" s="296"/>
      <c r="C96" s="2550" t="s">
        <v>244</v>
      </c>
      <c r="D96" s="2556">
        <v>0</v>
      </c>
      <c r="E96" s="2550" t="s">
        <v>206</v>
      </c>
      <c r="F96" s="2550" t="s">
        <v>211</v>
      </c>
      <c r="G96" s="2552"/>
      <c r="H96" s="2552"/>
      <c r="I96" s="2553">
        <v>0</v>
      </c>
      <c r="J96" s="2551"/>
      <c r="K96" s="2551"/>
      <c r="L96" s="2555" t="e">
        <v>#DIV/0!</v>
      </c>
      <c r="M96" s="2555" t="e">
        <v>#DIV/0!</v>
      </c>
      <c r="N96" s="2557">
        <v>0</v>
      </c>
      <c r="O96" s="2557">
        <v>0</v>
      </c>
      <c r="P96" s="2557">
        <v>0</v>
      </c>
      <c r="Q96" s="2557">
        <v>0</v>
      </c>
      <c r="R96" s="2554">
        <v>1.081</v>
      </c>
      <c r="S96" s="2558">
        <v>0</v>
      </c>
      <c r="T96" s="2558">
        <v>0</v>
      </c>
      <c r="U96" s="2558">
        <v>0</v>
      </c>
    </row>
    <row r="97" spans="1:21" ht="13.8" x14ac:dyDescent="0.3">
      <c r="B97" s="296"/>
      <c r="C97" s="2550" t="s">
        <v>245</v>
      </c>
      <c r="D97" s="2556">
        <v>0</v>
      </c>
      <c r="E97" s="2550" t="s">
        <v>206</v>
      </c>
      <c r="F97" s="2550" t="s">
        <v>211</v>
      </c>
      <c r="G97" s="2552"/>
      <c r="H97" s="2552"/>
      <c r="I97" s="2553">
        <v>0</v>
      </c>
      <c r="J97" s="2551"/>
      <c r="K97" s="2551"/>
      <c r="L97" s="2555" t="e">
        <v>#DIV/0!</v>
      </c>
      <c r="M97" s="2555" t="e">
        <v>#DIV/0!</v>
      </c>
      <c r="N97" s="2557">
        <v>0</v>
      </c>
      <c r="O97" s="2557">
        <v>0</v>
      </c>
      <c r="P97" s="2557">
        <v>0</v>
      </c>
      <c r="Q97" s="2557">
        <v>0</v>
      </c>
      <c r="R97" s="2554">
        <v>1.081</v>
      </c>
      <c r="S97" s="2558">
        <v>0</v>
      </c>
      <c r="T97" s="2558">
        <v>0</v>
      </c>
      <c r="U97" s="2558">
        <v>0</v>
      </c>
    </row>
    <row r="98" spans="1:21" ht="13.8" x14ac:dyDescent="0.3">
      <c r="B98" s="296"/>
      <c r="C98" s="2550" t="s">
        <v>246</v>
      </c>
      <c r="D98" s="2556">
        <v>0</v>
      </c>
      <c r="E98" s="2550" t="s">
        <v>206</v>
      </c>
      <c r="F98" s="2550" t="s">
        <v>211</v>
      </c>
      <c r="G98" s="2552"/>
      <c r="H98" s="2552"/>
      <c r="I98" s="2553">
        <v>0</v>
      </c>
      <c r="J98" s="2551"/>
      <c r="K98" s="2551"/>
      <c r="L98" s="2555" t="e">
        <v>#DIV/0!</v>
      </c>
      <c r="M98" s="2555" t="e">
        <v>#DIV/0!</v>
      </c>
      <c r="N98" s="2557">
        <v>0</v>
      </c>
      <c r="O98" s="2557">
        <v>0</v>
      </c>
      <c r="P98" s="2557">
        <v>0</v>
      </c>
      <c r="Q98" s="2557">
        <v>0</v>
      </c>
      <c r="R98" s="2554">
        <v>1.081</v>
      </c>
      <c r="S98" s="2558">
        <v>0</v>
      </c>
      <c r="T98" s="2558">
        <v>0</v>
      </c>
      <c r="U98" s="2558">
        <v>0</v>
      </c>
    </row>
    <row r="99" spans="1:21" ht="13.8" x14ac:dyDescent="0.3">
      <c r="B99" s="296"/>
      <c r="C99" s="2550" t="s">
        <v>247</v>
      </c>
      <c r="D99" s="2556">
        <v>0</v>
      </c>
      <c r="E99" s="2550" t="s">
        <v>206</v>
      </c>
      <c r="F99" s="2550" t="s">
        <v>211</v>
      </c>
      <c r="G99" s="2552"/>
      <c r="H99" s="2552"/>
      <c r="I99" s="2553">
        <v>0</v>
      </c>
      <c r="J99" s="2551"/>
      <c r="K99" s="2551"/>
      <c r="L99" s="2555" t="e">
        <v>#DIV/0!</v>
      </c>
      <c r="M99" s="2555" t="e">
        <v>#DIV/0!</v>
      </c>
      <c r="N99" s="2557">
        <v>0</v>
      </c>
      <c r="O99" s="2557">
        <v>0</v>
      </c>
      <c r="P99" s="2557">
        <v>0</v>
      </c>
      <c r="Q99" s="2557">
        <v>0</v>
      </c>
      <c r="R99" s="2554">
        <v>1.081</v>
      </c>
      <c r="S99" s="2558">
        <v>0</v>
      </c>
      <c r="T99" s="2558">
        <v>0</v>
      </c>
      <c r="U99" s="2558">
        <v>0</v>
      </c>
    </row>
    <row r="100" spans="1:21" ht="13.8" x14ac:dyDescent="0.3">
      <c r="B100" s="296"/>
      <c r="C100" s="2550" t="s">
        <v>248</v>
      </c>
      <c r="D100" s="2556">
        <v>0</v>
      </c>
      <c r="E100" s="2550" t="s">
        <v>206</v>
      </c>
      <c r="F100" s="2550" t="s">
        <v>211</v>
      </c>
      <c r="G100" s="2552"/>
      <c r="H100" s="2552"/>
      <c r="I100" s="2553">
        <v>0</v>
      </c>
      <c r="J100" s="2551"/>
      <c r="K100" s="2551"/>
      <c r="L100" s="2555" t="e">
        <v>#DIV/0!</v>
      </c>
      <c r="M100" s="2555" t="e">
        <v>#DIV/0!</v>
      </c>
      <c r="N100" s="2557">
        <v>0</v>
      </c>
      <c r="O100" s="2557">
        <v>0</v>
      </c>
      <c r="P100" s="2557">
        <v>0</v>
      </c>
      <c r="Q100" s="2557">
        <v>0</v>
      </c>
      <c r="R100" s="2554">
        <v>1.081</v>
      </c>
      <c r="S100" s="2558">
        <v>0</v>
      </c>
      <c r="T100" s="2558">
        <v>0</v>
      </c>
      <c r="U100" s="2558">
        <v>0</v>
      </c>
    </row>
    <row r="101" spans="1:21" ht="13.8" x14ac:dyDescent="0.3">
      <c r="B101" s="296"/>
      <c r="C101" s="2550" t="s">
        <v>249</v>
      </c>
      <c r="D101" s="2556">
        <v>0</v>
      </c>
      <c r="E101" s="2550" t="s">
        <v>206</v>
      </c>
      <c r="F101" s="2550" t="s">
        <v>211</v>
      </c>
      <c r="G101" s="2552"/>
      <c r="H101" s="2552"/>
      <c r="I101" s="2553">
        <v>0</v>
      </c>
      <c r="J101" s="2551"/>
      <c r="K101" s="2551"/>
      <c r="L101" s="2555" t="e">
        <v>#DIV/0!</v>
      </c>
      <c r="M101" s="2555" t="e">
        <v>#DIV/0!</v>
      </c>
      <c r="N101" s="2557">
        <v>0</v>
      </c>
      <c r="O101" s="2557">
        <v>0</v>
      </c>
      <c r="P101" s="2557">
        <v>0</v>
      </c>
      <c r="Q101" s="2557">
        <v>0</v>
      </c>
      <c r="R101" s="2554">
        <v>1.081</v>
      </c>
      <c r="S101" s="2558">
        <v>0</v>
      </c>
      <c r="T101" s="2558">
        <v>0</v>
      </c>
      <c r="U101" s="2558">
        <v>0</v>
      </c>
    </row>
    <row r="102" spans="1:21" ht="13.8" x14ac:dyDescent="0.3">
      <c r="B102" s="296"/>
      <c r="C102" s="2550" t="s">
        <v>250</v>
      </c>
      <c r="D102" s="2556">
        <v>0</v>
      </c>
      <c r="E102" s="2550" t="s">
        <v>206</v>
      </c>
      <c r="F102" s="2550" t="s">
        <v>211</v>
      </c>
      <c r="G102" s="2552"/>
      <c r="H102" s="2552"/>
      <c r="I102" s="2553">
        <v>0</v>
      </c>
      <c r="J102" s="2551"/>
      <c r="K102" s="2551"/>
      <c r="L102" s="2555" t="e">
        <v>#DIV/0!</v>
      </c>
      <c r="M102" s="2555" t="e">
        <v>#DIV/0!</v>
      </c>
      <c r="N102" s="2557">
        <v>0</v>
      </c>
      <c r="O102" s="2557">
        <v>0</v>
      </c>
      <c r="P102" s="2557">
        <v>0</v>
      </c>
      <c r="Q102" s="2557">
        <v>0</v>
      </c>
      <c r="R102" s="2554">
        <v>1.081</v>
      </c>
      <c r="S102" s="2558">
        <v>0</v>
      </c>
      <c r="T102" s="2558">
        <v>0</v>
      </c>
      <c r="U102" s="2558">
        <v>0</v>
      </c>
    </row>
    <row r="103" spans="1:21" ht="13.8" x14ac:dyDescent="0.3">
      <c r="C103" s="2550" t="s">
        <v>251</v>
      </c>
      <c r="D103" s="2556">
        <v>0</v>
      </c>
      <c r="E103" s="2550" t="s">
        <v>206</v>
      </c>
      <c r="F103" s="2550" t="s">
        <v>211</v>
      </c>
      <c r="G103" s="2552"/>
      <c r="H103" s="2552"/>
      <c r="I103" s="2553">
        <v>0</v>
      </c>
      <c r="J103" s="2551"/>
      <c r="K103" s="2551"/>
      <c r="L103" s="2555" t="e">
        <v>#DIV/0!</v>
      </c>
      <c r="M103" s="2555" t="e">
        <v>#DIV/0!</v>
      </c>
      <c r="N103" s="2557">
        <v>0</v>
      </c>
      <c r="O103" s="2557">
        <v>0</v>
      </c>
      <c r="P103" s="2557">
        <v>0</v>
      </c>
      <c r="Q103" s="2557">
        <v>0</v>
      </c>
      <c r="R103" s="2554">
        <v>1.081</v>
      </c>
      <c r="S103" s="2558">
        <v>0</v>
      </c>
      <c r="T103" s="2558">
        <v>0</v>
      </c>
      <c r="U103" s="2558">
        <v>0</v>
      </c>
    </row>
    <row r="104" spans="1:21" s="2410" customFormat="1" x14ac:dyDescent="0.25">
      <c r="A104" s="3369"/>
      <c r="D104" s="19"/>
      <c r="S104" s="2535">
        <f>SUM(S62:S103)</f>
        <v>517050</v>
      </c>
      <c r="T104" s="2535">
        <f>SUM(T62:T103)</f>
        <v>517050</v>
      </c>
      <c r="U104" s="2535">
        <f>SUM(U62:U103)</f>
        <v>1034100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23" top="0.37" bottom="0.37" header="0.3" footer="0.3"/>
  <pageSetup paperSize="17" scale="53" orientation="landscape" r:id="rId2"/>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4" sqref="A4"/>
    </sheetView>
  </sheetViews>
  <sheetFormatPr defaultRowHeight="13.2" x14ac:dyDescent="0.25"/>
  <cols>
    <col min="1" max="1" width="15.33203125" style="3369" customWidth="1"/>
    <col min="2" max="2" width="24" bestFit="1" customWidth="1"/>
    <col min="3" max="3" width="34" customWidth="1"/>
    <col min="4" max="4" width="15.5546875" style="19" customWidth="1"/>
    <col min="5" max="5" width="15.5546875" customWidth="1"/>
    <col min="6" max="6" width="19.10937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1.4414062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1.4414062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1.4414062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1.4414062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1.4414062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1.4414062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1.4414062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1.4414062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1.4414062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1.4414062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1.4414062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1.4414062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1.4414062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1.4414062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1.4414062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1.4414062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1.4414062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1.4414062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1.4414062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1.4414062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1.4414062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1.4414062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1.4414062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1.4414062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1.4414062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1.4414062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1.4414062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1.4414062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1.4414062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1.4414062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1.4414062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1.4414062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1.4414062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1.4414062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1.4414062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1.4414062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1.4414062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1.4414062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1.4414062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1.4414062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1.4414062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1.4414062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1.4414062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1.4414062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1.4414062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1.4414062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1.4414062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1.4414062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1.4414062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1.4414062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1.4414062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1.4414062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1.4414062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1.4414062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1.4414062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1.4414062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1.4414062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1.4414062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1.4414062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1.4414062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1.4414062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1.4414062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1.4414062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18230433</v>
      </c>
      <c r="H1" s="202" t="str">
        <f>C4</f>
        <v>Energy Star Manufactured Home Elect</v>
      </c>
      <c r="I1" s="202"/>
    </row>
    <row r="2" spans="2:22" ht="16.2" thickBot="1" x14ac:dyDescent="0.35">
      <c r="B2" s="202" t="s">
        <v>131</v>
      </c>
      <c r="C2" s="203" t="s">
        <v>487</v>
      </c>
      <c r="G2" s="204" t="s">
        <v>8</v>
      </c>
      <c r="Q2" s="4765"/>
      <c r="R2" s="4765"/>
      <c r="S2" s="4762" t="s">
        <v>132</v>
      </c>
      <c r="T2" s="4763"/>
      <c r="U2" s="4764"/>
      <c r="V2" s="4766" t="s">
        <v>133</v>
      </c>
    </row>
    <row r="3" spans="2:22" ht="16.2" thickBot="1" x14ac:dyDescent="0.35">
      <c r="B3" s="203" t="s">
        <v>6</v>
      </c>
      <c r="C3" s="203">
        <v>18230433</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497</v>
      </c>
      <c r="F4" s="202">
        <v>2011</v>
      </c>
      <c r="G4" s="210">
        <f>B12</f>
        <v>8993</v>
      </c>
      <c r="H4" s="211">
        <f>B17</f>
        <v>4000</v>
      </c>
      <c r="I4" s="211">
        <f>B22</f>
        <v>8185</v>
      </c>
      <c r="J4" s="211">
        <f>B27</f>
        <v>2919</v>
      </c>
      <c r="K4" s="211">
        <f>B32</f>
        <v>800</v>
      </c>
      <c r="L4" s="211">
        <f>B37</f>
        <v>0</v>
      </c>
      <c r="M4" s="211">
        <f>B42</f>
        <v>0</v>
      </c>
      <c r="N4" s="211">
        <f>B47</f>
        <v>0</v>
      </c>
      <c r="O4" s="211">
        <f>B52</f>
        <v>24000</v>
      </c>
      <c r="P4" s="211">
        <f>B53</f>
        <v>0</v>
      </c>
      <c r="Q4" s="213">
        <f>B54</f>
        <v>48897</v>
      </c>
      <c r="R4" s="214">
        <f>T54</f>
        <v>320273</v>
      </c>
      <c r="S4" s="331">
        <f>O4/Q4</f>
        <v>0.49082765813853613</v>
      </c>
      <c r="T4" s="331">
        <f>(J4+(H4*1.63))/Q4</f>
        <v>0.19303842771540175</v>
      </c>
      <c r="U4" s="331">
        <f>L4/Q4</f>
        <v>0</v>
      </c>
      <c r="V4" s="216">
        <f>Q4/R4</f>
        <v>0.15267287595270285</v>
      </c>
    </row>
    <row r="5" spans="2:22" ht="16.2" thickBot="1" x14ac:dyDescent="0.35">
      <c r="B5" s="202" t="s">
        <v>34</v>
      </c>
      <c r="F5" s="202">
        <v>2012</v>
      </c>
      <c r="G5" s="217">
        <f>D12</f>
        <v>8993</v>
      </c>
      <c r="H5" s="218">
        <f>D17</f>
        <v>4000</v>
      </c>
      <c r="I5" s="218">
        <f>D22</f>
        <v>8185.59</v>
      </c>
      <c r="J5" s="218">
        <f>D27</f>
        <v>3505</v>
      </c>
      <c r="K5" s="218">
        <f>D32</f>
        <v>800</v>
      </c>
      <c r="L5" s="218">
        <f>D37</f>
        <v>0</v>
      </c>
      <c r="M5" s="218">
        <f>D42</f>
        <v>0</v>
      </c>
      <c r="N5" s="218">
        <f>D47</f>
        <v>0</v>
      </c>
      <c r="O5" s="218">
        <f>D52</f>
        <v>24000</v>
      </c>
      <c r="P5" s="218">
        <f>D53</f>
        <v>0</v>
      </c>
      <c r="Q5" s="219">
        <f>SUM(G5:P5)</f>
        <v>49483.59</v>
      </c>
      <c r="R5" s="220">
        <f>P54</f>
        <v>418420</v>
      </c>
      <c r="S5" s="332">
        <f>O5/Q5</f>
        <v>0.48500927277103384</v>
      </c>
      <c r="T5" s="332">
        <f>(J5+(H5*1.63))/Q5</f>
        <v>0.20259241498040059</v>
      </c>
      <c r="U5" s="332">
        <f>L5/Q5</f>
        <v>0</v>
      </c>
      <c r="V5" s="222">
        <f>Q5/R5</f>
        <v>0.11826296544142248</v>
      </c>
    </row>
    <row r="6" spans="2:22" ht="16.2" thickBot="1" x14ac:dyDescent="0.35">
      <c r="C6" s="202" t="s">
        <v>489</v>
      </c>
      <c r="F6" s="202">
        <v>2013</v>
      </c>
      <c r="G6" s="223">
        <f>E12</f>
        <v>8993</v>
      </c>
      <c r="H6" s="224">
        <f>E17</f>
        <v>4000</v>
      </c>
      <c r="I6" s="224">
        <f>E22</f>
        <v>8185.59</v>
      </c>
      <c r="J6" s="224">
        <f>E27</f>
        <v>3505</v>
      </c>
      <c r="K6" s="224">
        <f>E32</f>
        <v>800</v>
      </c>
      <c r="L6" s="224">
        <f>E37</f>
        <v>0</v>
      </c>
      <c r="M6" s="224">
        <f>E42</f>
        <v>0</v>
      </c>
      <c r="N6" s="224">
        <f>E47</f>
        <v>0</v>
      </c>
      <c r="O6" s="224">
        <f>E52</f>
        <v>24000</v>
      </c>
      <c r="P6" s="224">
        <f>E53</f>
        <v>0</v>
      </c>
      <c r="Q6" s="225">
        <f>SUM(G6:P6)</f>
        <v>49483.59</v>
      </c>
      <c r="R6" s="226">
        <f>Q54</f>
        <v>418420</v>
      </c>
      <c r="S6" s="332">
        <f>O6/Q6</f>
        <v>0.48500927277103384</v>
      </c>
      <c r="T6" s="332">
        <f>(J6+(H6*1.63))/Q6</f>
        <v>0.20259241498040059</v>
      </c>
      <c r="U6" s="332">
        <f>L6/Q6</f>
        <v>0</v>
      </c>
      <c r="V6" s="222">
        <f>Q6/R6</f>
        <v>0.11826296544142248</v>
      </c>
    </row>
    <row r="7" spans="2:22" ht="16.2" thickBot="1" x14ac:dyDescent="0.35">
      <c r="C7" s="227" t="s">
        <v>490</v>
      </c>
      <c r="F7" s="228" t="s">
        <v>140</v>
      </c>
      <c r="G7" s="229">
        <f>SUM(G5:G6)</f>
        <v>17986</v>
      </c>
      <c r="H7" s="229">
        <f t="shared" ref="H7:P7" si="0">SUM(H5:H6)</f>
        <v>8000</v>
      </c>
      <c r="I7" s="229">
        <f t="shared" si="0"/>
        <v>16371.18</v>
      </c>
      <c r="J7" s="229">
        <f t="shared" si="0"/>
        <v>7010</v>
      </c>
      <c r="K7" s="229">
        <f t="shared" si="0"/>
        <v>1600</v>
      </c>
      <c r="L7" s="229">
        <f t="shared" si="0"/>
        <v>0</v>
      </c>
      <c r="M7" s="229">
        <f t="shared" si="0"/>
        <v>0</v>
      </c>
      <c r="N7" s="229">
        <f t="shared" si="0"/>
        <v>0</v>
      </c>
      <c r="O7" s="229">
        <f t="shared" si="0"/>
        <v>48000</v>
      </c>
      <c r="P7" s="229">
        <f t="shared" si="0"/>
        <v>0</v>
      </c>
      <c r="Q7" s="230">
        <f>SUM(G7:P7)</f>
        <v>98967.18</v>
      </c>
      <c r="R7" s="231">
        <f>R54</f>
        <v>836840</v>
      </c>
      <c r="S7" s="332">
        <f>O7/Q7</f>
        <v>0.48500927277103384</v>
      </c>
      <c r="T7" s="332">
        <f>(J7+(H7*1.63))/Q7</f>
        <v>0.20259241498040059</v>
      </c>
      <c r="U7" s="332">
        <f>L7/Q7</f>
        <v>0</v>
      </c>
      <c r="V7" s="222">
        <f>Q7/R7</f>
        <v>0.11826296544142248</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8993</v>
      </c>
      <c r="C12" s="244" t="s">
        <v>161</v>
      </c>
      <c r="D12" s="245">
        <f>SUM(D13:D16)</f>
        <v>8993</v>
      </c>
      <c r="E12" s="245">
        <f>SUM(E13:E16)</f>
        <v>8993</v>
      </c>
      <c r="F12" s="246">
        <f>D12+E12</f>
        <v>17986</v>
      </c>
      <c r="H12" s="135"/>
      <c r="I12" s="247" t="str">
        <f t="shared" ref="I12:I53" si="1">C62</f>
        <v>Heating Zone 1 / cooling zone n/a - FAF</v>
      </c>
      <c r="J12" s="248"/>
      <c r="K12" s="249"/>
      <c r="L12" s="250">
        <f t="shared" ref="L12:L53" si="2">D62</f>
        <v>5420</v>
      </c>
      <c r="M12" s="267">
        <v>40</v>
      </c>
      <c r="N12" s="267">
        <v>40</v>
      </c>
      <c r="O12" s="252">
        <f>M12+N12</f>
        <v>80</v>
      </c>
      <c r="P12" s="253">
        <f t="shared" ref="P12:R27" si="3">M12*$D62</f>
        <v>216800</v>
      </c>
      <c r="Q12" s="253">
        <f t="shared" si="3"/>
        <v>216800</v>
      </c>
      <c r="R12" s="254">
        <f t="shared" si="3"/>
        <v>433600</v>
      </c>
      <c r="T12" s="309">
        <v>182055</v>
      </c>
    </row>
    <row r="13" spans="2:22" ht="13.8" x14ac:dyDescent="0.3">
      <c r="B13" s="256"/>
      <c r="C13" s="257" t="s">
        <v>418</v>
      </c>
      <c r="D13" s="258">
        <v>3459</v>
      </c>
      <c r="E13" s="258">
        <v>3459</v>
      </c>
      <c r="F13" s="258">
        <f>SUM(D13:E13)</f>
        <v>6918</v>
      </c>
      <c r="H13" s="135"/>
      <c r="I13" s="259" t="str">
        <f t="shared" si="1"/>
        <v>Heating Zone 2 / cooling zone 2 -  HP</v>
      </c>
      <c r="J13" s="260"/>
      <c r="K13" s="261"/>
      <c r="L13" s="250">
        <f t="shared" si="2"/>
        <v>4390</v>
      </c>
      <c r="M13" s="267">
        <v>20</v>
      </c>
      <c r="N13" s="267">
        <v>20</v>
      </c>
      <c r="O13" s="252">
        <f t="shared" ref="O13:O53" si="4">M13+N13</f>
        <v>40</v>
      </c>
      <c r="P13" s="253">
        <f t="shared" si="3"/>
        <v>87800</v>
      </c>
      <c r="Q13" s="253">
        <f t="shared" si="3"/>
        <v>87800</v>
      </c>
      <c r="R13" s="254">
        <f t="shared" si="3"/>
        <v>175600</v>
      </c>
      <c r="T13" s="263">
        <v>79400</v>
      </c>
    </row>
    <row r="14" spans="2:22" ht="13.8" x14ac:dyDescent="0.3">
      <c r="B14" s="264"/>
      <c r="C14" s="265" t="s">
        <v>491</v>
      </c>
      <c r="D14" s="266">
        <v>3459</v>
      </c>
      <c r="E14" s="266">
        <v>3459</v>
      </c>
      <c r="F14" s="258">
        <f t="shared" ref="F14:F24" si="5">SUM(D14:E14)</f>
        <v>6918</v>
      </c>
      <c r="H14" s="135"/>
      <c r="I14" s="259" t="str">
        <f t="shared" si="1"/>
        <v>Heating Zone 1 / cooling zone n/a - FAF</v>
      </c>
      <c r="J14" s="260"/>
      <c r="K14" s="261"/>
      <c r="L14" s="250">
        <f t="shared" si="2"/>
        <v>5691</v>
      </c>
      <c r="M14" s="267">
        <v>20</v>
      </c>
      <c r="N14" s="267">
        <v>20</v>
      </c>
      <c r="O14" s="252">
        <f t="shared" si="4"/>
        <v>40</v>
      </c>
      <c r="P14" s="253">
        <f t="shared" si="3"/>
        <v>113820</v>
      </c>
      <c r="Q14" s="253">
        <f t="shared" si="3"/>
        <v>113820</v>
      </c>
      <c r="R14" s="254">
        <f t="shared" si="3"/>
        <v>227640</v>
      </c>
      <c r="T14" s="263">
        <v>58818</v>
      </c>
    </row>
    <row r="15" spans="2:22" ht="13.8" x14ac:dyDescent="0.3">
      <c r="B15" s="264"/>
      <c r="C15" s="265" t="s">
        <v>492</v>
      </c>
      <c r="D15" s="268">
        <v>2075</v>
      </c>
      <c r="E15" s="268">
        <v>2075</v>
      </c>
      <c r="F15" s="258">
        <f t="shared" si="5"/>
        <v>4150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4.4" thickBot="1" x14ac:dyDescent="0.35">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72">
        <v>4000</v>
      </c>
      <c r="C17" s="244" t="s">
        <v>166</v>
      </c>
      <c r="D17" s="245">
        <f>SUM(D18:D21)</f>
        <v>4000</v>
      </c>
      <c r="E17" s="245">
        <f>SUM(E18:E21)</f>
        <v>4000</v>
      </c>
      <c r="F17" s="246">
        <f>D17+E17</f>
        <v>8000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257" t="s">
        <v>493</v>
      </c>
      <c r="D18" s="258">
        <v>4000</v>
      </c>
      <c r="E18" s="258">
        <v>4000</v>
      </c>
      <c r="F18" s="258">
        <f t="shared" si="5"/>
        <v>8000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8185</v>
      </c>
      <c r="C22" s="244" t="s">
        <v>167</v>
      </c>
      <c r="D22" s="245">
        <f>SUM(D23:D26)</f>
        <v>8185.59</v>
      </c>
      <c r="E22" s="245">
        <f>SUM(E23:E26)</f>
        <v>8185.59</v>
      </c>
      <c r="F22" s="246">
        <f>D22+E22</f>
        <v>16371.18</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5665.59</v>
      </c>
      <c r="E23" s="258">
        <f>0.63*E12</f>
        <v>5665.59</v>
      </c>
      <c r="F23" s="258">
        <f t="shared" si="5"/>
        <v>11331.18</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2520</v>
      </c>
      <c r="E24" s="266">
        <f>0.63*E17</f>
        <v>2520</v>
      </c>
      <c r="F24" s="258">
        <f t="shared" si="5"/>
        <v>5040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2919</v>
      </c>
      <c r="C27" s="244" t="s">
        <v>170</v>
      </c>
      <c r="D27" s="245">
        <f>SUM(D28:D31)</f>
        <v>3505</v>
      </c>
      <c r="E27" s="245">
        <f>SUM(E28:E31)</f>
        <v>3505</v>
      </c>
      <c r="F27" s="246">
        <f>D27+E27</f>
        <v>7010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494</v>
      </c>
      <c r="D28" s="258">
        <v>3505</v>
      </c>
      <c r="E28" s="258">
        <v>3505</v>
      </c>
      <c r="F28" s="258">
        <f t="shared" ref="F28:F36" si="6">SUM(D28:E28)</f>
        <v>7010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800</v>
      </c>
      <c r="C32" s="244" t="s">
        <v>171</v>
      </c>
      <c r="D32" s="245">
        <f>SUM(D33:D36)</f>
        <v>800</v>
      </c>
      <c r="E32" s="245">
        <f>SUM(E33:E36)</f>
        <v>800</v>
      </c>
      <c r="F32" s="246">
        <f>D32+E32</f>
        <v>1600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800</v>
      </c>
      <c r="E33" s="266">
        <v>800</v>
      </c>
      <c r="F33" s="258">
        <f t="shared" si="6"/>
        <v>1600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72">
        <v>24000</v>
      </c>
      <c r="C52" s="244" t="s">
        <v>175</v>
      </c>
      <c r="D52" s="245">
        <f>S104</f>
        <v>24000</v>
      </c>
      <c r="E52" s="245">
        <f>T104</f>
        <v>24000</v>
      </c>
      <c r="F52" s="246">
        <f>U104</f>
        <v>48000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48897</v>
      </c>
      <c r="C54" s="274" t="s">
        <v>178</v>
      </c>
      <c r="D54" s="273">
        <f>D12+D17+D22+D27+D32+D37+D42+D47+D52+D53</f>
        <v>49483.59</v>
      </c>
      <c r="E54" s="273">
        <f>E12+E17+E22+E27+E32+E37+E42+E47+E52+E53</f>
        <v>49483.59</v>
      </c>
      <c r="F54" s="273">
        <f>F12+F17+F22+F27+F32+F37+F42+F47+F52+F53</f>
        <v>98967.18</v>
      </c>
      <c r="P54" s="275">
        <f>SUM(P12:P53)</f>
        <v>418420</v>
      </c>
      <c r="Q54" s="275">
        <f>SUM(Q12:Q53)</f>
        <v>418420</v>
      </c>
      <c r="R54" s="275">
        <f>SUM(R12:R53)</f>
        <v>836840</v>
      </c>
      <c r="T54" s="275">
        <f>SUM(T12:T53)</f>
        <v>320273</v>
      </c>
    </row>
    <row r="55" spans="2:24" ht="13.8" x14ac:dyDescent="0.3">
      <c r="C55" s="274"/>
      <c r="D55" s="273"/>
      <c r="E55" s="273"/>
      <c r="F55" s="273"/>
    </row>
    <row r="56" spans="2:24" ht="13.8" x14ac:dyDescent="0.3">
      <c r="C56" s="274" t="s">
        <v>179</v>
      </c>
      <c r="D56" s="273">
        <f>D54-D52</f>
        <v>25483.589999999997</v>
      </c>
      <c r="E56" s="273">
        <f>E54-E52</f>
        <v>25483.589999999997</v>
      </c>
      <c r="F56" s="273">
        <f>F54-F52</f>
        <v>50967.179999999993</v>
      </c>
    </row>
    <row r="57" spans="2:24" ht="13.8" x14ac:dyDescent="0.3">
      <c r="C57" s="274" t="s">
        <v>180</v>
      </c>
      <c r="D57" s="276">
        <f>D52</f>
        <v>24000</v>
      </c>
      <c r="E57" s="276">
        <f>E52</f>
        <v>24000</v>
      </c>
      <c r="F57" s="276">
        <f>F52</f>
        <v>48000</v>
      </c>
      <c r="G57" s="335">
        <f>F57/(F56+F57)</f>
        <v>0.48500927277103384</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363" t="s">
        <v>495</v>
      </c>
      <c r="D62" s="267">
        <v>5420</v>
      </c>
      <c r="E62" s="267" t="s">
        <v>206</v>
      </c>
      <c r="F62" s="267" t="s">
        <v>211</v>
      </c>
      <c r="G62" s="297">
        <v>1377</v>
      </c>
      <c r="H62" s="297">
        <v>300</v>
      </c>
      <c r="I62" s="326">
        <v>0.56999999999999995</v>
      </c>
      <c r="J62" s="267">
        <v>18</v>
      </c>
      <c r="K62" s="267" t="s">
        <v>298</v>
      </c>
      <c r="L62" s="291">
        <f>P62/N62</f>
        <v>15.559193577272529</v>
      </c>
      <c r="M62" s="291">
        <f>Q62/O62</f>
        <v>6.5223075458802109</v>
      </c>
      <c r="N62" s="218">
        <f>(($I62*$F$56)+$U62)/$R62</f>
        <v>49076.126364477328</v>
      </c>
      <c r="O62" s="218">
        <f>(($I62*$F$56)+($G62*$O12))/$R62</f>
        <v>128780.1041628122</v>
      </c>
      <c r="P62" s="218">
        <f>IF(K62=0, 0, (HLOOKUP(K62,'[1]E-CESTDWO'!$A$5:$O$35,J62+1,FALSE)*R12))</f>
        <v>763584.95012759068</v>
      </c>
      <c r="Q62" s="218">
        <f>IF(K62=0, 0, (HLOOKUP(K62,'[1]E-CESTD'!$A$5:$O$35,J62+1,FALSE)*R12))</f>
        <v>839943.44514034956</v>
      </c>
      <c r="R62" s="292">
        <v>1.081</v>
      </c>
      <c r="S62" s="293">
        <f t="shared" ref="S62:U77" si="10">M12*$H62</f>
        <v>12000</v>
      </c>
      <c r="T62" s="293">
        <f t="shared" si="10"/>
        <v>12000</v>
      </c>
      <c r="U62" s="293">
        <f t="shared" si="10"/>
        <v>24000</v>
      </c>
      <c r="V62" s="338">
        <f>U62/(U62+(I62*F$56))</f>
        <v>0.45239237017195699</v>
      </c>
      <c r="W62" s="338">
        <f t="shared" ref="W62:W80" si="11">(I62*((F$17*1.63)+F$27))/(U62+(I62*F$56))</f>
        <v>0.21542359177125875</v>
      </c>
      <c r="X62" s="338">
        <f>(I62*F$37)/(U62+(I62*F$56))</f>
        <v>0</v>
      </c>
    </row>
    <row r="63" spans="2:24" ht="13.8" x14ac:dyDescent="0.3">
      <c r="B63" s="296"/>
      <c r="C63" s="363" t="s">
        <v>496</v>
      </c>
      <c r="D63" s="296">
        <v>4390</v>
      </c>
      <c r="E63" s="296" t="s">
        <v>206</v>
      </c>
      <c r="F63" s="267" t="s">
        <v>211</v>
      </c>
      <c r="G63" s="297">
        <v>1377</v>
      </c>
      <c r="H63" s="297">
        <v>300</v>
      </c>
      <c r="I63" s="326">
        <v>0.25</v>
      </c>
      <c r="J63" s="267">
        <v>18</v>
      </c>
      <c r="K63" s="267" t="s">
        <v>298</v>
      </c>
      <c r="L63" s="291">
        <f t="shared" ref="L63:M103" si="12">P63/N63</f>
        <v>13.510987365971504</v>
      </c>
      <c r="M63" s="291">
        <f t="shared" si="12"/>
        <v>5.4217775808219546</v>
      </c>
      <c r="N63" s="218">
        <f t="shared" ref="N63:N103" si="13">(($I63*$F$56)+$U63)/$R63</f>
        <v>22887.876965772433</v>
      </c>
      <c r="O63" s="218">
        <f t="shared" ref="O63:O103" si="14">(($I63*$F$56)+($G63*$O13))/$R63</f>
        <v>62739.865864939871</v>
      </c>
      <c r="P63" s="218">
        <f>IF(K63=0, 0, (HLOOKUP(K63,'[1]E-CESTDWO'!$A$5:$O$35,J63+1,FALSE)*R13))</f>
        <v>309237.81651846156</v>
      </c>
      <c r="Q63" s="218">
        <f>IF(K63=0, 0, (HLOOKUP(K63,'[1]E-CESTD'!$A$5:$O$35,J63+1,FALSE)*R13))</f>
        <v>340161.59817030764</v>
      </c>
      <c r="R63" s="292">
        <v>1.081</v>
      </c>
      <c r="S63" s="293">
        <f t="shared" si="10"/>
        <v>6000</v>
      </c>
      <c r="T63" s="293">
        <f t="shared" si="10"/>
        <v>6000</v>
      </c>
      <c r="U63" s="293">
        <f t="shared" si="10"/>
        <v>12000</v>
      </c>
      <c r="V63" s="338">
        <f t="shared" ref="V63:V80" si="15">U63/(U63+(I63*F$56))</f>
        <v>0.48500927277103384</v>
      </c>
      <c r="W63" s="338">
        <f t="shared" si="11"/>
        <v>0.20259241498040059</v>
      </c>
      <c r="X63" s="338">
        <f t="shared" ref="X63:X80" si="16">(I63*F$37)/(U63+(I63*F$56))</f>
        <v>0</v>
      </c>
    </row>
    <row r="64" spans="2:24" ht="13.8" x14ac:dyDescent="0.3">
      <c r="B64" s="296"/>
      <c r="C64" s="363" t="s">
        <v>495</v>
      </c>
      <c r="D64" s="296">
        <v>5691</v>
      </c>
      <c r="E64" s="296" t="s">
        <v>206</v>
      </c>
      <c r="F64" s="267" t="s">
        <v>211</v>
      </c>
      <c r="G64" s="297">
        <v>1377</v>
      </c>
      <c r="H64" s="297">
        <v>300</v>
      </c>
      <c r="I64" s="326">
        <v>0.18</v>
      </c>
      <c r="J64" s="267">
        <v>18</v>
      </c>
      <c r="K64" s="267" t="s">
        <v>298</v>
      </c>
      <c r="L64" s="291">
        <f t="shared" si="12"/>
        <v>20.466216007499849</v>
      </c>
      <c r="M64" s="291">
        <f t="shared" si="12"/>
        <v>7.418810007240519</v>
      </c>
      <c r="N64" s="218">
        <f t="shared" si="13"/>
        <v>19587.504532839961</v>
      </c>
      <c r="O64" s="218">
        <f t="shared" si="14"/>
        <v>59439.493432007395</v>
      </c>
      <c r="P64" s="218">
        <f>IF(K64=0, 0, (HLOOKUP(K64,'[1]E-CESTDWO'!$A$5:$O$35,J64+1,FALSE)*R14))</f>
        <v>400882.09881698509</v>
      </c>
      <c r="Q64" s="218">
        <f>IF(K64=0, 0, (HLOOKUP(K64,'[1]E-CESTD'!$A$5:$O$35,J64+1,FALSE)*R14))</f>
        <v>440970.30869868357</v>
      </c>
      <c r="R64" s="292">
        <v>1.081</v>
      </c>
      <c r="S64" s="293">
        <f t="shared" si="10"/>
        <v>6000</v>
      </c>
      <c r="T64" s="293">
        <f t="shared" si="10"/>
        <v>6000</v>
      </c>
      <c r="U64" s="293">
        <f t="shared" si="10"/>
        <v>12000</v>
      </c>
      <c r="V64" s="338">
        <f t="shared" si="15"/>
        <v>0.56673031236984694</v>
      </c>
      <c r="W64" s="338">
        <f t="shared" si="11"/>
        <v>0.17044414144523146</v>
      </c>
      <c r="X64" s="338">
        <f t="shared" si="16"/>
        <v>0</v>
      </c>
    </row>
    <row r="65" spans="2:24" ht="13.8" x14ac:dyDescent="0.3">
      <c r="B65" s="296"/>
      <c r="C65" s="296" t="s">
        <v>213</v>
      </c>
      <c r="D65" s="296">
        <v>0</v>
      </c>
      <c r="E65" s="296" t="s">
        <v>206</v>
      </c>
      <c r="F65" s="296" t="s">
        <v>211</v>
      </c>
      <c r="G65" s="297"/>
      <c r="H65" s="297"/>
      <c r="I65" s="326">
        <v>0</v>
      </c>
      <c r="J65" s="267"/>
      <c r="K65" s="267"/>
      <c r="L65" s="291" t="e">
        <f t="shared" si="12"/>
        <v>#DIV/0!</v>
      </c>
      <c r="M65" s="291"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96">
        <v>0</v>
      </c>
      <c r="E66" s="296" t="s">
        <v>206</v>
      </c>
      <c r="F66" s="296" t="s">
        <v>211</v>
      </c>
      <c r="G66" s="297"/>
      <c r="H66" s="297"/>
      <c r="I66" s="326">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206</v>
      </c>
      <c r="F67" s="296" t="s">
        <v>211</v>
      </c>
      <c r="G67" s="297"/>
      <c r="H67" s="297"/>
      <c r="I67" s="326">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96">
        <v>0</v>
      </c>
      <c r="E68" s="296" t="s">
        <v>206</v>
      </c>
      <c r="F68" s="296" t="s">
        <v>211</v>
      </c>
      <c r="G68" s="297"/>
      <c r="H68" s="297"/>
      <c r="I68" s="326">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206</v>
      </c>
      <c r="F69" s="296" t="s">
        <v>211</v>
      </c>
      <c r="G69" s="297"/>
      <c r="H69" s="297"/>
      <c r="I69" s="326">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96">
        <v>0</v>
      </c>
      <c r="E70" s="296" t="s">
        <v>206</v>
      </c>
      <c r="F70" s="296" t="s">
        <v>211</v>
      </c>
      <c r="G70" s="297"/>
      <c r="H70" s="297"/>
      <c r="I70" s="326">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206</v>
      </c>
      <c r="F71" s="296" t="s">
        <v>211</v>
      </c>
      <c r="G71" s="297"/>
      <c r="H71" s="297"/>
      <c r="I71" s="326">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96">
        <v>0</v>
      </c>
      <c r="E72" s="296" t="s">
        <v>206</v>
      </c>
      <c r="F72" s="296" t="s">
        <v>211</v>
      </c>
      <c r="G72" s="297"/>
      <c r="H72" s="297"/>
      <c r="I72" s="326">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206</v>
      </c>
      <c r="F73" s="296" t="s">
        <v>211</v>
      </c>
      <c r="G73" s="297"/>
      <c r="H73" s="297"/>
      <c r="I73" s="326">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96">
        <v>0</v>
      </c>
      <c r="E74" s="296" t="s">
        <v>206</v>
      </c>
      <c r="F74" s="296" t="s">
        <v>211</v>
      </c>
      <c r="G74" s="297"/>
      <c r="H74" s="297"/>
      <c r="I74" s="326">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206</v>
      </c>
      <c r="F75" s="296" t="s">
        <v>211</v>
      </c>
      <c r="G75" s="297"/>
      <c r="H75" s="297"/>
      <c r="I75" s="326">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96">
        <v>0</v>
      </c>
      <c r="E76" s="296" t="s">
        <v>206</v>
      </c>
      <c r="F76" s="296" t="s">
        <v>211</v>
      </c>
      <c r="G76" s="297"/>
      <c r="H76" s="297"/>
      <c r="I76" s="326">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206</v>
      </c>
      <c r="F77" s="296" t="s">
        <v>211</v>
      </c>
      <c r="G77" s="297"/>
      <c r="H77" s="297"/>
      <c r="I77" s="326">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96">
        <v>0</v>
      </c>
      <c r="E78" s="296" t="s">
        <v>206</v>
      </c>
      <c r="F78" s="296" t="s">
        <v>211</v>
      </c>
      <c r="G78" s="297"/>
      <c r="H78" s="297"/>
      <c r="I78" s="326">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206</v>
      </c>
      <c r="F79" s="296" t="s">
        <v>211</v>
      </c>
      <c r="G79" s="297"/>
      <c r="H79" s="297"/>
      <c r="I79" s="326">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206</v>
      </c>
      <c r="F80" s="296" t="s">
        <v>211</v>
      </c>
      <c r="G80" s="297"/>
      <c r="H80" s="297"/>
      <c r="I80" s="326">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206</v>
      </c>
      <c r="F81" s="296" t="s">
        <v>211</v>
      </c>
      <c r="G81" s="297"/>
      <c r="H81" s="297"/>
      <c r="I81" s="326">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326">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326">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326">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326">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326">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326">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326">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326">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326">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326">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326">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326">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326">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326">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326">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326">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220320</v>
      </c>
      <c r="H104" s="301">
        <f>U104</f>
        <v>48000</v>
      </c>
      <c r="I104" s="302">
        <f>SUM(I62:I103)</f>
        <v>1</v>
      </c>
      <c r="J104" s="303"/>
      <c r="K104" s="274"/>
      <c r="L104" s="304">
        <f>P104/N104</f>
        <v>16.097002658513091</v>
      </c>
      <c r="M104" s="305">
        <f>Q104/O104</f>
        <v>6.4595107499075235</v>
      </c>
      <c r="N104" s="306">
        <f>SUM(N62:N103)</f>
        <v>91551.507863089719</v>
      </c>
      <c r="O104" s="306">
        <f>SUM(O62:O103)</f>
        <v>250959.46345975948</v>
      </c>
      <c r="P104" s="306">
        <f>SUM(P62:P103)</f>
        <v>1473704.8654630373</v>
      </c>
      <c r="Q104" s="306">
        <f>SUM(Q62:Q103)</f>
        <v>1621075.3520093407</v>
      </c>
      <c r="R104" s="307"/>
      <c r="S104" s="308">
        <f>SUM(S62:S103)</f>
        <v>24000</v>
      </c>
      <c r="T104" s="308">
        <f>SUM(T62:T103)</f>
        <v>24000</v>
      </c>
      <c r="U104" s="308">
        <f>SUM(U62:U103)</f>
        <v>48000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8" right="0.2" top="0.4" bottom="0.33" header="0.3" footer="0.3"/>
  <pageSetup paperSize="17" scale="53" orientation="landscape" r:id="rId2"/>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5.44140625" style="3369" customWidth="1"/>
    <col min="2" max="2" width="19" customWidth="1"/>
    <col min="3" max="3" width="30.88671875" customWidth="1"/>
    <col min="4" max="4" width="16.33203125" style="19" customWidth="1"/>
    <col min="5" max="5" width="16.33203125" customWidth="1"/>
    <col min="6" max="6" width="16.88671875" customWidth="1"/>
    <col min="7" max="7" width="13.44140625" customWidth="1"/>
    <col min="8" max="8" width="15.5546875" bestFit="1" customWidth="1"/>
    <col min="9" max="9" width="14.44140625" bestFit="1" customWidth="1"/>
    <col min="10" max="10" width="15.33203125" customWidth="1"/>
    <col min="11" max="11" width="15.88671875" customWidth="1"/>
    <col min="12" max="12" width="17.109375" bestFit="1" customWidth="1"/>
    <col min="13" max="13" width="12.6640625" customWidth="1"/>
    <col min="14" max="14" width="13.6640625" customWidth="1"/>
    <col min="15" max="15" width="14" bestFit="1" customWidth="1"/>
    <col min="16" max="16" width="16.33203125" bestFit="1" customWidth="1"/>
    <col min="17" max="17" width="16.109375" customWidth="1"/>
    <col min="18" max="18" width="16.88671875" bestFit="1" customWidth="1"/>
    <col min="19" max="19" width="15.6640625" bestFit="1" customWidth="1"/>
    <col min="20" max="20" width="16.33203125" bestFit="1" customWidth="1"/>
    <col min="21" max="21" width="16.554687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33203125" bestFit="1" customWidth="1"/>
    <col min="259" max="259" width="45.6640625" bestFit="1" customWidth="1"/>
    <col min="260" max="260" width="19.88671875" bestFit="1" customWidth="1"/>
    <col min="261" max="261" width="15.44140625" bestFit="1" customWidth="1"/>
    <col min="262" max="262" width="20.44140625" bestFit="1" customWidth="1"/>
    <col min="263" max="263" width="13.44140625" customWidth="1"/>
    <col min="264" max="264" width="15.5546875" bestFit="1" customWidth="1"/>
    <col min="265" max="265" width="14.44140625" bestFit="1" customWidth="1"/>
    <col min="266" max="266" width="15.33203125" customWidth="1"/>
    <col min="267" max="267" width="15.88671875" customWidth="1"/>
    <col min="268" max="268" width="17.109375" bestFit="1" customWidth="1"/>
    <col min="269" max="269" width="12.6640625" customWidth="1"/>
    <col min="270" max="270" width="13.6640625" customWidth="1"/>
    <col min="271" max="271" width="14" bestFit="1" customWidth="1"/>
    <col min="272" max="272" width="16.33203125" bestFit="1" customWidth="1"/>
    <col min="273" max="273" width="16.109375" customWidth="1"/>
    <col min="274" max="274" width="16.88671875" bestFit="1" customWidth="1"/>
    <col min="275" max="275" width="15.6640625" bestFit="1" customWidth="1"/>
    <col min="276" max="276" width="16.33203125" bestFit="1" customWidth="1"/>
    <col min="277" max="277" width="16.554687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33203125" bestFit="1" customWidth="1"/>
    <col min="515" max="515" width="45.6640625" bestFit="1" customWidth="1"/>
    <col min="516" max="516" width="19.88671875" bestFit="1" customWidth="1"/>
    <col min="517" max="517" width="15.44140625" bestFit="1" customWidth="1"/>
    <col min="518" max="518" width="20.44140625" bestFit="1" customWidth="1"/>
    <col min="519" max="519" width="13.44140625" customWidth="1"/>
    <col min="520" max="520" width="15.5546875" bestFit="1" customWidth="1"/>
    <col min="521" max="521" width="14.44140625" bestFit="1" customWidth="1"/>
    <col min="522" max="522" width="15.33203125" customWidth="1"/>
    <col min="523" max="523" width="15.88671875" customWidth="1"/>
    <col min="524" max="524" width="17.109375" bestFit="1" customWidth="1"/>
    <col min="525" max="525" width="12.6640625" customWidth="1"/>
    <col min="526" max="526" width="13.6640625" customWidth="1"/>
    <col min="527" max="527" width="14" bestFit="1" customWidth="1"/>
    <col min="528" max="528" width="16.33203125" bestFit="1" customWidth="1"/>
    <col min="529" max="529" width="16.109375" customWidth="1"/>
    <col min="530" max="530" width="16.88671875" bestFit="1" customWidth="1"/>
    <col min="531" max="531" width="15.6640625" bestFit="1" customWidth="1"/>
    <col min="532" max="532" width="16.33203125" bestFit="1" customWidth="1"/>
    <col min="533" max="533" width="16.554687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33203125" bestFit="1" customWidth="1"/>
    <col min="771" max="771" width="45.6640625" bestFit="1" customWidth="1"/>
    <col min="772" max="772" width="19.88671875" bestFit="1" customWidth="1"/>
    <col min="773" max="773" width="15.44140625" bestFit="1" customWidth="1"/>
    <col min="774" max="774" width="20.44140625" bestFit="1" customWidth="1"/>
    <col min="775" max="775" width="13.44140625" customWidth="1"/>
    <col min="776" max="776" width="15.5546875" bestFit="1" customWidth="1"/>
    <col min="777" max="777" width="14.44140625" bestFit="1" customWidth="1"/>
    <col min="778" max="778" width="15.33203125" customWidth="1"/>
    <col min="779" max="779" width="15.88671875" customWidth="1"/>
    <col min="780" max="780" width="17.109375" bestFit="1" customWidth="1"/>
    <col min="781" max="781" width="12.6640625" customWidth="1"/>
    <col min="782" max="782" width="13.6640625" customWidth="1"/>
    <col min="783" max="783" width="14" bestFit="1" customWidth="1"/>
    <col min="784" max="784" width="16.33203125" bestFit="1" customWidth="1"/>
    <col min="785" max="785" width="16.109375" customWidth="1"/>
    <col min="786" max="786" width="16.88671875" bestFit="1" customWidth="1"/>
    <col min="787" max="787" width="15.6640625" bestFit="1" customWidth="1"/>
    <col min="788" max="788" width="16.33203125" bestFit="1" customWidth="1"/>
    <col min="789" max="789" width="16.554687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33203125" bestFit="1" customWidth="1"/>
    <col min="1027" max="1027" width="45.6640625" bestFit="1" customWidth="1"/>
    <col min="1028" max="1028" width="19.88671875" bestFit="1" customWidth="1"/>
    <col min="1029" max="1029" width="15.44140625" bestFit="1" customWidth="1"/>
    <col min="1030" max="1030" width="20.44140625" bestFit="1" customWidth="1"/>
    <col min="1031" max="1031" width="13.44140625" customWidth="1"/>
    <col min="1032" max="1032" width="15.5546875" bestFit="1" customWidth="1"/>
    <col min="1033" max="1033" width="14.44140625" bestFit="1" customWidth="1"/>
    <col min="1034" max="1034" width="15.33203125" customWidth="1"/>
    <col min="1035" max="1035" width="15.88671875" customWidth="1"/>
    <col min="1036" max="1036" width="17.109375" bestFit="1" customWidth="1"/>
    <col min="1037" max="1037" width="12.6640625" customWidth="1"/>
    <col min="1038" max="1038" width="13.6640625" customWidth="1"/>
    <col min="1039" max="1039" width="14" bestFit="1" customWidth="1"/>
    <col min="1040" max="1040" width="16.33203125" bestFit="1" customWidth="1"/>
    <col min="1041" max="1041" width="16.109375" customWidth="1"/>
    <col min="1042" max="1042" width="16.88671875" bestFit="1" customWidth="1"/>
    <col min="1043" max="1043" width="15.6640625" bestFit="1" customWidth="1"/>
    <col min="1044" max="1044" width="16.33203125" bestFit="1" customWidth="1"/>
    <col min="1045" max="1045" width="16.554687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33203125" bestFit="1" customWidth="1"/>
    <col min="1283" max="1283" width="45.6640625" bestFit="1" customWidth="1"/>
    <col min="1284" max="1284" width="19.88671875" bestFit="1" customWidth="1"/>
    <col min="1285" max="1285" width="15.44140625" bestFit="1" customWidth="1"/>
    <col min="1286" max="1286" width="20.44140625" bestFit="1" customWidth="1"/>
    <col min="1287" max="1287" width="13.44140625" customWidth="1"/>
    <col min="1288" max="1288" width="15.5546875" bestFit="1" customWidth="1"/>
    <col min="1289" max="1289" width="14.44140625" bestFit="1" customWidth="1"/>
    <col min="1290" max="1290" width="15.33203125" customWidth="1"/>
    <col min="1291" max="1291" width="15.88671875" customWidth="1"/>
    <col min="1292" max="1292" width="17.109375" bestFit="1" customWidth="1"/>
    <col min="1293" max="1293" width="12.6640625" customWidth="1"/>
    <col min="1294" max="1294" width="13.6640625" customWidth="1"/>
    <col min="1295" max="1295" width="14" bestFit="1" customWidth="1"/>
    <col min="1296" max="1296" width="16.33203125" bestFit="1" customWidth="1"/>
    <col min="1297" max="1297" width="16.109375" customWidth="1"/>
    <col min="1298" max="1298" width="16.88671875" bestFit="1" customWidth="1"/>
    <col min="1299" max="1299" width="15.6640625" bestFit="1" customWidth="1"/>
    <col min="1300" max="1300" width="16.33203125" bestFit="1" customWidth="1"/>
    <col min="1301" max="1301" width="16.554687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33203125" bestFit="1" customWidth="1"/>
    <col min="1539" max="1539" width="45.6640625" bestFit="1" customWidth="1"/>
    <col min="1540" max="1540" width="19.88671875" bestFit="1" customWidth="1"/>
    <col min="1541" max="1541" width="15.44140625" bestFit="1" customWidth="1"/>
    <col min="1542" max="1542" width="20.44140625" bestFit="1" customWidth="1"/>
    <col min="1543" max="1543" width="13.44140625" customWidth="1"/>
    <col min="1544" max="1544" width="15.5546875" bestFit="1" customWidth="1"/>
    <col min="1545" max="1545" width="14.44140625" bestFit="1" customWidth="1"/>
    <col min="1546" max="1546" width="15.33203125" customWidth="1"/>
    <col min="1547" max="1547" width="15.88671875" customWidth="1"/>
    <col min="1548" max="1548" width="17.109375" bestFit="1" customWidth="1"/>
    <col min="1549" max="1549" width="12.6640625" customWidth="1"/>
    <col min="1550" max="1550" width="13.6640625" customWidth="1"/>
    <col min="1551" max="1551" width="14" bestFit="1" customWidth="1"/>
    <col min="1552" max="1552" width="16.33203125" bestFit="1" customWidth="1"/>
    <col min="1553" max="1553" width="16.109375" customWidth="1"/>
    <col min="1554" max="1554" width="16.88671875" bestFit="1" customWidth="1"/>
    <col min="1555" max="1555" width="15.6640625" bestFit="1" customWidth="1"/>
    <col min="1556" max="1556" width="16.33203125" bestFit="1" customWidth="1"/>
    <col min="1557" max="1557" width="16.554687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33203125" bestFit="1" customWidth="1"/>
    <col min="1795" max="1795" width="45.6640625" bestFit="1" customWidth="1"/>
    <col min="1796" max="1796" width="19.88671875" bestFit="1" customWidth="1"/>
    <col min="1797" max="1797" width="15.44140625" bestFit="1" customWidth="1"/>
    <col min="1798" max="1798" width="20.44140625" bestFit="1" customWidth="1"/>
    <col min="1799" max="1799" width="13.44140625" customWidth="1"/>
    <col min="1800" max="1800" width="15.5546875" bestFit="1" customWidth="1"/>
    <col min="1801" max="1801" width="14.44140625" bestFit="1" customWidth="1"/>
    <col min="1802" max="1802" width="15.33203125" customWidth="1"/>
    <col min="1803" max="1803" width="15.88671875" customWidth="1"/>
    <col min="1804" max="1804" width="17.109375" bestFit="1" customWidth="1"/>
    <col min="1805" max="1805" width="12.6640625" customWidth="1"/>
    <col min="1806" max="1806" width="13.6640625" customWidth="1"/>
    <col min="1807" max="1807" width="14" bestFit="1" customWidth="1"/>
    <col min="1808" max="1808" width="16.33203125" bestFit="1" customWidth="1"/>
    <col min="1809" max="1809" width="16.109375" customWidth="1"/>
    <col min="1810" max="1810" width="16.88671875" bestFit="1" customWidth="1"/>
    <col min="1811" max="1811" width="15.6640625" bestFit="1" customWidth="1"/>
    <col min="1812" max="1812" width="16.33203125" bestFit="1" customWidth="1"/>
    <col min="1813" max="1813" width="16.554687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33203125" bestFit="1" customWidth="1"/>
    <col min="2051" max="2051" width="45.6640625" bestFit="1" customWidth="1"/>
    <col min="2052" max="2052" width="19.88671875" bestFit="1" customWidth="1"/>
    <col min="2053" max="2053" width="15.44140625" bestFit="1" customWidth="1"/>
    <col min="2054" max="2054" width="20.44140625" bestFit="1" customWidth="1"/>
    <col min="2055" max="2055" width="13.44140625" customWidth="1"/>
    <col min="2056" max="2056" width="15.5546875" bestFit="1" customWidth="1"/>
    <col min="2057" max="2057" width="14.44140625" bestFit="1" customWidth="1"/>
    <col min="2058" max="2058" width="15.33203125" customWidth="1"/>
    <col min="2059" max="2059" width="15.88671875" customWidth="1"/>
    <col min="2060" max="2060" width="17.109375" bestFit="1" customWidth="1"/>
    <col min="2061" max="2061" width="12.6640625" customWidth="1"/>
    <col min="2062" max="2062" width="13.6640625" customWidth="1"/>
    <col min="2063" max="2063" width="14" bestFit="1" customWidth="1"/>
    <col min="2064" max="2064" width="16.33203125" bestFit="1" customWidth="1"/>
    <col min="2065" max="2065" width="16.109375" customWidth="1"/>
    <col min="2066" max="2066" width="16.88671875" bestFit="1" customWidth="1"/>
    <col min="2067" max="2067" width="15.6640625" bestFit="1" customWidth="1"/>
    <col min="2068" max="2068" width="16.33203125" bestFit="1" customWidth="1"/>
    <col min="2069" max="2069" width="16.554687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33203125" bestFit="1" customWidth="1"/>
    <col min="2307" max="2307" width="45.6640625" bestFit="1" customWidth="1"/>
    <col min="2308" max="2308" width="19.88671875" bestFit="1" customWidth="1"/>
    <col min="2309" max="2309" width="15.44140625" bestFit="1" customWidth="1"/>
    <col min="2310" max="2310" width="20.44140625" bestFit="1" customWidth="1"/>
    <col min="2311" max="2311" width="13.44140625" customWidth="1"/>
    <col min="2312" max="2312" width="15.5546875" bestFit="1" customWidth="1"/>
    <col min="2313" max="2313" width="14.44140625" bestFit="1" customWidth="1"/>
    <col min="2314" max="2314" width="15.33203125" customWidth="1"/>
    <col min="2315" max="2315" width="15.88671875" customWidth="1"/>
    <col min="2316" max="2316" width="17.109375" bestFit="1" customWidth="1"/>
    <col min="2317" max="2317" width="12.6640625" customWidth="1"/>
    <col min="2318" max="2318" width="13.6640625" customWidth="1"/>
    <col min="2319" max="2319" width="14" bestFit="1" customWidth="1"/>
    <col min="2320" max="2320" width="16.33203125" bestFit="1" customWidth="1"/>
    <col min="2321" max="2321" width="16.109375" customWidth="1"/>
    <col min="2322" max="2322" width="16.88671875" bestFit="1" customWidth="1"/>
    <col min="2323" max="2323" width="15.6640625" bestFit="1" customWidth="1"/>
    <col min="2324" max="2324" width="16.33203125" bestFit="1" customWidth="1"/>
    <col min="2325" max="2325" width="16.554687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33203125" bestFit="1" customWidth="1"/>
    <col min="2563" max="2563" width="45.6640625" bestFit="1" customWidth="1"/>
    <col min="2564" max="2564" width="19.88671875" bestFit="1" customWidth="1"/>
    <col min="2565" max="2565" width="15.44140625" bestFit="1" customWidth="1"/>
    <col min="2566" max="2566" width="20.44140625" bestFit="1" customWidth="1"/>
    <col min="2567" max="2567" width="13.44140625" customWidth="1"/>
    <col min="2568" max="2568" width="15.5546875" bestFit="1" customWidth="1"/>
    <col min="2569" max="2569" width="14.44140625" bestFit="1" customWidth="1"/>
    <col min="2570" max="2570" width="15.33203125" customWidth="1"/>
    <col min="2571" max="2571" width="15.88671875" customWidth="1"/>
    <col min="2572" max="2572" width="17.109375" bestFit="1" customWidth="1"/>
    <col min="2573" max="2573" width="12.6640625" customWidth="1"/>
    <col min="2574" max="2574" width="13.6640625" customWidth="1"/>
    <col min="2575" max="2575" width="14" bestFit="1" customWidth="1"/>
    <col min="2576" max="2576" width="16.33203125" bestFit="1" customWidth="1"/>
    <col min="2577" max="2577" width="16.109375" customWidth="1"/>
    <col min="2578" max="2578" width="16.88671875" bestFit="1" customWidth="1"/>
    <col min="2579" max="2579" width="15.6640625" bestFit="1" customWidth="1"/>
    <col min="2580" max="2580" width="16.33203125" bestFit="1" customWidth="1"/>
    <col min="2581" max="2581" width="16.554687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33203125" bestFit="1" customWidth="1"/>
    <col min="2819" max="2819" width="45.6640625" bestFit="1" customWidth="1"/>
    <col min="2820" max="2820" width="19.88671875" bestFit="1" customWidth="1"/>
    <col min="2821" max="2821" width="15.44140625" bestFit="1" customWidth="1"/>
    <col min="2822" max="2822" width="20.44140625" bestFit="1" customWidth="1"/>
    <col min="2823" max="2823" width="13.44140625" customWidth="1"/>
    <col min="2824" max="2824" width="15.5546875" bestFit="1" customWidth="1"/>
    <col min="2825" max="2825" width="14.44140625" bestFit="1" customWidth="1"/>
    <col min="2826" max="2826" width="15.33203125" customWidth="1"/>
    <col min="2827" max="2827" width="15.88671875" customWidth="1"/>
    <col min="2828" max="2828" width="17.109375" bestFit="1" customWidth="1"/>
    <col min="2829" max="2829" width="12.6640625" customWidth="1"/>
    <col min="2830" max="2830" width="13.6640625" customWidth="1"/>
    <col min="2831" max="2831" width="14" bestFit="1" customWidth="1"/>
    <col min="2832" max="2832" width="16.33203125" bestFit="1" customWidth="1"/>
    <col min="2833" max="2833" width="16.109375" customWidth="1"/>
    <col min="2834" max="2834" width="16.88671875" bestFit="1" customWidth="1"/>
    <col min="2835" max="2835" width="15.6640625" bestFit="1" customWidth="1"/>
    <col min="2836" max="2836" width="16.33203125" bestFit="1" customWidth="1"/>
    <col min="2837" max="2837" width="16.554687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33203125" bestFit="1" customWidth="1"/>
    <col min="3075" max="3075" width="45.6640625" bestFit="1" customWidth="1"/>
    <col min="3076" max="3076" width="19.88671875" bestFit="1" customWidth="1"/>
    <col min="3077" max="3077" width="15.44140625" bestFit="1" customWidth="1"/>
    <col min="3078" max="3078" width="20.44140625" bestFit="1" customWidth="1"/>
    <col min="3079" max="3079" width="13.44140625" customWidth="1"/>
    <col min="3080" max="3080" width="15.5546875" bestFit="1" customWidth="1"/>
    <col min="3081" max="3081" width="14.44140625" bestFit="1" customWidth="1"/>
    <col min="3082" max="3082" width="15.33203125" customWidth="1"/>
    <col min="3083" max="3083" width="15.88671875" customWidth="1"/>
    <col min="3084" max="3084" width="17.109375" bestFit="1" customWidth="1"/>
    <col min="3085" max="3085" width="12.6640625" customWidth="1"/>
    <col min="3086" max="3086" width="13.6640625" customWidth="1"/>
    <col min="3087" max="3087" width="14" bestFit="1" customWidth="1"/>
    <col min="3088" max="3088" width="16.33203125" bestFit="1" customWidth="1"/>
    <col min="3089" max="3089" width="16.109375" customWidth="1"/>
    <col min="3090" max="3090" width="16.88671875" bestFit="1" customWidth="1"/>
    <col min="3091" max="3091" width="15.6640625" bestFit="1" customWidth="1"/>
    <col min="3092" max="3092" width="16.33203125" bestFit="1" customWidth="1"/>
    <col min="3093" max="3093" width="16.554687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33203125" bestFit="1" customWidth="1"/>
    <col min="3331" max="3331" width="45.6640625" bestFit="1" customWidth="1"/>
    <col min="3332" max="3332" width="19.88671875" bestFit="1" customWidth="1"/>
    <col min="3333" max="3333" width="15.44140625" bestFit="1" customWidth="1"/>
    <col min="3334" max="3334" width="20.44140625" bestFit="1" customWidth="1"/>
    <col min="3335" max="3335" width="13.44140625" customWidth="1"/>
    <col min="3336" max="3336" width="15.5546875" bestFit="1" customWidth="1"/>
    <col min="3337" max="3337" width="14.44140625" bestFit="1" customWidth="1"/>
    <col min="3338" max="3338" width="15.33203125" customWidth="1"/>
    <col min="3339" max="3339" width="15.88671875" customWidth="1"/>
    <col min="3340" max="3340" width="17.109375" bestFit="1" customWidth="1"/>
    <col min="3341" max="3341" width="12.6640625" customWidth="1"/>
    <col min="3342" max="3342" width="13.6640625" customWidth="1"/>
    <col min="3343" max="3343" width="14" bestFit="1" customWidth="1"/>
    <col min="3344" max="3344" width="16.33203125" bestFit="1" customWidth="1"/>
    <col min="3345" max="3345" width="16.109375" customWidth="1"/>
    <col min="3346" max="3346" width="16.88671875" bestFit="1" customWidth="1"/>
    <col min="3347" max="3347" width="15.6640625" bestFit="1" customWidth="1"/>
    <col min="3348" max="3348" width="16.33203125" bestFit="1" customWidth="1"/>
    <col min="3349" max="3349" width="16.554687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33203125" bestFit="1" customWidth="1"/>
    <col min="3587" max="3587" width="45.6640625" bestFit="1" customWidth="1"/>
    <col min="3588" max="3588" width="19.88671875" bestFit="1" customWidth="1"/>
    <col min="3589" max="3589" width="15.44140625" bestFit="1" customWidth="1"/>
    <col min="3590" max="3590" width="20.44140625" bestFit="1" customWidth="1"/>
    <col min="3591" max="3591" width="13.44140625" customWidth="1"/>
    <col min="3592" max="3592" width="15.5546875" bestFit="1" customWidth="1"/>
    <col min="3593" max="3593" width="14.44140625" bestFit="1" customWidth="1"/>
    <col min="3594" max="3594" width="15.33203125" customWidth="1"/>
    <col min="3595" max="3595" width="15.88671875" customWidth="1"/>
    <col min="3596" max="3596" width="17.109375" bestFit="1" customWidth="1"/>
    <col min="3597" max="3597" width="12.6640625" customWidth="1"/>
    <col min="3598" max="3598" width="13.6640625" customWidth="1"/>
    <col min="3599" max="3599" width="14" bestFit="1" customWidth="1"/>
    <col min="3600" max="3600" width="16.33203125" bestFit="1" customWidth="1"/>
    <col min="3601" max="3601" width="16.109375" customWidth="1"/>
    <col min="3602" max="3602" width="16.88671875" bestFit="1" customWidth="1"/>
    <col min="3603" max="3603" width="15.6640625" bestFit="1" customWidth="1"/>
    <col min="3604" max="3604" width="16.33203125" bestFit="1" customWidth="1"/>
    <col min="3605" max="3605" width="16.554687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33203125" bestFit="1" customWidth="1"/>
    <col min="3843" max="3843" width="45.6640625" bestFit="1" customWidth="1"/>
    <col min="3844" max="3844" width="19.88671875" bestFit="1" customWidth="1"/>
    <col min="3845" max="3845" width="15.44140625" bestFit="1" customWidth="1"/>
    <col min="3846" max="3846" width="20.44140625" bestFit="1" customWidth="1"/>
    <col min="3847" max="3847" width="13.44140625" customWidth="1"/>
    <col min="3848" max="3848" width="15.5546875" bestFit="1" customWidth="1"/>
    <col min="3849" max="3849" width="14.44140625" bestFit="1" customWidth="1"/>
    <col min="3850" max="3850" width="15.33203125" customWidth="1"/>
    <col min="3851" max="3851" width="15.88671875" customWidth="1"/>
    <col min="3852" max="3852" width="17.109375" bestFit="1" customWidth="1"/>
    <col min="3853" max="3853" width="12.6640625" customWidth="1"/>
    <col min="3854" max="3854" width="13.6640625" customWidth="1"/>
    <col min="3855" max="3855" width="14" bestFit="1" customWidth="1"/>
    <col min="3856" max="3856" width="16.33203125" bestFit="1" customWidth="1"/>
    <col min="3857" max="3857" width="16.109375" customWidth="1"/>
    <col min="3858" max="3858" width="16.88671875" bestFit="1" customWidth="1"/>
    <col min="3859" max="3859" width="15.6640625" bestFit="1" customWidth="1"/>
    <col min="3860" max="3860" width="16.33203125" bestFit="1" customWidth="1"/>
    <col min="3861" max="3861" width="16.554687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33203125" bestFit="1" customWidth="1"/>
    <col min="4099" max="4099" width="45.6640625" bestFit="1" customWidth="1"/>
    <col min="4100" max="4100" width="19.88671875" bestFit="1" customWidth="1"/>
    <col min="4101" max="4101" width="15.44140625" bestFit="1" customWidth="1"/>
    <col min="4102" max="4102" width="20.44140625" bestFit="1" customWidth="1"/>
    <col min="4103" max="4103" width="13.44140625" customWidth="1"/>
    <col min="4104" max="4104" width="15.5546875" bestFit="1" customWidth="1"/>
    <col min="4105" max="4105" width="14.44140625" bestFit="1" customWidth="1"/>
    <col min="4106" max="4106" width="15.33203125" customWidth="1"/>
    <col min="4107" max="4107" width="15.88671875" customWidth="1"/>
    <col min="4108" max="4108" width="17.109375" bestFit="1" customWidth="1"/>
    <col min="4109" max="4109" width="12.6640625" customWidth="1"/>
    <col min="4110" max="4110" width="13.6640625" customWidth="1"/>
    <col min="4111" max="4111" width="14" bestFit="1" customWidth="1"/>
    <col min="4112" max="4112" width="16.33203125" bestFit="1" customWidth="1"/>
    <col min="4113" max="4113" width="16.109375" customWidth="1"/>
    <col min="4114" max="4114" width="16.88671875" bestFit="1" customWidth="1"/>
    <col min="4115" max="4115" width="15.6640625" bestFit="1" customWidth="1"/>
    <col min="4116" max="4116" width="16.33203125" bestFit="1" customWidth="1"/>
    <col min="4117" max="4117" width="16.554687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33203125" bestFit="1" customWidth="1"/>
    <col min="4355" max="4355" width="45.6640625" bestFit="1" customWidth="1"/>
    <col min="4356" max="4356" width="19.88671875" bestFit="1" customWidth="1"/>
    <col min="4357" max="4357" width="15.44140625" bestFit="1" customWidth="1"/>
    <col min="4358" max="4358" width="20.44140625" bestFit="1" customWidth="1"/>
    <col min="4359" max="4359" width="13.44140625" customWidth="1"/>
    <col min="4360" max="4360" width="15.5546875" bestFit="1" customWidth="1"/>
    <col min="4361" max="4361" width="14.44140625" bestFit="1" customWidth="1"/>
    <col min="4362" max="4362" width="15.33203125" customWidth="1"/>
    <col min="4363" max="4363" width="15.88671875" customWidth="1"/>
    <col min="4364" max="4364" width="17.109375" bestFit="1" customWidth="1"/>
    <col min="4365" max="4365" width="12.6640625" customWidth="1"/>
    <col min="4366" max="4366" width="13.6640625" customWidth="1"/>
    <col min="4367" max="4367" width="14" bestFit="1" customWidth="1"/>
    <col min="4368" max="4368" width="16.33203125" bestFit="1" customWidth="1"/>
    <col min="4369" max="4369" width="16.109375" customWidth="1"/>
    <col min="4370" max="4370" width="16.88671875" bestFit="1" customWidth="1"/>
    <col min="4371" max="4371" width="15.6640625" bestFit="1" customWidth="1"/>
    <col min="4372" max="4372" width="16.33203125" bestFit="1" customWidth="1"/>
    <col min="4373" max="4373" width="16.554687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33203125" bestFit="1" customWidth="1"/>
    <col min="4611" max="4611" width="45.6640625" bestFit="1" customWidth="1"/>
    <col min="4612" max="4612" width="19.88671875" bestFit="1" customWidth="1"/>
    <col min="4613" max="4613" width="15.44140625" bestFit="1" customWidth="1"/>
    <col min="4614" max="4614" width="20.44140625" bestFit="1" customWidth="1"/>
    <col min="4615" max="4615" width="13.44140625" customWidth="1"/>
    <col min="4616" max="4616" width="15.5546875" bestFit="1" customWidth="1"/>
    <col min="4617" max="4617" width="14.44140625" bestFit="1" customWidth="1"/>
    <col min="4618" max="4618" width="15.33203125" customWidth="1"/>
    <col min="4619" max="4619" width="15.88671875" customWidth="1"/>
    <col min="4620" max="4620" width="17.109375" bestFit="1" customWidth="1"/>
    <col min="4621" max="4621" width="12.6640625" customWidth="1"/>
    <col min="4622" max="4622" width="13.6640625" customWidth="1"/>
    <col min="4623" max="4623" width="14" bestFit="1" customWidth="1"/>
    <col min="4624" max="4624" width="16.33203125" bestFit="1" customWidth="1"/>
    <col min="4625" max="4625" width="16.109375" customWidth="1"/>
    <col min="4626" max="4626" width="16.88671875" bestFit="1" customWidth="1"/>
    <col min="4627" max="4627" width="15.6640625" bestFit="1" customWidth="1"/>
    <col min="4628" max="4628" width="16.33203125" bestFit="1" customWidth="1"/>
    <col min="4629" max="4629" width="16.554687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33203125" bestFit="1" customWidth="1"/>
    <col min="4867" max="4867" width="45.6640625" bestFit="1" customWidth="1"/>
    <col min="4868" max="4868" width="19.88671875" bestFit="1" customWidth="1"/>
    <col min="4869" max="4869" width="15.44140625" bestFit="1" customWidth="1"/>
    <col min="4870" max="4870" width="20.44140625" bestFit="1" customWidth="1"/>
    <col min="4871" max="4871" width="13.44140625" customWidth="1"/>
    <col min="4872" max="4872" width="15.5546875" bestFit="1" customWidth="1"/>
    <col min="4873" max="4873" width="14.44140625" bestFit="1" customWidth="1"/>
    <col min="4874" max="4874" width="15.33203125" customWidth="1"/>
    <col min="4875" max="4875" width="15.88671875" customWidth="1"/>
    <col min="4876" max="4876" width="17.109375" bestFit="1" customWidth="1"/>
    <col min="4877" max="4877" width="12.6640625" customWidth="1"/>
    <col min="4878" max="4878" width="13.6640625" customWidth="1"/>
    <col min="4879" max="4879" width="14" bestFit="1" customWidth="1"/>
    <col min="4880" max="4880" width="16.33203125" bestFit="1" customWidth="1"/>
    <col min="4881" max="4881" width="16.109375" customWidth="1"/>
    <col min="4882" max="4882" width="16.88671875" bestFit="1" customWidth="1"/>
    <col min="4883" max="4883" width="15.6640625" bestFit="1" customWidth="1"/>
    <col min="4884" max="4884" width="16.33203125" bestFit="1" customWidth="1"/>
    <col min="4885" max="4885" width="16.554687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33203125" bestFit="1" customWidth="1"/>
    <col min="5123" max="5123" width="45.6640625" bestFit="1" customWidth="1"/>
    <col min="5124" max="5124" width="19.88671875" bestFit="1" customWidth="1"/>
    <col min="5125" max="5125" width="15.44140625" bestFit="1" customWidth="1"/>
    <col min="5126" max="5126" width="20.44140625" bestFit="1" customWidth="1"/>
    <col min="5127" max="5127" width="13.44140625" customWidth="1"/>
    <col min="5128" max="5128" width="15.5546875" bestFit="1" customWidth="1"/>
    <col min="5129" max="5129" width="14.44140625" bestFit="1" customWidth="1"/>
    <col min="5130" max="5130" width="15.33203125" customWidth="1"/>
    <col min="5131" max="5131" width="15.88671875" customWidth="1"/>
    <col min="5132" max="5132" width="17.109375" bestFit="1" customWidth="1"/>
    <col min="5133" max="5133" width="12.6640625" customWidth="1"/>
    <col min="5134" max="5134" width="13.6640625" customWidth="1"/>
    <col min="5135" max="5135" width="14" bestFit="1" customWidth="1"/>
    <col min="5136" max="5136" width="16.33203125" bestFit="1" customWidth="1"/>
    <col min="5137" max="5137" width="16.109375" customWidth="1"/>
    <col min="5138" max="5138" width="16.88671875" bestFit="1" customWidth="1"/>
    <col min="5139" max="5139" width="15.6640625" bestFit="1" customWidth="1"/>
    <col min="5140" max="5140" width="16.33203125" bestFit="1" customWidth="1"/>
    <col min="5141" max="5141" width="16.554687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33203125" bestFit="1" customWidth="1"/>
    <col min="5379" max="5379" width="45.6640625" bestFit="1" customWidth="1"/>
    <col min="5380" max="5380" width="19.88671875" bestFit="1" customWidth="1"/>
    <col min="5381" max="5381" width="15.44140625" bestFit="1" customWidth="1"/>
    <col min="5382" max="5382" width="20.44140625" bestFit="1" customWidth="1"/>
    <col min="5383" max="5383" width="13.44140625" customWidth="1"/>
    <col min="5384" max="5384" width="15.5546875" bestFit="1" customWidth="1"/>
    <col min="5385" max="5385" width="14.44140625" bestFit="1" customWidth="1"/>
    <col min="5386" max="5386" width="15.33203125" customWidth="1"/>
    <col min="5387" max="5387" width="15.88671875" customWidth="1"/>
    <col min="5388" max="5388" width="17.109375" bestFit="1" customWidth="1"/>
    <col min="5389" max="5389" width="12.6640625" customWidth="1"/>
    <col min="5390" max="5390" width="13.6640625" customWidth="1"/>
    <col min="5391" max="5391" width="14" bestFit="1" customWidth="1"/>
    <col min="5392" max="5392" width="16.33203125" bestFit="1" customWidth="1"/>
    <col min="5393" max="5393" width="16.109375" customWidth="1"/>
    <col min="5394" max="5394" width="16.88671875" bestFit="1" customWidth="1"/>
    <col min="5395" max="5395" width="15.6640625" bestFit="1" customWidth="1"/>
    <col min="5396" max="5396" width="16.33203125" bestFit="1" customWidth="1"/>
    <col min="5397" max="5397" width="16.554687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33203125" bestFit="1" customWidth="1"/>
    <col min="5635" max="5635" width="45.6640625" bestFit="1" customWidth="1"/>
    <col min="5636" max="5636" width="19.88671875" bestFit="1" customWidth="1"/>
    <col min="5637" max="5637" width="15.44140625" bestFit="1" customWidth="1"/>
    <col min="5638" max="5638" width="20.44140625" bestFit="1" customWidth="1"/>
    <col min="5639" max="5639" width="13.44140625" customWidth="1"/>
    <col min="5640" max="5640" width="15.5546875" bestFit="1" customWidth="1"/>
    <col min="5641" max="5641" width="14.44140625" bestFit="1" customWidth="1"/>
    <col min="5642" max="5642" width="15.33203125" customWidth="1"/>
    <col min="5643" max="5643" width="15.88671875" customWidth="1"/>
    <col min="5644" max="5644" width="17.109375" bestFit="1" customWidth="1"/>
    <col min="5645" max="5645" width="12.6640625" customWidth="1"/>
    <col min="5646" max="5646" width="13.6640625" customWidth="1"/>
    <col min="5647" max="5647" width="14" bestFit="1" customWidth="1"/>
    <col min="5648" max="5648" width="16.33203125" bestFit="1" customWidth="1"/>
    <col min="5649" max="5649" width="16.109375" customWidth="1"/>
    <col min="5650" max="5650" width="16.88671875" bestFit="1" customWidth="1"/>
    <col min="5651" max="5651" width="15.6640625" bestFit="1" customWidth="1"/>
    <col min="5652" max="5652" width="16.33203125" bestFit="1" customWidth="1"/>
    <col min="5653" max="5653" width="16.554687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33203125" bestFit="1" customWidth="1"/>
    <col min="5891" max="5891" width="45.6640625" bestFit="1" customWidth="1"/>
    <col min="5892" max="5892" width="19.88671875" bestFit="1" customWidth="1"/>
    <col min="5893" max="5893" width="15.44140625" bestFit="1" customWidth="1"/>
    <col min="5894" max="5894" width="20.44140625" bestFit="1" customWidth="1"/>
    <col min="5895" max="5895" width="13.44140625" customWidth="1"/>
    <col min="5896" max="5896" width="15.5546875" bestFit="1" customWidth="1"/>
    <col min="5897" max="5897" width="14.44140625" bestFit="1" customWidth="1"/>
    <col min="5898" max="5898" width="15.33203125" customWidth="1"/>
    <col min="5899" max="5899" width="15.88671875" customWidth="1"/>
    <col min="5900" max="5900" width="17.109375" bestFit="1" customWidth="1"/>
    <col min="5901" max="5901" width="12.6640625" customWidth="1"/>
    <col min="5902" max="5902" width="13.6640625" customWidth="1"/>
    <col min="5903" max="5903" width="14" bestFit="1" customWidth="1"/>
    <col min="5904" max="5904" width="16.33203125" bestFit="1" customWidth="1"/>
    <col min="5905" max="5905" width="16.109375" customWidth="1"/>
    <col min="5906" max="5906" width="16.88671875" bestFit="1" customWidth="1"/>
    <col min="5907" max="5907" width="15.6640625" bestFit="1" customWidth="1"/>
    <col min="5908" max="5908" width="16.33203125" bestFit="1" customWidth="1"/>
    <col min="5909" max="5909" width="16.554687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33203125" bestFit="1" customWidth="1"/>
    <col min="6147" max="6147" width="45.6640625" bestFit="1" customWidth="1"/>
    <col min="6148" max="6148" width="19.88671875" bestFit="1" customWidth="1"/>
    <col min="6149" max="6149" width="15.44140625" bestFit="1" customWidth="1"/>
    <col min="6150" max="6150" width="20.44140625" bestFit="1" customWidth="1"/>
    <col min="6151" max="6151" width="13.44140625" customWidth="1"/>
    <col min="6152" max="6152" width="15.5546875" bestFit="1" customWidth="1"/>
    <col min="6153" max="6153" width="14.44140625" bestFit="1" customWidth="1"/>
    <col min="6154" max="6154" width="15.33203125" customWidth="1"/>
    <col min="6155" max="6155" width="15.88671875" customWidth="1"/>
    <col min="6156" max="6156" width="17.109375" bestFit="1" customWidth="1"/>
    <col min="6157" max="6157" width="12.6640625" customWidth="1"/>
    <col min="6158" max="6158" width="13.6640625" customWidth="1"/>
    <col min="6159" max="6159" width="14" bestFit="1" customWidth="1"/>
    <col min="6160" max="6160" width="16.33203125" bestFit="1" customWidth="1"/>
    <col min="6161" max="6161" width="16.109375" customWidth="1"/>
    <col min="6162" max="6162" width="16.88671875" bestFit="1" customWidth="1"/>
    <col min="6163" max="6163" width="15.6640625" bestFit="1" customWidth="1"/>
    <col min="6164" max="6164" width="16.33203125" bestFit="1" customWidth="1"/>
    <col min="6165" max="6165" width="16.554687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33203125" bestFit="1" customWidth="1"/>
    <col min="6403" max="6403" width="45.6640625" bestFit="1" customWidth="1"/>
    <col min="6404" max="6404" width="19.88671875" bestFit="1" customWidth="1"/>
    <col min="6405" max="6405" width="15.44140625" bestFit="1" customWidth="1"/>
    <col min="6406" max="6406" width="20.44140625" bestFit="1" customWidth="1"/>
    <col min="6407" max="6407" width="13.44140625" customWidth="1"/>
    <col min="6408" max="6408" width="15.5546875" bestFit="1" customWidth="1"/>
    <col min="6409" max="6409" width="14.44140625" bestFit="1" customWidth="1"/>
    <col min="6410" max="6410" width="15.33203125" customWidth="1"/>
    <col min="6411" max="6411" width="15.88671875" customWidth="1"/>
    <col min="6412" max="6412" width="17.109375" bestFit="1" customWidth="1"/>
    <col min="6413" max="6413" width="12.6640625" customWidth="1"/>
    <col min="6414" max="6414" width="13.6640625" customWidth="1"/>
    <col min="6415" max="6415" width="14" bestFit="1" customWidth="1"/>
    <col min="6416" max="6416" width="16.33203125" bestFit="1" customWidth="1"/>
    <col min="6417" max="6417" width="16.109375" customWidth="1"/>
    <col min="6418" max="6418" width="16.88671875" bestFit="1" customWidth="1"/>
    <col min="6419" max="6419" width="15.6640625" bestFit="1" customWidth="1"/>
    <col min="6420" max="6420" width="16.33203125" bestFit="1" customWidth="1"/>
    <col min="6421" max="6421" width="16.554687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33203125" bestFit="1" customWidth="1"/>
    <col min="6659" max="6659" width="45.6640625" bestFit="1" customWidth="1"/>
    <col min="6660" max="6660" width="19.88671875" bestFit="1" customWidth="1"/>
    <col min="6661" max="6661" width="15.44140625" bestFit="1" customWidth="1"/>
    <col min="6662" max="6662" width="20.44140625" bestFit="1" customWidth="1"/>
    <col min="6663" max="6663" width="13.44140625" customWidth="1"/>
    <col min="6664" max="6664" width="15.5546875" bestFit="1" customWidth="1"/>
    <col min="6665" max="6665" width="14.44140625" bestFit="1" customWidth="1"/>
    <col min="6666" max="6666" width="15.33203125" customWidth="1"/>
    <col min="6667" max="6667" width="15.88671875" customWidth="1"/>
    <col min="6668" max="6668" width="17.109375" bestFit="1" customWidth="1"/>
    <col min="6669" max="6669" width="12.6640625" customWidth="1"/>
    <col min="6670" max="6670" width="13.6640625" customWidth="1"/>
    <col min="6671" max="6671" width="14" bestFit="1" customWidth="1"/>
    <col min="6672" max="6672" width="16.33203125" bestFit="1" customWidth="1"/>
    <col min="6673" max="6673" width="16.109375" customWidth="1"/>
    <col min="6674" max="6674" width="16.88671875" bestFit="1" customWidth="1"/>
    <col min="6675" max="6675" width="15.6640625" bestFit="1" customWidth="1"/>
    <col min="6676" max="6676" width="16.33203125" bestFit="1" customWidth="1"/>
    <col min="6677" max="6677" width="16.554687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33203125" bestFit="1" customWidth="1"/>
    <col min="6915" max="6915" width="45.6640625" bestFit="1" customWidth="1"/>
    <col min="6916" max="6916" width="19.88671875" bestFit="1" customWidth="1"/>
    <col min="6917" max="6917" width="15.44140625" bestFit="1" customWidth="1"/>
    <col min="6918" max="6918" width="20.44140625" bestFit="1" customWidth="1"/>
    <col min="6919" max="6919" width="13.44140625" customWidth="1"/>
    <col min="6920" max="6920" width="15.5546875" bestFit="1" customWidth="1"/>
    <col min="6921" max="6921" width="14.44140625" bestFit="1" customWidth="1"/>
    <col min="6922" max="6922" width="15.33203125" customWidth="1"/>
    <col min="6923" max="6923" width="15.88671875" customWidth="1"/>
    <col min="6924" max="6924" width="17.109375" bestFit="1" customWidth="1"/>
    <col min="6925" max="6925" width="12.6640625" customWidth="1"/>
    <col min="6926" max="6926" width="13.6640625" customWidth="1"/>
    <col min="6927" max="6927" width="14" bestFit="1" customWidth="1"/>
    <col min="6928" max="6928" width="16.33203125" bestFit="1" customWidth="1"/>
    <col min="6929" max="6929" width="16.109375" customWidth="1"/>
    <col min="6930" max="6930" width="16.88671875" bestFit="1" customWidth="1"/>
    <col min="6931" max="6931" width="15.6640625" bestFit="1" customWidth="1"/>
    <col min="6932" max="6932" width="16.33203125" bestFit="1" customWidth="1"/>
    <col min="6933" max="6933" width="16.554687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33203125" bestFit="1" customWidth="1"/>
    <col min="7171" max="7171" width="45.6640625" bestFit="1" customWidth="1"/>
    <col min="7172" max="7172" width="19.88671875" bestFit="1" customWidth="1"/>
    <col min="7173" max="7173" width="15.44140625" bestFit="1" customWidth="1"/>
    <col min="7174" max="7174" width="20.44140625" bestFit="1" customWidth="1"/>
    <col min="7175" max="7175" width="13.44140625" customWidth="1"/>
    <col min="7176" max="7176" width="15.5546875" bestFit="1" customWidth="1"/>
    <col min="7177" max="7177" width="14.44140625" bestFit="1" customWidth="1"/>
    <col min="7178" max="7178" width="15.33203125" customWidth="1"/>
    <col min="7179" max="7179" width="15.88671875" customWidth="1"/>
    <col min="7180" max="7180" width="17.109375" bestFit="1" customWidth="1"/>
    <col min="7181" max="7181" width="12.6640625" customWidth="1"/>
    <col min="7182" max="7182" width="13.6640625" customWidth="1"/>
    <col min="7183" max="7183" width="14" bestFit="1" customWidth="1"/>
    <col min="7184" max="7184" width="16.33203125" bestFit="1" customWidth="1"/>
    <col min="7185" max="7185" width="16.109375" customWidth="1"/>
    <col min="7186" max="7186" width="16.88671875" bestFit="1" customWidth="1"/>
    <col min="7187" max="7187" width="15.6640625" bestFit="1" customWidth="1"/>
    <col min="7188" max="7188" width="16.33203125" bestFit="1" customWidth="1"/>
    <col min="7189" max="7189" width="16.554687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33203125" bestFit="1" customWidth="1"/>
    <col min="7427" max="7427" width="45.6640625" bestFit="1" customWidth="1"/>
    <col min="7428" max="7428" width="19.88671875" bestFit="1" customWidth="1"/>
    <col min="7429" max="7429" width="15.44140625" bestFit="1" customWidth="1"/>
    <col min="7430" max="7430" width="20.44140625" bestFit="1" customWidth="1"/>
    <col min="7431" max="7431" width="13.44140625" customWidth="1"/>
    <col min="7432" max="7432" width="15.5546875" bestFit="1" customWidth="1"/>
    <col min="7433" max="7433" width="14.44140625" bestFit="1" customWidth="1"/>
    <col min="7434" max="7434" width="15.33203125" customWidth="1"/>
    <col min="7435" max="7435" width="15.88671875" customWidth="1"/>
    <col min="7436" max="7436" width="17.109375" bestFit="1" customWidth="1"/>
    <col min="7437" max="7437" width="12.6640625" customWidth="1"/>
    <col min="7438" max="7438" width="13.6640625" customWidth="1"/>
    <col min="7439" max="7439" width="14" bestFit="1" customWidth="1"/>
    <col min="7440" max="7440" width="16.33203125" bestFit="1" customWidth="1"/>
    <col min="7441" max="7441" width="16.109375" customWidth="1"/>
    <col min="7442" max="7442" width="16.88671875" bestFit="1" customWidth="1"/>
    <col min="7443" max="7443" width="15.6640625" bestFit="1" customWidth="1"/>
    <col min="7444" max="7444" width="16.33203125" bestFit="1" customWidth="1"/>
    <col min="7445" max="7445" width="16.554687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33203125" bestFit="1" customWidth="1"/>
    <col min="7683" max="7683" width="45.6640625" bestFit="1" customWidth="1"/>
    <col min="7684" max="7684" width="19.88671875" bestFit="1" customWidth="1"/>
    <col min="7685" max="7685" width="15.44140625" bestFit="1" customWidth="1"/>
    <col min="7686" max="7686" width="20.44140625" bestFit="1" customWidth="1"/>
    <col min="7687" max="7687" width="13.44140625" customWidth="1"/>
    <col min="7688" max="7688" width="15.5546875" bestFit="1" customWidth="1"/>
    <col min="7689" max="7689" width="14.44140625" bestFit="1" customWidth="1"/>
    <col min="7690" max="7690" width="15.33203125" customWidth="1"/>
    <col min="7691" max="7691" width="15.88671875" customWidth="1"/>
    <col min="7692" max="7692" width="17.109375" bestFit="1" customWidth="1"/>
    <col min="7693" max="7693" width="12.6640625" customWidth="1"/>
    <col min="7694" max="7694" width="13.6640625" customWidth="1"/>
    <col min="7695" max="7695" width="14" bestFit="1" customWidth="1"/>
    <col min="7696" max="7696" width="16.33203125" bestFit="1" customWidth="1"/>
    <col min="7697" max="7697" width="16.109375" customWidth="1"/>
    <col min="7698" max="7698" width="16.88671875" bestFit="1" customWidth="1"/>
    <col min="7699" max="7699" width="15.6640625" bestFit="1" customWidth="1"/>
    <col min="7700" max="7700" width="16.33203125" bestFit="1" customWidth="1"/>
    <col min="7701" max="7701" width="16.554687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33203125" bestFit="1" customWidth="1"/>
    <col min="7939" max="7939" width="45.6640625" bestFit="1" customWidth="1"/>
    <col min="7940" max="7940" width="19.88671875" bestFit="1" customWidth="1"/>
    <col min="7941" max="7941" width="15.44140625" bestFit="1" customWidth="1"/>
    <col min="7942" max="7942" width="20.44140625" bestFit="1" customWidth="1"/>
    <col min="7943" max="7943" width="13.44140625" customWidth="1"/>
    <col min="7944" max="7944" width="15.5546875" bestFit="1" customWidth="1"/>
    <col min="7945" max="7945" width="14.44140625" bestFit="1" customWidth="1"/>
    <col min="7946" max="7946" width="15.33203125" customWidth="1"/>
    <col min="7947" max="7947" width="15.88671875" customWidth="1"/>
    <col min="7948" max="7948" width="17.109375" bestFit="1" customWidth="1"/>
    <col min="7949" max="7949" width="12.6640625" customWidth="1"/>
    <col min="7950" max="7950" width="13.6640625" customWidth="1"/>
    <col min="7951" max="7951" width="14" bestFit="1" customWidth="1"/>
    <col min="7952" max="7952" width="16.33203125" bestFit="1" customWidth="1"/>
    <col min="7953" max="7953" width="16.109375" customWidth="1"/>
    <col min="7954" max="7954" width="16.88671875" bestFit="1" customWidth="1"/>
    <col min="7955" max="7955" width="15.6640625" bestFit="1" customWidth="1"/>
    <col min="7956" max="7956" width="16.33203125" bestFit="1" customWidth="1"/>
    <col min="7957" max="7957" width="16.554687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33203125" bestFit="1" customWidth="1"/>
    <col min="8195" max="8195" width="45.6640625" bestFit="1" customWidth="1"/>
    <col min="8196" max="8196" width="19.88671875" bestFit="1" customWidth="1"/>
    <col min="8197" max="8197" width="15.44140625" bestFit="1" customWidth="1"/>
    <col min="8198" max="8198" width="20.44140625" bestFit="1" customWidth="1"/>
    <col min="8199" max="8199" width="13.44140625" customWidth="1"/>
    <col min="8200" max="8200" width="15.5546875" bestFit="1" customWidth="1"/>
    <col min="8201" max="8201" width="14.44140625" bestFit="1" customWidth="1"/>
    <col min="8202" max="8202" width="15.33203125" customWidth="1"/>
    <col min="8203" max="8203" width="15.88671875" customWidth="1"/>
    <col min="8204" max="8204" width="17.109375" bestFit="1" customWidth="1"/>
    <col min="8205" max="8205" width="12.6640625" customWidth="1"/>
    <col min="8206" max="8206" width="13.6640625" customWidth="1"/>
    <col min="8207" max="8207" width="14" bestFit="1" customWidth="1"/>
    <col min="8208" max="8208" width="16.33203125" bestFit="1" customWidth="1"/>
    <col min="8209" max="8209" width="16.109375" customWidth="1"/>
    <col min="8210" max="8210" width="16.88671875" bestFit="1" customWidth="1"/>
    <col min="8211" max="8211" width="15.6640625" bestFit="1" customWidth="1"/>
    <col min="8212" max="8212" width="16.33203125" bestFit="1" customWidth="1"/>
    <col min="8213" max="8213" width="16.554687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33203125" bestFit="1" customWidth="1"/>
    <col min="8451" max="8451" width="45.6640625" bestFit="1" customWidth="1"/>
    <col min="8452" max="8452" width="19.88671875" bestFit="1" customWidth="1"/>
    <col min="8453" max="8453" width="15.44140625" bestFit="1" customWidth="1"/>
    <col min="8454" max="8454" width="20.44140625" bestFit="1" customWidth="1"/>
    <col min="8455" max="8455" width="13.44140625" customWidth="1"/>
    <col min="8456" max="8456" width="15.5546875" bestFit="1" customWidth="1"/>
    <col min="8457" max="8457" width="14.44140625" bestFit="1" customWidth="1"/>
    <col min="8458" max="8458" width="15.33203125" customWidth="1"/>
    <col min="8459" max="8459" width="15.88671875" customWidth="1"/>
    <col min="8460" max="8460" width="17.109375" bestFit="1" customWidth="1"/>
    <col min="8461" max="8461" width="12.6640625" customWidth="1"/>
    <col min="8462" max="8462" width="13.6640625" customWidth="1"/>
    <col min="8463" max="8463" width="14" bestFit="1" customWidth="1"/>
    <col min="8464" max="8464" width="16.33203125" bestFit="1" customWidth="1"/>
    <col min="8465" max="8465" width="16.109375" customWidth="1"/>
    <col min="8466" max="8466" width="16.88671875" bestFit="1" customWidth="1"/>
    <col min="8467" max="8467" width="15.6640625" bestFit="1" customWidth="1"/>
    <col min="8468" max="8468" width="16.33203125" bestFit="1" customWidth="1"/>
    <col min="8469" max="8469" width="16.554687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33203125" bestFit="1" customWidth="1"/>
    <col min="8707" max="8707" width="45.6640625" bestFit="1" customWidth="1"/>
    <col min="8708" max="8708" width="19.88671875" bestFit="1" customWidth="1"/>
    <col min="8709" max="8709" width="15.44140625" bestFit="1" customWidth="1"/>
    <col min="8710" max="8710" width="20.44140625" bestFit="1" customWidth="1"/>
    <col min="8711" max="8711" width="13.44140625" customWidth="1"/>
    <col min="8712" max="8712" width="15.5546875" bestFit="1" customWidth="1"/>
    <col min="8713" max="8713" width="14.44140625" bestFit="1" customWidth="1"/>
    <col min="8714" max="8714" width="15.33203125" customWidth="1"/>
    <col min="8715" max="8715" width="15.88671875" customWidth="1"/>
    <col min="8716" max="8716" width="17.109375" bestFit="1" customWidth="1"/>
    <col min="8717" max="8717" width="12.6640625" customWidth="1"/>
    <col min="8718" max="8718" width="13.6640625" customWidth="1"/>
    <col min="8719" max="8719" width="14" bestFit="1" customWidth="1"/>
    <col min="8720" max="8720" width="16.33203125" bestFit="1" customWidth="1"/>
    <col min="8721" max="8721" width="16.109375" customWidth="1"/>
    <col min="8722" max="8722" width="16.88671875" bestFit="1" customWidth="1"/>
    <col min="8723" max="8723" width="15.6640625" bestFit="1" customWidth="1"/>
    <col min="8724" max="8724" width="16.33203125" bestFit="1" customWidth="1"/>
    <col min="8725" max="8725" width="16.554687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33203125" bestFit="1" customWidth="1"/>
    <col min="8963" max="8963" width="45.6640625" bestFit="1" customWidth="1"/>
    <col min="8964" max="8964" width="19.88671875" bestFit="1" customWidth="1"/>
    <col min="8965" max="8965" width="15.44140625" bestFit="1" customWidth="1"/>
    <col min="8966" max="8966" width="20.44140625" bestFit="1" customWidth="1"/>
    <col min="8967" max="8967" width="13.44140625" customWidth="1"/>
    <col min="8968" max="8968" width="15.5546875" bestFit="1" customWidth="1"/>
    <col min="8969" max="8969" width="14.44140625" bestFit="1" customWidth="1"/>
    <col min="8970" max="8970" width="15.33203125" customWidth="1"/>
    <col min="8971" max="8971" width="15.88671875" customWidth="1"/>
    <col min="8972" max="8972" width="17.109375" bestFit="1" customWidth="1"/>
    <col min="8973" max="8973" width="12.6640625" customWidth="1"/>
    <col min="8974" max="8974" width="13.6640625" customWidth="1"/>
    <col min="8975" max="8975" width="14" bestFit="1" customWidth="1"/>
    <col min="8976" max="8976" width="16.33203125" bestFit="1" customWidth="1"/>
    <col min="8977" max="8977" width="16.109375" customWidth="1"/>
    <col min="8978" max="8978" width="16.88671875" bestFit="1" customWidth="1"/>
    <col min="8979" max="8979" width="15.6640625" bestFit="1" customWidth="1"/>
    <col min="8980" max="8980" width="16.33203125" bestFit="1" customWidth="1"/>
    <col min="8981" max="8981" width="16.554687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33203125" bestFit="1" customWidth="1"/>
    <col min="9219" max="9219" width="45.6640625" bestFit="1" customWidth="1"/>
    <col min="9220" max="9220" width="19.88671875" bestFit="1" customWidth="1"/>
    <col min="9221" max="9221" width="15.44140625" bestFit="1" customWidth="1"/>
    <col min="9222" max="9222" width="20.44140625" bestFit="1" customWidth="1"/>
    <col min="9223" max="9223" width="13.44140625" customWidth="1"/>
    <col min="9224" max="9224" width="15.5546875" bestFit="1" customWidth="1"/>
    <col min="9225" max="9225" width="14.44140625" bestFit="1" customWidth="1"/>
    <col min="9226" max="9226" width="15.33203125" customWidth="1"/>
    <col min="9227" max="9227" width="15.88671875" customWidth="1"/>
    <col min="9228" max="9228" width="17.109375" bestFit="1" customWidth="1"/>
    <col min="9229" max="9229" width="12.6640625" customWidth="1"/>
    <col min="9230" max="9230" width="13.6640625" customWidth="1"/>
    <col min="9231" max="9231" width="14" bestFit="1" customWidth="1"/>
    <col min="9232" max="9232" width="16.33203125" bestFit="1" customWidth="1"/>
    <col min="9233" max="9233" width="16.109375" customWidth="1"/>
    <col min="9234" max="9234" width="16.88671875" bestFit="1" customWidth="1"/>
    <col min="9235" max="9235" width="15.6640625" bestFit="1" customWidth="1"/>
    <col min="9236" max="9236" width="16.33203125" bestFit="1" customWidth="1"/>
    <col min="9237" max="9237" width="16.554687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33203125" bestFit="1" customWidth="1"/>
    <col min="9475" max="9475" width="45.6640625" bestFit="1" customWidth="1"/>
    <col min="9476" max="9476" width="19.88671875" bestFit="1" customWidth="1"/>
    <col min="9477" max="9477" width="15.44140625" bestFit="1" customWidth="1"/>
    <col min="9478" max="9478" width="20.44140625" bestFit="1" customWidth="1"/>
    <col min="9479" max="9479" width="13.44140625" customWidth="1"/>
    <col min="9480" max="9480" width="15.5546875" bestFit="1" customWidth="1"/>
    <col min="9481" max="9481" width="14.44140625" bestFit="1" customWidth="1"/>
    <col min="9482" max="9482" width="15.33203125" customWidth="1"/>
    <col min="9483" max="9483" width="15.88671875" customWidth="1"/>
    <col min="9484" max="9484" width="17.109375" bestFit="1" customWidth="1"/>
    <col min="9485" max="9485" width="12.6640625" customWidth="1"/>
    <col min="9486" max="9486" width="13.6640625" customWidth="1"/>
    <col min="9487" max="9487" width="14" bestFit="1" customWidth="1"/>
    <col min="9488" max="9488" width="16.33203125" bestFit="1" customWidth="1"/>
    <col min="9489" max="9489" width="16.109375" customWidth="1"/>
    <col min="9490" max="9490" width="16.88671875" bestFit="1" customWidth="1"/>
    <col min="9491" max="9491" width="15.6640625" bestFit="1" customWidth="1"/>
    <col min="9492" max="9492" width="16.33203125" bestFit="1" customWidth="1"/>
    <col min="9493" max="9493" width="16.554687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33203125" bestFit="1" customWidth="1"/>
    <col min="9731" max="9731" width="45.6640625" bestFit="1" customWidth="1"/>
    <col min="9732" max="9732" width="19.88671875" bestFit="1" customWidth="1"/>
    <col min="9733" max="9733" width="15.44140625" bestFit="1" customWidth="1"/>
    <col min="9734" max="9734" width="20.44140625" bestFit="1" customWidth="1"/>
    <col min="9735" max="9735" width="13.44140625" customWidth="1"/>
    <col min="9736" max="9736" width="15.5546875" bestFit="1" customWidth="1"/>
    <col min="9737" max="9737" width="14.44140625" bestFit="1" customWidth="1"/>
    <col min="9738" max="9738" width="15.33203125" customWidth="1"/>
    <col min="9739" max="9739" width="15.88671875" customWidth="1"/>
    <col min="9740" max="9740" width="17.109375" bestFit="1" customWidth="1"/>
    <col min="9741" max="9741" width="12.6640625" customWidth="1"/>
    <col min="9742" max="9742" width="13.6640625" customWidth="1"/>
    <col min="9743" max="9743" width="14" bestFit="1" customWidth="1"/>
    <col min="9744" max="9744" width="16.33203125" bestFit="1" customWidth="1"/>
    <col min="9745" max="9745" width="16.109375" customWidth="1"/>
    <col min="9746" max="9746" width="16.88671875" bestFit="1" customWidth="1"/>
    <col min="9747" max="9747" width="15.6640625" bestFit="1" customWidth="1"/>
    <col min="9748" max="9748" width="16.33203125" bestFit="1" customWidth="1"/>
    <col min="9749" max="9749" width="16.554687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33203125" bestFit="1" customWidth="1"/>
    <col min="9987" max="9987" width="45.6640625" bestFit="1" customWidth="1"/>
    <col min="9988" max="9988" width="19.88671875" bestFit="1" customWidth="1"/>
    <col min="9989" max="9989" width="15.44140625" bestFit="1" customWidth="1"/>
    <col min="9990" max="9990" width="20.44140625" bestFit="1" customWidth="1"/>
    <col min="9991" max="9991" width="13.44140625" customWidth="1"/>
    <col min="9992" max="9992" width="15.5546875" bestFit="1" customWidth="1"/>
    <col min="9993" max="9993" width="14.44140625" bestFit="1" customWidth="1"/>
    <col min="9994" max="9994" width="15.33203125" customWidth="1"/>
    <col min="9995" max="9995" width="15.88671875" customWidth="1"/>
    <col min="9996" max="9996" width="17.109375" bestFit="1" customWidth="1"/>
    <col min="9997" max="9997" width="12.6640625" customWidth="1"/>
    <col min="9998" max="9998" width="13.6640625" customWidth="1"/>
    <col min="9999" max="9999" width="14" bestFit="1" customWidth="1"/>
    <col min="10000" max="10000" width="16.33203125" bestFit="1" customWidth="1"/>
    <col min="10001" max="10001" width="16.109375" customWidth="1"/>
    <col min="10002" max="10002" width="16.88671875" bestFit="1" customWidth="1"/>
    <col min="10003" max="10003" width="15.6640625" bestFit="1" customWidth="1"/>
    <col min="10004" max="10004" width="16.33203125" bestFit="1" customWidth="1"/>
    <col min="10005" max="10005" width="16.554687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33203125" bestFit="1" customWidth="1"/>
    <col min="10243" max="10243" width="45.6640625" bestFit="1" customWidth="1"/>
    <col min="10244" max="10244" width="19.88671875" bestFit="1" customWidth="1"/>
    <col min="10245" max="10245" width="15.44140625" bestFit="1" customWidth="1"/>
    <col min="10246" max="10246" width="20.44140625" bestFit="1" customWidth="1"/>
    <col min="10247" max="10247" width="13.44140625" customWidth="1"/>
    <col min="10248" max="10248" width="15.5546875" bestFit="1" customWidth="1"/>
    <col min="10249" max="10249" width="14.44140625" bestFit="1" customWidth="1"/>
    <col min="10250" max="10250" width="15.33203125" customWidth="1"/>
    <col min="10251" max="10251" width="15.88671875" customWidth="1"/>
    <col min="10252" max="10252" width="17.109375" bestFit="1" customWidth="1"/>
    <col min="10253" max="10253" width="12.6640625" customWidth="1"/>
    <col min="10254" max="10254" width="13.6640625" customWidth="1"/>
    <col min="10255" max="10255" width="14" bestFit="1" customWidth="1"/>
    <col min="10256" max="10256" width="16.33203125" bestFit="1" customWidth="1"/>
    <col min="10257" max="10257" width="16.109375" customWidth="1"/>
    <col min="10258" max="10258" width="16.88671875" bestFit="1" customWidth="1"/>
    <col min="10259" max="10259" width="15.6640625" bestFit="1" customWidth="1"/>
    <col min="10260" max="10260" width="16.33203125" bestFit="1" customWidth="1"/>
    <col min="10261" max="10261" width="16.554687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33203125" bestFit="1" customWidth="1"/>
    <col min="10499" max="10499" width="45.6640625" bestFit="1" customWidth="1"/>
    <col min="10500" max="10500" width="19.88671875" bestFit="1" customWidth="1"/>
    <col min="10501" max="10501" width="15.44140625" bestFit="1" customWidth="1"/>
    <col min="10502" max="10502" width="20.44140625" bestFit="1" customWidth="1"/>
    <col min="10503" max="10503" width="13.44140625" customWidth="1"/>
    <col min="10504" max="10504" width="15.5546875" bestFit="1" customWidth="1"/>
    <col min="10505" max="10505" width="14.44140625" bestFit="1" customWidth="1"/>
    <col min="10506" max="10506" width="15.33203125" customWidth="1"/>
    <col min="10507" max="10507" width="15.88671875" customWidth="1"/>
    <col min="10508" max="10508" width="17.109375" bestFit="1" customWidth="1"/>
    <col min="10509" max="10509" width="12.6640625" customWidth="1"/>
    <col min="10510" max="10510" width="13.6640625" customWidth="1"/>
    <col min="10511" max="10511" width="14" bestFit="1" customWidth="1"/>
    <col min="10512" max="10512" width="16.33203125" bestFit="1" customWidth="1"/>
    <col min="10513" max="10513" width="16.109375" customWidth="1"/>
    <col min="10514" max="10514" width="16.88671875" bestFit="1" customWidth="1"/>
    <col min="10515" max="10515" width="15.6640625" bestFit="1" customWidth="1"/>
    <col min="10516" max="10516" width="16.33203125" bestFit="1" customWidth="1"/>
    <col min="10517" max="10517" width="16.554687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33203125" bestFit="1" customWidth="1"/>
    <col min="10755" max="10755" width="45.6640625" bestFit="1" customWidth="1"/>
    <col min="10756" max="10756" width="19.88671875" bestFit="1" customWidth="1"/>
    <col min="10757" max="10757" width="15.44140625" bestFit="1" customWidth="1"/>
    <col min="10758" max="10758" width="20.44140625" bestFit="1" customWidth="1"/>
    <col min="10759" max="10759" width="13.44140625" customWidth="1"/>
    <col min="10760" max="10760" width="15.5546875" bestFit="1" customWidth="1"/>
    <col min="10761" max="10761" width="14.44140625" bestFit="1" customWidth="1"/>
    <col min="10762" max="10762" width="15.33203125" customWidth="1"/>
    <col min="10763" max="10763" width="15.88671875" customWidth="1"/>
    <col min="10764" max="10764" width="17.109375" bestFit="1" customWidth="1"/>
    <col min="10765" max="10765" width="12.6640625" customWidth="1"/>
    <col min="10766" max="10766" width="13.6640625" customWidth="1"/>
    <col min="10767" max="10767" width="14" bestFit="1" customWidth="1"/>
    <col min="10768" max="10768" width="16.33203125" bestFit="1" customWidth="1"/>
    <col min="10769" max="10769" width="16.109375" customWidth="1"/>
    <col min="10770" max="10770" width="16.88671875" bestFit="1" customWidth="1"/>
    <col min="10771" max="10771" width="15.6640625" bestFit="1" customWidth="1"/>
    <col min="10772" max="10772" width="16.33203125" bestFit="1" customWidth="1"/>
    <col min="10773" max="10773" width="16.554687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33203125" bestFit="1" customWidth="1"/>
    <col min="11011" max="11011" width="45.6640625" bestFit="1" customWidth="1"/>
    <col min="11012" max="11012" width="19.88671875" bestFit="1" customWidth="1"/>
    <col min="11013" max="11013" width="15.44140625" bestFit="1" customWidth="1"/>
    <col min="11014" max="11014" width="20.44140625" bestFit="1" customWidth="1"/>
    <col min="11015" max="11015" width="13.44140625" customWidth="1"/>
    <col min="11016" max="11016" width="15.5546875" bestFit="1" customWidth="1"/>
    <col min="11017" max="11017" width="14.44140625" bestFit="1" customWidth="1"/>
    <col min="11018" max="11018" width="15.33203125" customWidth="1"/>
    <col min="11019" max="11019" width="15.88671875" customWidth="1"/>
    <col min="11020" max="11020" width="17.109375" bestFit="1" customWidth="1"/>
    <col min="11021" max="11021" width="12.6640625" customWidth="1"/>
    <col min="11022" max="11022" width="13.6640625" customWidth="1"/>
    <col min="11023" max="11023" width="14" bestFit="1" customWidth="1"/>
    <col min="11024" max="11024" width="16.33203125" bestFit="1" customWidth="1"/>
    <col min="11025" max="11025" width="16.109375" customWidth="1"/>
    <col min="11026" max="11026" width="16.88671875" bestFit="1" customWidth="1"/>
    <col min="11027" max="11027" width="15.6640625" bestFit="1" customWidth="1"/>
    <col min="11028" max="11028" width="16.33203125" bestFit="1" customWidth="1"/>
    <col min="11029" max="11029" width="16.554687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33203125" bestFit="1" customWidth="1"/>
    <col min="11267" max="11267" width="45.6640625" bestFit="1" customWidth="1"/>
    <col min="11268" max="11268" width="19.88671875" bestFit="1" customWidth="1"/>
    <col min="11269" max="11269" width="15.44140625" bestFit="1" customWidth="1"/>
    <col min="11270" max="11270" width="20.44140625" bestFit="1" customWidth="1"/>
    <col min="11271" max="11271" width="13.44140625" customWidth="1"/>
    <col min="11272" max="11272" width="15.5546875" bestFit="1" customWidth="1"/>
    <col min="11273" max="11273" width="14.44140625" bestFit="1" customWidth="1"/>
    <col min="11274" max="11274" width="15.33203125" customWidth="1"/>
    <col min="11275" max="11275" width="15.88671875" customWidth="1"/>
    <col min="11276" max="11276" width="17.109375" bestFit="1" customWidth="1"/>
    <col min="11277" max="11277" width="12.6640625" customWidth="1"/>
    <col min="11278" max="11278" width="13.6640625" customWidth="1"/>
    <col min="11279" max="11279" width="14" bestFit="1" customWidth="1"/>
    <col min="11280" max="11280" width="16.33203125" bestFit="1" customWidth="1"/>
    <col min="11281" max="11281" width="16.109375" customWidth="1"/>
    <col min="11282" max="11282" width="16.88671875" bestFit="1" customWidth="1"/>
    <col min="11283" max="11283" width="15.6640625" bestFit="1" customWidth="1"/>
    <col min="11284" max="11284" width="16.33203125" bestFit="1" customWidth="1"/>
    <col min="11285" max="11285" width="16.554687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33203125" bestFit="1" customWidth="1"/>
    <col min="11523" max="11523" width="45.6640625" bestFit="1" customWidth="1"/>
    <col min="11524" max="11524" width="19.88671875" bestFit="1" customWidth="1"/>
    <col min="11525" max="11525" width="15.44140625" bestFit="1" customWidth="1"/>
    <col min="11526" max="11526" width="20.44140625" bestFit="1" customWidth="1"/>
    <col min="11527" max="11527" width="13.44140625" customWidth="1"/>
    <col min="11528" max="11528" width="15.5546875" bestFit="1" customWidth="1"/>
    <col min="11529" max="11529" width="14.44140625" bestFit="1" customWidth="1"/>
    <col min="11530" max="11530" width="15.33203125" customWidth="1"/>
    <col min="11531" max="11531" width="15.88671875" customWidth="1"/>
    <col min="11532" max="11532" width="17.109375" bestFit="1" customWidth="1"/>
    <col min="11533" max="11533" width="12.6640625" customWidth="1"/>
    <col min="11534" max="11534" width="13.6640625" customWidth="1"/>
    <col min="11535" max="11535" width="14" bestFit="1" customWidth="1"/>
    <col min="11536" max="11536" width="16.33203125" bestFit="1" customWidth="1"/>
    <col min="11537" max="11537" width="16.109375" customWidth="1"/>
    <col min="11538" max="11538" width="16.88671875" bestFit="1" customWidth="1"/>
    <col min="11539" max="11539" width="15.6640625" bestFit="1" customWidth="1"/>
    <col min="11540" max="11540" width="16.33203125" bestFit="1" customWidth="1"/>
    <col min="11541" max="11541" width="16.554687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33203125" bestFit="1" customWidth="1"/>
    <col min="11779" max="11779" width="45.6640625" bestFit="1" customWidth="1"/>
    <col min="11780" max="11780" width="19.88671875" bestFit="1" customWidth="1"/>
    <col min="11781" max="11781" width="15.44140625" bestFit="1" customWidth="1"/>
    <col min="11782" max="11782" width="20.44140625" bestFit="1" customWidth="1"/>
    <col min="11783" max="11783" width="13.44140625" customWidth="1"/>
    <col min="11784" max="11784" width="15.5546875" bestFit="1" customWidth="1"/>
    <col min="11785" max="11785" width="14.44140625" bestFit="1" customWidth="1"/>
    <col min="11786" max="11786" width="15.33203125" customWidth="1"/>
    <col min="11787" max="11787" width="15.88671875" customWidth="1"/>
    <col min="11788" max="11788" width="17.109375" bestFit="1" customWidth="1"/>
    <col min="11789" max="11789" width="12.6640625" customWidth="1"/>
    <col min="11790" max="11790" width="13.6640625" customWidth="1"/>
    <col min="11791" max="11791" width="14" bestFit="1" customWidth="1"/>
    <col min="11792" max="11792" width="16.33203125" bestFit="1" customWidth="1"/>
    <col min="11793" max="11793" width="16.109375" customWidth="1"/>
    <col min="11794" max="11794" width="16.88671875" bestFit="1" customWidth="1"/>
    <col min="11795" max="11795" width="15.6640625" bestFit="1" customWidth="1"/>
    <col min="11796" max="11796" width="16.33203125" bestFit="1" customWidth="1"/>
    <col min="11797" max="11797" width="16.554687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33203125" bestFit="1" customWidth="1"/>
    <col min="12035" max="12035" width="45.6640625" bestFit="1" customWidth="1"/>
    <col min="12036" max="12036" width="19.88671875" bestFit="1" customWidth="1"/>
    <col min="12037" max="12037" width="15.44140625" bestFit="1" customWidth="1"/>
    <col min="12038" max="12038" width="20.44140625" bestFit="1" customWidth="1"/>
    <col min="12039" max="12039" width="13.44140625" customWidth="1"/>
    <col min="12040" max="12040" width="15.5546875" bestFit="1" customWidth="1"/>
    <col min="12041" max="12041" width="14.44140625" bestFit="1" customWidth="1"/>
    <col min="12042" max="12042" width="15.33203125" customWidth="1"/>
    <col min="12043" max="12043" width="15.88671875" customWidth="1"/>
    <col min="12044" max="12044" width="17.109375" bestFit="1" customWidth="1"/>
    <col min="12045" max="12045" width="12.6640625" customWidth="1"/>
    <col min="12046" max="12046" width="13.6640625" customWidth="1"/>
    <col min="12047" max="12047" width="14" bestFit="1" customWidth="1"/>
    <col min="12048" max="12048" width="16.33203125" bestFit="1" customWidth="1"/>
    <col min="12049" max="12049" width="16.109375" customWidth="1"/>
    <col min="12050" max="12050" width="16.88671875" bestFit="1" customWidth="1"/>
    <col min="12051" max="12051" width="15.6640625" bestFit="1" customWidth="1"/>
    <col min="12052" max="12052" width="16.33203125" bestFit="1" customWidth="1"/>
    <col min="12053" max="12053" width="16.554687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33203125" bestFit="1" customWidth="1"/>
    <col min="12291" max="12291" width="45.6640625" bestFit="1" customWidth="1"/>
    <col min="12292" max="12292" width="19.88671875" bestFit="1" customWidth="1"/>
    <col min="12293" max="12293" width="15.44140625" bestFit="1" customWidth="1"/>
    <col min="12294" max="12294" width="20.44140625" bestFit="1" customWidth="1"/>
    <col min="12295" max="12295" width="13.44140625" customWidth="1"/>
    <col min="12296" max="12296" width="15.5546875" bestFit="1" customWidth="1"/>
    <col min="12297" max="12297" width="14.44140625" bestFit="1" customWidth="1"/>
    <col min="12298" max="12298" width="15.33203125" customWidth="1"/>
    <col min="12299" max="12299" width="15.88671875" customWidth="1"/>
    <col min="12300" max="12300" width="17.109375" bestFit="1" customWidth="1"/>
    <col min="12301" max="12301" width="12.6640625" customWidth="1"/>
    <col min="12302" max="12302" width="13.6640625" customWidth="1"/>
    <col min="12303" max="12303" width="14" bestFit="1" customWidth="1"/>
    <col min="12304" max="12304" width="16.33203125" bestFit="1" customWidth="1"/>
    <col min="12305" max="12305" width="16.109375" customWidth="1"/>
    <col min="12306" max="12306" width="16.88671875" bestFit="1" customWidth="1"/>
    <col min="12307" max="12307" width="15.6640625" bestFit="1" customWidth="1"/>
    <col min="12308" max="12308" width="16.33203125" bestFit="1" customWidth="1"/>
    <col min="12309" max="12309" width="16.554687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33203125" bestFit="1" customWidth="1"/>
    <col min="12547" max="12547" width="45.6640625" bestFit="1" customWidth="1"/>
    <col min="12548" max="12548" width="19.88671875" bestFit="1" customWidth="1"/>
    <col min="12549" max="12549" width="15.44140625" bestFit="1" customWidth="1"/>
    <col min="12550" max="12550" width="20.44140625" bestFit="1" customWidth="1"/>
    <col min="12551" max="12551" width="13.44140625" customWidth="1"/>
    <col min="12552" max="12552" width="15.5546875" bestFit="1" customWidth="1"/>
    <col min="12553" max="12553" width="14.44140625" bestFit="1" customWidth="1"/>
    <col min="12554" max="12554" width="15.33203125" customWidth="1"/>
    <col min="12555" max="12555" width="15.88671875" customWidth="1"/>
    <col min="12556" max="12556" width="17.109375" bestFit="1" customWidth="1"/>
    <col min="12557" max="12557" width="12.6640625" customWidth="1"/>
    <col min="12558" max="12558" width="13.6640625" customWidth="1"/>
    <col min="12559" max="12559" width="14" bestFit="1" customWidth="1"/>
    <col min="12560" max="12560" width="16.33203125" bestFit="1" customWidth="1"/>
    <col min="12561" max="12561" width="16.109375" customWidth="1"/>
    <col min="12562" max="12562" width="16.88671875" bestFit="1" customWidth="1"/>
    <col min="12563" max="12563" width="15.6640625" bestFit="1" customWidth="1"/>
    <col min="12564" max="12564" width="16.33203125" bestFit="1" customWidth="1"/>
    <col min="12565" max="12565" width="16.554687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33203125" bestFit="1" customWidth="1"/>
    <col min="12803" max="12803" width="45.6640625" bestFit="1" customWidth="1"/>
    <col min="12804" max="12804" width="19.88671875" bestFit="1" customWidth="1"/>
    <col min="12805" max="12805" width="15.44140625" bestFit="1" customWidth="1"/>
    <col min="12806" max="12806" width="20.44140625" bestFit="1" customWidth="1"/>
    <col min="12807" max="12807" width="13.44140625" customWidth="1"/>
    <col min="12808" max="12808" width="15.5546875" bestFit="1" customWidth="1"/>
    <col min="12809" max="12809" width="14.44140625" bestFit="1" customWidth="1"/>
    <col min="12810" max="12810" width="15.33203125" customWidth="1"/>
    <col min="12811" max="12811" width="15.88671875" customWidth="1"/>
    <col min="12812" max="12812" width="17.109375" bestFit="1" customWidth="1"/>
    <col min="12813" max="12813" width="12.6640625" customWidth="1"/>
    <col min="12814" max="12814" width="13.6640625" customWidth="1"/>
    <col min="12815" max="12815" width="14" bestFit="1" customWidth="1"/>
    <col min="12816" max="12816" width="16.33203125" bestFit="1" customWidth="1"/>
    <col min="12817" max="12817" width="16.109375" customWidth="1"/>
    <col min="12818" max="12818" width="16.88671875" bestFit="1" customWidth="1"/>
    <col min="12819" max="12819" width="15.6640625" bestFit="1" customWidth="1"/>
    <col min="12820" max="12820" width="16.33203125" bestFit="1" customWidth="1"/>
    <col min="12821" max="12821" width="16.554687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33203125" bestFit="1" customWidth="1"/>
    <col min="13059" max="13059" width="45.6640625" bestFit="1" customWidth="1"/>
    <col min="13060" max="13060" width="19.88671875" bestFit="1" customWidth="1"/>
    <col min="13061" max="13061" width="15.44140625" bestFit="1" customWidth="1"/>
    <col min="13062" max="13062" width="20.44140625" bestFit="1" customWidth="1"/>
    <col min="13063" max="13063" width="13.44140625" customWidth="1"/>
    <col min="13064" max="13064" width="15.5546875" bestFit="1" customWidth="1"/>
    <col min="13065" max="13065" width="14.44140625" bestFit="1" customWidth="1"/>
    <col min="13066" max="13066" width="15.33203125" customWidth="1"/>
    <col min="13067" max="13067" width="15.88671875" customWidth="1"/>
    <col min="13068" max="13068" width="17.109375" bestFit="1" customWidth="1"/>
    <col min="13069" max="13069" width="12.6640625" customWidth="1"/>
    <col min="13070" max="13070" width="13.6640625" customWidth="1"/>
    <col min="13071" max="13071" width="14" bestFit="1" customWidth="1"/>
    <col min="13072" max="13072" width="16.33203125" bestFit="1" customWidth="1"/>
    <col min="13073" max="13073" width="16.109375" customWidth="1"/>
    <col min="13074" max="13074" width="16.88671875" bestFit="1" customWidth="1"/>
    <col min="13075" max="13075" width="15.6640625" bestFit="1" customWidth="1"/>
    <col min="13076" max="13076" width="16.33203125" bestFit="1" customWidth="1"/>
    <col min="13077" max="13077" width="16.554687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33203125" bestFit="1" customWidth="1"/>
    <col min="13315" max="13315" width="45.6640625" bestFit="1" customWidth="1"/>
    <col min="13316" max="13316" width="19.88671875" bestFit="1" customWidth="1"/>
    <col min="13317" max="13317" width="15.44140625" bestFit="1" customWidth="1"/>
    <col min="13318" max="13318" width="20.44140625" bestFit="1" customWidth="1"/>
    <col min="13319" max="13319" width="13.44140625" customWidth="1"/>
    <col min="13320" max="13320" width="15.5546875" bestFit="1" customWidth="1"/>
    <col min="13321" max="13321" width="14.44140625" bestFit="1" customWidth="1"/>
    <col min="13322" max="13322" width="15.33203125" customWidth="1"/>
    <col min="13323" max="13323" width="15.88671875" customWidth="1"/>
    <col min="13324" max="13324" width="17.109375" bestFit="1" customWidth="1"/>
    <col min="13325" max="13325" width="12.6640625" customWidth="1"/>
    <col min="13326" max="13326" width="13.6640625" customWidth="1"/>
    <col min="13327" max="13327" width="14" bestFit="1" customWidth="1"/>
    <col min="13328" max="13328" width="16.33203125" bestFit="1" customWidth="1"/>
    <col min="13329" max="13329" width="16.109375" customWidth="1"/>
    <col min="13330" max="13330" width="16.88671875" bestFit="1" customWidth="1"/>
    <col min="13331" max="13331" width="15.6640625" bestFit="1" customWidth="1"/>
    <col min="13332" max="13332" width="16.33203125" bestFit="1" customWidth="1"/>
    <col min="13333" max="13333" width="16.554687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33203125" bestFit="1" customWidth="1"/>
    <col min="13571" max="13571" width="45.6640625" bestFit="1" customWidth="1"/>
    <col min="13572" max="13572" width="19.88671875" bestFit="1" customWidth="1"/>
    <col min="13573" max="13573" width="15.44140625" bestFit="1" customWidth="1"/>
    <col min="13574" max="13574" width="20.44140625" bestFit="1" customWidth="1"/>
    <col min="13575" max="13575" width="13.44140625" customWidth="1"/>
    <col min="13576" max="13576" width="15.5546875" bestFit="1" customWidth="1"/>
    <col min="13577" max="13577" width="14.44140625" bestFit="1" customWidth="1"/>
    <col min="13578" max="13578" width="15.33203125" customWidth="1"/>
    <col min="13579" max="13579" width="15.88671875" customWidth="1"/>
    <col min="13580" max="13580" width="17.109375" bestFit="1" customWidth="1"/>
    <col min="13581" max="13581" width="12.6640625" customWidth="1"/>
    <col min="13582" max="13582" width="13.6640625" customWidth="1"/>
    <col min="13583" max="13583" width="14" bestFit="1" customWidth="1"/>
    <col min="13584" max="13584" width="16.33203125" bestFit="1" customWidth="1"/>
    <col min="13585" max="13585" width="16.109375" customWidth="1"/>
    <col min="13586" max="13586" width="16.88671875" bestFit="1" customWidth="1"/>
    <col min="13587" max="13587" width="15.6640625" bestFit="1" customWidth="1"/>
    <col min="13588" max="13588" width="16.33203125" bestFit="1" customWidth="1"/>
    <col min="13589" max="13589" width="16.554687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33203125" bestFit="1" customWidth="1"/>
    <col min="13827" max="13827" width="45.6640625" bestFit="1" customWidth="1"/>
    <col min="13828" max="13828" width="19.88671875" bestFit="1" customWidth="1"/>
    <col min="13829" max="13829" width="15.44140625" bestFit="1" customWidth="1"/>
    <col min="13830" max="13830" width="20.44140625" bestFit="1" customWidth="1"/>
    <col min="13831" max="13831" width="13.44140625" customWidth="1"/>
    <col min="13832" max="13832" width="15.5546875" bestFit="1" customWidth="1"/>
    <col min="13833" max="13833" width="14.44140625" bestFit="1" customWidth="1"/>
    <col min="13834" max="13834" width="15.33203125" customWidth="1"/>
    <col min="13835" max="13835" width="15.88671875" customWidth="1"/>
    <col min="13836" max="13836" width="17.109375" bestFit="1" customWidth="1"/>
    <col min="13837" max="13837" width="12.6640625" customWidth="1"/>
    <col min="13838" max="13838" width="13.6640625" customWidth="1"/>
    <col min="13839" max="13839" width="14" bestFit="1" customWidth="1"/>
    <col min="13840" max="13840" width="16.33203125" bestFit="1" customWidth="1"/>
    <col min="13841" max="13841" width="16.109375" customWidth="1"/>
    <col min="13842" max="13842" width="16.88671875" bestFit="1" customWidth="1"/>
    <col min="13843" max="13843" width="15.6640625" bestFit="1" customWidth="1"/>
    <col min="13844" max="13844" width="16.33203125" bestFit="1" customWidth="1"/>
    <col min="13845" max="13845" width="16.554687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33203125" bestFit="1" customWidth="1"/>
    <col min="14083" max="14083" width="45.6640625" bestFit="1" customWidth="1"/>
    <col min="14084" max="14084" width="19.88671875" bestFit="1" customWidth="1"/>
    <col min="14085" max="14085" width="15.44140625" bestFit="1" customWidth="1"/>
    <col min="14086" max="14086" width="20.44140625" bestFit="1" customWidth="1"/>
    <col min="14087" max="14087" width="13.44140625" customWidth="1"/>
    <col min="14088" max="14088" width="15.5546875" bestFit="1" customWidth="1"/>
    <col min="14089" max="14089" width="14.44140625" bestFit="1" customWidth="1"/>
    <col min="14090" max="14090" width="15.33203125" customWidth="1"/>
    <col min="14091" max="14091" width="15.88671875" customWidth="1"/>
    <col min="14092" max="14092" width="17.109375" bestFit="1" customWidth="1"/>
    <col min="14093" max="14093" width="12.6640625" customWidth="1"/>
    <col min="14094" max="14094" width="13.6640625" customWidth="1"/>
    <col min="14095" max="14095" width="14" bestFit="1" customWidth="1"/>
    <col min="14096" max="14096" width="16.33203125" bestFit="1" customWidth="1"/>
    <col min="14097" max="14097" width="16.109375" customWidth="1"/>
    <col min="14098" max="14098" width="16.88671875" bestFit="1" customWidth="1"/>
    <col min="14099" max="14099" width="15.6640625" bestFit="1" customWidth="1"/>
    <col min="14100" max="14100" width="16.33203125" bestFit="1" customWidth="1"/>
    <col min="14101" max="14101" width="16.554687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33203125" bestFit="1" customWidth="1"/>
    <col min="14339" max="14339" width="45.6640625" bestFit="1" customWidth="1"/>
    <col min="14340" max="14340" width="19.88671875" bestFit="1" customWidth="1"/>
    <col min="14341" max="14341" width="15.44140625" bestFit="1" customWidth="1"/>
    <col min="14342" max="14342" width="20.44140625" bestFit="1" customWidth="1"/>
    <col min="14343" max="14343" width="13.44140625" customWidth="1"/>
    <col min="14344" max="14344" width="15.5546875" bestFit="1" customWidth="1"/>
    <col min="14345" max="14345" width="14.44140625" bestFit="1" customWidth="1"/>
    <col min="14346" max="14346" width="15.33203125" customWidth="1"/>
    <col min="14347" max="14347" width="15.88671875" customWidth="1"/>
    <col min="14348" max="14348" width="17.109375" bestFit="1" customWidth="1"/>
    <col min="14349" max="14349" width="12.6640625" customWidth="1"/>
    <col min="14350" max="14350" width="13.6640625" customWidth="1"/>
    <col min="14351" max="14351" width="14" bestFit="1" customWidth="1"/>
    <col min="14352" max="14352" width="16.33203125" bestFit="1" customWidth="1"/>
    <col min="14353" max="14353" width="16.109375" customWidth="1"/>
    <col min="14354" max="14354" width="16.88671875" bestFit="1" customWidth="1"/>
    <col min="14355" max="14355" width="15.6640625" bestFit="1" customWidth="1"/>
    <col min="14356" max="14356" width="16.33203125" bestFit="1" customWidth="1"/>
    <col min="14357" max="14357" width="16.554687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33203125" bestFit="1" customWidth="1"/>
    <col min="14595" max="14595" width="45.6640625" bestFit="1" customWidth="1"/>
    <col min="14596" max="14596" width="19.88671875" bestFit="1" customWidth="1"/>
    <col min="14597" max="14597" width="15.44140625" bestFit="1" customWidth="1"/>
    <col min="14598" max="14598" width="20.44140625" bestFit="1" customWidth="1"/>
    <col min="14599" max="14599" width="13.44140625" customWidth="1"/>
    <col min="14600" max="14600" width="15.5546875" bestFit="1" customWidth="1"/>
    <col min="14601" max="14601" width="14.44140625" bestFit="1" customWidth="1"/>
    <col min="14602" max="14602" width="15.33203125" customWidth="1"/>
    <col min="14603" max="14603" width="15.88671875" customWidth="1"/>
    <col min="14604" max="14604" width="17.109375" bestFit="1" customWidth="1"/>
    <col min="14605" max="14605" width="12.6640625" customWidth="1"/>
    <col min="14606" max="14606" width="13.6640625" customWidth="1"/>
    <col min="14607" max="14607" width="14" bestFit="1" customWidth="1"/>
    <col min="14608" max="14608" width="16.33203125" bestFit="1" customWidth="1"/>
    <col min="14609" max="14609" width="16.109375" customWidth="1"/>
    <col min="14610" max="14610" width="16.88671875" bestFit="1" customWidth="1"/>
    <col min="14611" max="14611" width="15.6640625" bestFit="1" customWidth="1"/>
    <col min="14612" max="14612" width="16.33203125" bestFit="1" customWidth="1"/>
    <col min="14613" max="14613" width="16.554687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33203125" bestFit="1" customWidth="1"/>
    <col min="14851" max="14851" width="45.6640625" bestFit="1" customWidth="1"/>
    <col min="14852" max="14852" width="19.88671875" bestFit="1" customWidth="1"/>
    <col min="14853" max="14853" width="15.44140625" bestFit="1" customWidth="1"/>
    <col min="14854" max="14854" width="20.44140625" bestFit="1" customWidth="1"/>
    <col min="14855" max="14855" width="13.44140625" customWidth="1"/>
    <col min="14856" max="14856" width="15.5546875" bestFit="1" customWidth="1"/>
    <col min="14857" max="14857" width="14.44140625" bestFit="1" customWidth="1"/>
    <col min="14858" max="14858" width="15.33203125" customWidth="1"/>
    <col min="14859" max="14859" width="15.88671875" customWidth="1"/>
    <col min="14860" max="14860" width="17.109375" bestFit="1" customWidth="1"/>
    <col min="14861" max="14861" width="12.6640625" customWidth="1"/>
    <col min="14862" max="14862" width="13.6640625" customWidth="1"/>
    <col min="14863" max="14863" width="14" bestFit="1" customWidth="1"/>
    <col min="14864" max="14864" width="16.33203125" bestFit="1" customWidth="1"/>
    <col min="14865" max="14865" width="16.109375" customWidth="1"/>
    <col min="14866" max="14866" width="16.88671875" bestFit="1" customWidth="1"/>
    <col min="14867" max="14867" width="15.6640625" bestFit="1" customWidth="1"/>
    <col min="14868" max="14868" width="16.33203125" bestFit="1" customWidth="1"/>
    <col min="14869" max="14869" width="16.554687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33203125" bestFit="1" customWidth="1"/>
    <col min="15107" max="15107" width="45.6640625" bestFit="1" customWidth="1"/>
    <col min="15108" max="15108" width="19.88671875" bestFit="1" customWidth="1"/>
    <col min="15109" max="15109" width="15.44140625" bestFit="1" customWidth="1"/>
    <col min="15110" max="15110" width="20.44140625" bestFit="1" customWidth="1"/>
    <col min="15111" max="15111" width="13.44140625" customWidth="1"/>
    <col min="15112" max="15112" width="15.5546875" bestFit="1" customWidth="1"/>
    <col min="15113" max="15113" width="14.44140625" bestFit="1" customWidth="1"/>
    <col min="15114" max="15114" width="15.33203125" customWidth="1"/>
    <col min="15115" max="15115" width="15.88671875" customWidth="1"/>
    <col min="15116" max="15116" width="17.109375" bestFit="1" customWidth="1"/>
    <col min="15117" max="15117" width="12.6640625" customWidth="1"/>
    <col min="15118" max="15118" width="13.6640625" customWidth="1"/>
    <col min="15119" max="15119" width="14" bestFit="1" customWidth="1"/>
    <col min="15120" max="15120" width="16.33203125" bestFit="1" customWidth="1"/>
    <col min="15121" max="15121" width="16.109375" customWidth="1"/>
    <col min="15122" max="15122" width="16.88671875" bestFit="1" customWidth="1"/>
    <col min="15123" max="15123" width="15.6640625" bestFit="1" customWidth="1"/>
    <col min="15124" max="15124" width="16.33203125" bestFit="1" customWidth="1"/>
    <col min="15125" max="15125" width="16.554687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33203125" bestFit="1" customWidth="1"/>
    <col min="15363" max="15363" width="45.6640625" bestFit="1" customWidth="1"/>
    <col min="15364" max="15364" width="19.88671875" bestFit="1" customWidth="1"/>
    <col min="15365" max="15365" width="15.44140625" bestFit="1" customWidth="1"/>
    <col min="15366" max="15366" width="20.44140625" bestFit="1" customWidth="1"/>
    <col min="15367" max="15367" width="13.44140625" customWidth="1"/>
    <col min="15368" max="15368" width="15.5546875" bestFit="1" customWidth="1"/>
    <col min="15369" max="15369" width="14.44140625" bestFit="1" customWidth="1"/>
    <col min="15370" max="15370" width="15.33203125" customWidth="1"/>
    <col min="15371" max="15371" width="15.88671875" customWidth="1"/>
    <col min="15372" max="15372" width="17.109375" bestFit="1" customWidth="1"/>
    <col min="15373" max="15373" width="12.6640625" customWidth="1"/>
    <col min="15374" max="15374" width="13.6640625" customWidth="1"/>
    <col min="15375" max="15375" width="14" bestFit="1" customWidth="1"/>
    <col min="15376" max="15376" width="16.33203125" bestFit="1" customWidth="1"/>
    <col min="15377" max="15377" width="16.109375" customWidth="1"/>
    <col min="15378" max="15378" width="16.88671875" bestFit="1" customWidth="1"/>
    <col min="15379" max="15379" width="15.6640625" bestFit="1" customWidth="1"/>
    <col min="15380" max="15380" width="16.33203125" bestFit="1" customWidth="1"/>
    <col min="15381" max="15381" width="16.554687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33203125" bestFit="1" customWidth="1"/>
    <col min="15619" max="15619" width="45.6640625" bestFit="1" customWidth="1"/>
    <col min="15620" max="15620" width="19.88671875" bestFit="1" customWidth="1"/>
    <col min="15621" max="15621" width="15.44140625" bestFit="1" customWidth="1"/>
    <col min="15622" max="15622" width="20.44140625" bestFit="1" customWidth="1"/>
    <col min="15623" max="15623" width="13.44140625" customWidth="1"/>
    <col min="15624" max="15624" width="15.5546875" bestFit="1" customWidth="1"/>
    <col min="15625" max="15625" width="14.44140625" bestFit="1" customWidth="1"/>
    <col min="15626" max="15626" width="15.33203125" customWidth="1"/>
    <col min="15627" max="15627" width="15.88671875" customWidth="1"/>
    <col min="15628" max="15628" width="17.109375" bestFit="1" customWidth="1"/>
    <col min="15629" max="15629" width="12.6640625" customWidth="1"/>
    <col min="15630" max="15630" width="13.6640625" customWidth="1"/>
    <col min="15631" max="15631" width="14" bestFit="1" customWidth="1"/>
    <col min="15632" max="15632" width="16.33203125" bestFit="1" customWidth="1"/>
    <col min="15633" max="15633" width="16.109375" customWidth="1"/>
    <col min="15634" max="15634" width="16.88671875" bestFit="1" customWidth="1"/>
    <col min="15635" max="15635" width="15.6640625" bestFit="1" customWidth="1"/>
    <col min="15636" max="15636" width="16.33203125" bestFit="1" customWidth="1"/>
    <col min="15637" max="15637" width="16.554687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33203125" bestFit="1" customWidth="1"/>
    <col min="15875" max="15875" width="45.6640625" bestFit="1" customWidth="1"/>
    <col min="15876" max="15876" width="19.88671875" bestFit="1" customWidth="1"/>
    <col min="15877" max="15877" width="15.44140625" bestFit="1" customWidth="1"/>
    <col min="15878" max="15878" width="20.44140625" bestFit="1" customWidth="1"/>
    <col min="15879" max="15879" width="13.44140625" customWidth="1"/>
    <col min="15880" max="15880" width="15.5546875" bestFit="1" customWidth="1"/>
    <col min="15881" max="15881" width="14.44140625" bestFit="1" customWidth="1"/>
    <col min="15882" max="15882" width="15.33203125" customWidth="1"/>
    <col min="15883" max="15883" width="15.88671875" customWidth="1"/>
    <col min="15884" max="15884" width="17.109375" bestFit="1" customWidth="1"/>
    <col min="15885" max="15885" width="12.6640625" customWidth="1"/>
    <col min="15886" max="15886" width="13.6640625" customWidth="1"/>
    <col min="15887" max="15887" width="14" bestFit="1" customWidth="1"/>
    <col min="15888" max="15888" width="16.33203125" bestFit="1" customWidth="1"/>
    <col min="15889" max="15889" width="16.109375" customWidth="1"/>
    <col min="15890" max="15890" width="16.88671875" bestFit="1" customWidth="1"/>
    <col min="15891" max="15891" width="15.6640625" bestFit="1" customWidth="1"/>
    <col min="15892" max="15892" width="16.33203125" bestFit="1" customWidth="1"/>
    <col min="15893" max="15893" width="16.554687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33203125" bestFit="1" customWidth="1"/>
    <col min="16131" max="16131" width="45.6640625" bestFit="1" customWidth="1"/>
    <col min="16132" max="16132" width="19.88671875" bestFit="1" customWidth="1"/>
    <col min="16133" max="16133" width="15.44140625" bestFit="1" customWidth="1"/>
    <col min="16134" max="16134" width="20.44140625" bestFit="1" customWidth="1"/>
    <col min="16135" max="16135" width="13.44140625" customWidth="1"/>
    <col min="16136" max="16136" width="15.5546875" bestFit="1" customWidth="1"/>
    <col min="16137" max="16137" width="14.44140625" bestFit="1" customWidth="1"/>
    <col min="16138" max="16138" width="15.33203125" customWidth="1"/>
    <col min="16139" max="16139" width="15.88671875" customWidth="1"/>
    <col min="16140" max="16140" width="17.109375" bestFit="1" customWidth="1"/>
    <col min="16141" max="16141" width="12.6640625" customWidth="1"/>
    <col min="16142" max="16142" width="13.6640625" customWidth="1"/>
    <col min="16143" max="16143" width="14" bestFit="1" customWidth="1"/>
    <col min="16144" max="16144" width="16.33203125" bestFit="1" customWidth="1"/>
    <col min="16145" max="16145" width="16.109375" customWidth="1"/>
    <col min="16146" max="16146" width="16.88671875" bestFit="1" customWidth="1"/>
    <col min="16147" max="16147" width="15.6640625" bestFit="1" customWidth="1"/>
    <col min="16148" max="16148" width="16.33203125" bestFit="1" customWidth="1"/>
    <col min="16149" max="16149" width="16.554687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 customHeight="1" thickBot="1" x14ac:dyDescent="0.35">
      <c r="B1" s="3881"/>
      <c r="F1" s="202"/>
      <c r="G1" s="202">
        <f>C3</f>
        <v>18230612</v>
      </c>
      <c r="H1" s="202" t="str">
        <f>C4</f>
        <v>Fuel Conversion Rebate</v>
      </c>
      <c r="I1" s="202"/>
    </row>
    <row r="2" spans="2:22" ht="16.2" thickBot="1" x14ac:dyDescent="0.35">
      <c r="B2" s="202" t="s">
        <v>131</v>
      </c>
      <c r="C2" s="203" t="s">
        <v>519</v>
      </c>
      <c r="G2" s="204" t="s">
        <v>8</v>
      </c>
      <c r="Q2" s="4765"/>
      <c r="R2" s="4765"/>
      <c r="S2" s="4762" t="s">
        <v>132</v>
      </c>
      <c r="T2" s="4763"/>
      <c r="U2" s="4764"/>
      <c r="V2" s="4766" t="s">
        <v>133</v>
      </c>
    </row>
    <row r="3" spans="2:22" ht="16.2" thickBot="1" x14ac:dyDescent="0.35">
      <c r="B3" s="203" t="s">
        <v>6</v>
      </c>
      <c r="C3" s="203">
        <v>18230612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520</v>
      </c>
      <c r="F4" s="202">
        <v>2011</v>
      </c>
      <c r="G4" s="210">
        <f>B12</f>
        <v>64570.559999999998</v>
      </c>
      <c r="H4" s="211">
        <f>B17</f>
        <v>11530.08</v>
      </c>
      <c r="I4" s="211">
        <f>B22</f>
        <v>47943.4</v>
      </c>
      <c r="J4" s="211">
        <f>B27</f>
        <v>36023.5</v>
      </c>
      <c r="K4" s="211">
        <f>B32</f>
        <v>1127.68</v>
      </c>
      <c r="L4" s="211">
        <f>B37</f>
        <v>521.39</v>
      </c>
      <c r="M4" s="211">
        <f>B42</f>
        <v>635.66999999999996</v>
      </c>
      <c r="N4" s="211">
        <f>B47</f>
        <v>1587.15</v>
      </c>
      <c r="O4" s="211">
        <f>B52</f>
        <v>839678.7</v>
      </c>
      <c r="P4" s="211">
        <f>B53</f>
        <v>0</v>
      </c>
      <c r="Q4" s="213">
        <f>B54</f>
        <v>1003618.13</v>
      </c>
      <c r="R4" s="214">
        <f>T54</f>
        <v>4228750</v>
      </c>
      <c r="S4" s="331">
        <f>O4/Q4</f>
        <v>0.83665158579787713</v>
      </c>
      <c r="T4" s="331">
        <f>(J4+(H4*1.63))/Q4</f>
        <v>5.4619908470565394E-2</v>
      </c>
      <c r="U4" s="331">
        <f>L4/Q4</f>
        <v>5.195103440389224E-4</v>
      </c>
      <c r="V4" s="216">
        <f>Q4/R4</f>
        <v>0.23733210286727757</v>
      </c>
    </row>
    <row r="5" spans="2:22" ht="16.2" thickBot="1" x14ac:dyDescent="0.35">
      <c r="B5" s="202" t="s">
        <v>34</v>
      </c>
      <c r="F5" s="202">
        <v>2012</v>
      </c>
      <c r="G5" s="217">
        <f>D12</f>
        <v>80596.800000000003</v>
      </c>
      <c r="H5" s="218">
        <f>D17</f>
        <v>30000</v>
      </c>
      <c r="I5" s="218">
        <f>D22</f>
        <v>69675.983999999997</v>
      </c>
      <c r="J5" s="218">
        <f>D27</f>
        <v>56000</v>
      </c>
      <c r="K5" s="218">
        <f>D32</f>
        <v>1200</v>
      </c>
      <c r="L5" s="218">
        <f>D37</f>
        <v>1000</v>
      </c>
      <c r="M5" s="218">
        <f>D42</f>
        <v>1000</v>
      </c>
      <c r="N5" s="218">
        <f>D47</f>
        <v>2000</v>
      </c>
      <c r="O5" s="218">
        <f>D52</f>
        <v>562500</v>
      </c>
      <c r="P5" s="218">
        <f>D53</f>
        <v>0</v>
      </c>
      <c r="Q5" s="219">
        <f>SUM(G5:P5)</f>
        <v>803972.78399999999</v>
      </c>
      <c r="R5" s="220">
        <f>P54</f>
        <v>2544750</v>
      </c>
      <c r="S5" s="332">
        <f>O5/Q5</f>
        <v>0.69965054936486504</v>
      </c>
      <c r="T5" s="332">
        <f>(J5+(H5*1.63))/Q5</f>
        <v>0.1304770535615544</v>
      </c>
      <c r="U5" s="332">
        <f>L5/Q5</f>
        <v>1.2438231988708712E-3</v>
      </c>
      <c r="V5" s="222">
        <f>Q5/R5</f>
        <v>0.31593389684644857</v>
      </c>
    </row>
    <row r="6" spans="2:22" ht="16.2" thickBot="1" x14ac:dyDescent="0.35">
      <c r="C6" s="202" t="s">
        <v>521</v>
      </c>
      <c r="F6" s="202">
        <v>2013</v>
      </c>
      <c r="G6" s="223">
        <f>E12</f>
        <v>83014.679999999993</v>
      </c>
      <c r="H6" s="224">
        <f>E17</f>
        <v>30750</v>
      </c>
      <c r="I6" s="224">
        <f>E22</f>
        <v>71671.748399999997</v>
      </c>
      <c r="J6" s="224">
        <f>E27</f>
        <v>56000</v>
      </c>
      <c r="K6" s="224">
        <f>E32</f>
        <v>1200</v>
      </c>
      <c r="L6" s="224">
        <f>E37</f>
        <v>1000</v>
      </c>
      <c r="M6" s="224">
        <f>E42</f>
        <v>1000</v>
      </c>
      <c r="N6" s="224">
        <f>E47</f>
        <v>2000</v>
      </c>
      <c r="O6" s="224">
        <f>E52</f>
        <v>591000</v>
      </c>
      <c r="P6" s="224">
        <f>E53</f>
        <v>0</v>
      </c>
      <c r="Q6" s="225">
        <f>SUM(G6:P6)</f>
        <v>837636.42839999998</v>
      </c>
      <c r="R6" s="226">
        <f>Q54</f>
        <v>2649750</v>
      </c>
      <c r="S6" s="332">
        <f>O6/Q6</f>
        <v>0.70555670689835059</v>
      </c>
      <c r="T6" s="332">
        <f>(J6+(H6*1.63))/Q6</f>
        <v>0.1266927946325215</v>
      </c>
      <c r="U6" s="332">
        <f>L6/Q6</f>
        <v>1.193835375462522E-3</v>
      </c>
      <c r="V6" s="222">
        <f>Q6/R6</f>
        <v>0.31611904081517123</v>
      </c>
    </row>
    <row r="7" spans="2:22" ht="16.2" thickBot="1" x14ac:dyDescent="0.35">
      <c r="C7" s="227" t="s">
        <v>255</v>
      </c>
      <c r="F7" s="228" t="s">
        <v>140</v>
      </c>
      <c r="G7" s="229">
        <f>SUM(G5:G6)</f>
        <v>163611.47999999998</v>
      </c>
      <c r="H7" s="229">
        <f t="shared" ref="H7:P7" si="0">SUM(H5:H6)</f>
        <v>60750</v>
      </c>
      <c r="I7" s="229">
        <f t="shared" si="0"/>
        <v>141347.73239999998</v>
      </c>
      <c r="J7" s="229">
        <f t="shared" si="0"/>
        <v>112000</v>
      </c>
      <c r="K7" s="229">
        <f t="shared" si="0"/>
        <v>2400</v>
      </c>
      <c r="L7" s="229">
        <f t="shared" si="0"/>
        <v>2000</v>
      </c>
      <c r="M7" s="229">
        <f t="shared" si="0"/>
        <v>2000</v>
      </c>
      <c r="N7" s="229">
        <f t="shared" si="0"/>
        <v>4000</v>
      </c>
      <c r="O7" s="229">
        <f t="shared" si="0"/>
        <v>1153500</v>
      </c>
      <c r="P7" s="229">
        <f t="shared" si="0"/>
        <v>0</v>
      </c>
      <c r="Q7" s="230">
        <f>SUM(G7:P7)</f>
        <v>1641609.2124000001</v>
      </c>
      <c r="R7" s="231">
        <f>R54</f>
        <v>5194500</v>
      </c>
      <c r="S7" s="332">
        <f>O7/Q7</f>
        <v>0.70266418541450915</v>
      </c>
      <c r="T7" s="332">
        <f>(J7+(H7*1.63))/Q7</f>
        <v>0.12854612316136391</v>
      </c>
      <c r="U7" s="332">
        <f>L7/Q7</f>
        <v>1.2183167497434055E-3</v>
      </c>
      <c r="V7" s="222">
        <f>Q7/R7</f>
        <v>0.31602834005197805</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43">
        <v>64570.559999999998</v>
      </c>
      <c r="C12" s="244" t="s">
        <v>161</v>
      </c>
      <c r="D12" s="245">
        <f>SUM(D13:D16)</f>
        <v>80596.800000000003</v>
      </c>
      <c r="E12" s="245">
        <f>SUM(E13:E16)</f>
        <v>83014.679999999993</v>
      </c>
      <c r="F12" s="246">
        <f>D12+E12</f>
        <v>163611.47999999998</v>
      </c>
      <c r="H12" s="135"/>
      <c r="I12" s="247" t="str">
        <f t="shared" ref="I12:I53" si="1">C62</f>
        <v>E2G Fuel Conv - Space &amp; WH - BB - 19-20K</v>
      </c>
      <c r="J12" s="248"/>
      <c r="K12" s="249"/>
      <c r="L12" s="250">
        <f>D62</f>
        <v>12000</v>
      </c>
      <c r="M12" s="2578">
        <v>10</v>
      </c>
      <c r="N12" s="2580">
        <v>10</v>
      </c>
      <c r="O12" s="252">
        <f>M12+N12</f>
        <v>20</v>
      </c>
      <c r="P12" s="253">
        <f t="shared" ref="P12:R27" si="2">M12*$D62</f>
        <v>120000</v>
      </c>
      <c r="Q12" s="253">
        <f t="shared" si="2"/>
        <v>120000</v>
      </c>
      <c r="R12" s="254">
        <f t="shared" si="2"/>
        <v>240000</v>
      </c>
      <c r="T12" s="255">
        <v>300000</v>
      </c>
    </row>
    <row r="13" spans="2:22" ht="13.8" x14ac:dyDescent="0.3">
      <c r="B13" s="256"/>
      <c r="C13" s="257" t="s">
        <v>162</v>
      </c>
      <c r="D13" s="258">
        <v>80596.800000000003</v>
      </c>
      <c r="E13" s="258">
        <v>83014.679999999993</v>
      </c>
      <c r="F13" s="258">
        <f>SUM(D13:E13)</f>
        <v>163611.47999999998</v>
      </c>
      <c r="H13" s="135"/>
      <c r="I13" s="259" t="str">
        <f t="shared" si="1"/>
        <v>E2G Fuel Conv - Space &amp; WH - BB - 20-22.5K</v>
      </c>
      <c r="J13" s="260"/>
      <c r="K13" s="261"/>
      <c r="L13" s="250">
        <f t="shared" ref="L13:L53" si="3">D63</f>
        <v>13750</v>
      </c>
      <c r="M13" s="2578">
        <v>10</v>
      </c>
      <c r="N13" s="2580">
        <v>10</v>
      </c>
      <c r="O13" s="252">
        <f t="shared" ref="O13:O53" si="4">M13+N13</f>
        <v>20</v>
      </c>
      <c r="P13" s="253">
        <f t="shared" si="2"/>
        <v>137500</v>
      </c>
      <c r="Q13" s="253">
        <f t="shared" si="2"/>
        <v>137500</v>
      </c>
      <c r="R13" s="254">
        <f t="shared" si="2"/>
        <v>275000</v>
      </c>
      <c r="T13" s="333">
        <v>261250</v>
      </c>
    </row>
    <row r="14" spans="2:22" ht="13.8" x14ac:dyDescent="0.3">
      <c r="B14" s="264"/>
      <c r="C14" s="265" t="s">
        <v>163</v>
      </c>
      <c r="D14" s="266">
        <v>0</v>
      </c>
      <c r="E14" s="266"/>
      <c r="F14" s="258">
        <f t="shared" ref="F14:F24" si="5">SUM(D14:E14)</f>
        <v>0</v>
      </c>
      <c r="H14" s="135"/>
      <c r="I14" s="259" t="str">
        <f t="shared" si="1"/>
        <v>E2G Fuel Conv - Space &amp; WH - BB - 22.5-25K</v>
      </c>
      <c r="J14" s="260"/>
      <c r="K14" s="261"/>
      <c r="L14" s="250">
        <f t="shared" si="3"/>
        <v>16250</v>
      </c>
      <c r="M14" s="2578">
        <v>10</v>
      </c>
      <c r="N14" s="2580">
        <v>10</v>
      </c>
      <c r="O14" s="252">
        <f t="shared" si="4"/>
        <v>20</v>
      </c>
      <c r="P14" s="253">
        <f t="shared" si="2"/>
        <v>162500</v>
      </c>
      <c r="Q14" s="253">
        <f t="shared" si="2"/>
        <v>162500</v>
      </c>
      <c r="R14" s="254">
        <f t="shared" si="2"/>
        <v>325000</v>
      </c>
      <c r="T14" s="333">
        <v>162500</v>
      </c>
    </row>
    <row r="15" spans="2:22" ht="13.8" x14ac:dyDescent="0.3">
      <c r="B15" s="264"/>
      <c r="C15" s="265" t="s">
        <v>164</v>
      </c>
      <c r="D15" s="268">
        <v>0</v>
      </c>
      <c r="E15" s="268"/>
      <c r="F15" s="258">
        <f t="shared" si="5"/>
        <v>0</v>
      </c>
      <c r="H15" s="135"/>
      <c r="I15" s="259" t="str">
        <f t="shared" si="1"/>
        <v>E2G Fuel Conv - Space &amp; WH - BB - 25K+</v>
      </c>
      <c r="J15" s="260"/>
      <c r="K15" s="261"/>
      <c r="L15" s="250">
        <f t="shared" si="3"/>
        <v>17500</v>
      </c>
      <c r="M15" s="2578">
        <v>10</v>
      </c>
      <c r="N15" s="2580">
        <v>10</v>
      </c>
      <c r="O15" s="252">
        <f t="shared" si="4"/>
        <v>20</v>
      </c>
      <c r="P15" s="253">
        <f t="shared" si="2"/>
        <v>175000</v>
      </c>
      <c r="Q15" s="253">
        <f t="shared" si="2"/>
        <v>175000</v>
      </c>
      <c r="R15" s="254">
        <f t="shared" si="2"/>
        <v>350000</v>
      </c>
      <c r="T15" s="333">
        <v>105000</v>
      </c>
    </row>
    <row r="16" spans="2:22" ht="14.4" thickBot="1" x14ac:dyDescent="0.35">
      <c r="B16" s="264"/>
      <c r="C16" s="265" t="s">
        <v>165</v>
      </c>
      <c r="D16" s="268">
        <v>0</v>
      </c>
      <c r="E16" s="268"/>
      <c r="F16" s="258">
        <f t="shared" si="5"/>
        <v>0</v>
      </c>
      <c r="H16" s="135"/>
      <c r="I16" s="259" t="str">
        <f t="shared" si="1"/>
        <v>E2G Fuel Conv - Space &amp; WH - FA - 19-20K</v>
      </c>
      <c r="J16" s="260"/>
      <c r="K16" s="261"/>
      <c r="L16" s="250">
        <f t="shared" si="3"/>
        <v>12000</v>
      </c>
      <c r="M16" s="2578">
        <v>10</v>
      </c>
      <c r="N16" s="2580">
        <v>10</v>
      </c>
      <c r="O16" s="252">
        <f t="shared" si="4"/>
        <v>20</v>
      </c>
      <c r="P16" s="253">
        <f t="shared" si="2"/>
        <v>120000</v>
      </c>
      <c r="Q16" s="253">
        <f t="shared" si="2"/>
        <v>120000</v>
      </c>
      <c r="R16" s="254">
        <f t="shared" si="2"/>
        <v>240000</v>
      </c>
      <c r="T16" s="333">
        <v>216000</v>
      </c>
    </row>
    <row r="17" spans="2:20" ht="14.4" thickBot="1" x14ac:dyDescent="0.35">
      <c r="B17" s="243">
        <v>11530.08</v>
      </c>
      <c r="C17" s="244" t="s">
        <v>166</v>
      </c>
      <c r="D17" s="245">
        <f>SUM(D18:D21)</f>
        <v>30000</v>
      </c>
      <c r="E17" s="245">
        <f>SUM(E18:E21)</f>
        <v>30750</v>
      </c>
      <c r="F17" s="246">
        <f>D17+E17</f>
        <v>60750</v>
      </c>
      <c r="H17" s="135"/>
      <c r="I17" s="259" t="str">
        <f t="shared" si="1"/>
        <v>E2G Fuel Conv - Space &amp; WH - FA - 20-22.5K</v>
      </c>
      <c r="J17" s="260"/>
      <c r="K17" s="261"/>
      <c r="L17" s="250">
        <f t="shared" si="3"/>
        <v>13750</v>
      </c>
      <c r="M17" s="2578">
        <v>10</v>
      </c>
      <c r="N17" s="2580">
        <v>10</v>
      </c>
      <c r="O17" s="252">
        <f t="shared" si="4"/>
        <v>20</v>
      </c>
      <c r="P17" s="253">
        <f t="shared" si="2"/>
        <v>137500</v>
      </c>
      <c r="Q17" s="253">
        <f t="shared" si="2"/>
        <v>137500</v>
      </c>
      <c r="R17" s="254">
        <f t="shared" si="2"/>
        <v>275000</v>
      </c>
      <c r="T17" s="333">
        <v>247500</v>
      </c>
    </row>
    <row r="18" spans="2:20" ht="13.8" x14ac:dyDescent="0.3">
      <c r="B18" s="256"/>
      <c r="C18" s="257" t="s">
        <v>162</v>
      </c>
      <c r="D18" s="258">
        <v>30000</v>
      </c>
      <c r="E18" s="258">
        <v>30750</v>
      </c>
      <c r="F18" s="258">
        <f t="shared" si="5"/>
        <v>60750</v>
      </c>
      <c r="H18" s="135"/>
      <c r="I18" s="259" t="str">
        <f t="shared" si="1"/>
        <v>E2G Fuel Conv - Space &amp; WH - FA - 22.5-25K</v>
      </c>
      <c r="J18" s="260"/>
      <c r="K18" s="261"/>
      <c r="L18" s="250">
        <f t="shared" si="3"/>
        <v>16250</v>
      </c>
      <c r="M18" s="2578">
        <v>10</v>
      </c>
      <c r="N18" s="2580">
        <v>10</v>
      </c>
      <c r="O18" s="252">
        <f t="shared" si="4"/>
        <v>20</v>
      </c>
      <c r="P18" s="253">
        <f t="shared" si="2"/>
        <v>162500</v>
      </c>
      <c r="Q18" s="253">
        <f t="shared" si="2"/>
        <v>162500</v>
      </c>
      <c r="R18" s="254">
        <f t="shared" si="2"/>
        <v>325000</v>
      </c>
      <c r="T18" s="333">
        <v>341250</v>
      </c>
    </row>
    <row r="19" spans="2:20" ht="13.8" x14ac:dyDescent="0.3">
      <c r="B19" s="264"/>
      <c r="C19" s="265" t="s">
        <v>163</v>
      </c>
      <c r="D19" s="266">
        <v>0</v>
      </c>
      <c r="E19" s="266"/>
      <c r="F19" s="258">
        <f t="shared" si="5"/>
        <v>0</v>
      </c>
      <c r="H19" s="135"/>
      <c r="I19" s="259" t="str">
        <f t="shared" si="1"/>
        <v>E2G Fuel Conv - Space &amp; WH - FA - 25K+</v>
      </c>
      <c r="J19" s="260"/>
      <c r="K19" s="261"/>
      <c r="L19" s="250">
        <f t="shared" si="3"/>
        <v>17500</v>
      </c>
      <c r="M19" s="2578">
        <v>10</v>
      </c>
      <c r="N19" s="2580">
        <v>10</v>
      </c>
      <c r="O19" s="252">
        <f t="shared" si="4"/>
        <v>20</v>
      </c>
      <c r="P19" s="253">
        <f t="shared" si="2"/>
        <v>175000</v>
      </c>
      <c r="Q19" s="253">
        <f t="shared" si="2"/>
        <v>175000</v>
      </c>
      <c r="R19" s="254">
        <f t="shared" si="2"/>
        <v>350000</v>
      </c>
      <c r="T19" s="333">
        <v>770000</v>
      </c>
    </row>
    <row r="20" spans="2:20" ht="13.8" x14ac:dyDescent="0.3">
      <c r="B20" s="264"/>
      <c r="C20" s="265" t="s">
        <v>164</v>
      </c>
      <c r="D20" s="268">
        <v>0</v>
      </c>
      <c r="E20" s="268"/>
      <c r="F20" s="258">
        <f t="shared" si="5"/>
        <v>0</v>
      </c>
      <c r="H20" s="135"/>
      <c r="I20" s="259" t="str">
        <f t="shared" si="1"/>
        <v>E2G Fuel Conv - Space Heat Only - BB - 20-22.5K</v>
      </c>
      <c r="J20" s="260"/>
      <c r="K20" s="261"/>
      <c r="L20" s="250">
        <f t="shared" si="3"/>
        <v>10250</v>
      </c>
      <c r="M20" s="2578">
        <v>1</v>
      </c>
      <c r="N20" s="2580">
        <v>1</v>
      </c>
      <c r="O20" s="252">
        <f t="shared" si="4"/>
        <v>2</v>
      </c>
      <c r="P20" s="253">
        <f t="shared" si="2"/>
        <v>10250</v>
      </c>
      <c r="Q20" s="253">
        <f t="shared" si="2"/>
        <v>10250</v>
      </c>
      <c r="R20" s="254">
        <f t="shared" si="2"/>
        <v>20500</v>
      </c>
      <c r="T20" s="333">
        <v>10250</v>
      </c>
    </row>
    <row r="21" spans="2:20" ht="14.4" thickBot="1" x14ac:dyDescent="0.35">
      <c r="B21" s="264"/>
      <c r="C21" s="265" t="s">
        <v>165</v>
      </c>
      <c r="D21" s="268">
        <v>0</v>
      </c>
      <c r="E21" s="268"/>
      <c r="F21" s="258">
        <f t="shared" si="5"/>
        <v>0</v>
      </c>
      <c r="H21" s="135"/>
      <c r="I21" s="259" t="str">
        <f t="shared" si="1"/>
        <v>E2G Fuel Conv - Space Heat Only - BB - 25K+</v>
      </c>
      <c r="J21" s="260"/>
      <c r="K21" s="261"/>
      <c r="L21" s="250">
        <f t="shared" si="3"/>
        <v>14000</v>
      </c>
      <c r="M21" s="2578">
        <v>6</v>
      </c>
      <c r="N21" s="2580">
        <v>6</v>
      </c>
      <c r="O21" s="252">
        <f t="shared" si="4"/>
        <v>12</v>
      </c>
      <c r="P21" s="253">
        <f t="shared" si="2"/>
        <v>84000</v>
      </c>
      <c r="Q21" s="253">
        <f t="shared" si="2"/>
        <v>84000</v>
      </c>
      <c r="R21" s="254">
        <f t="shared" si="2"/>
        <v>168000</v>
      </c>
      <c r="T21" s="333">
        <v>84000</v>
      </c>
    </row>
    <row r="22" spans="2:20" ht="14.4" thickBot="1" x14ac:dyDescent="0.35">
      <c r="B22" s="243">
        <v>47943.4</v>
      </c>
      <c r="C22" s="244" t="s">
        <v>167</v>
      </c>
      <c r="D22" s="245">
        <f>SUM(D23:D26)</f>
        <v>69675.983999999997</v>
      </c>
      <c r="E22" s="245">
        <f>SUM(E23:E26)</f>
        <v>71671.748399999997</v>
      </c>
      <c r="F22" s="246">
        <f>D22+E22</f>
        <v>141347.73239999998</v>
      </c>
      <c r="G22" s="55"/>
      <c r="H22" s="135"/>
      <c r="I22" s="259" t="str">
        <f t="shared" si="1"/>
        <v>E2G Fuel Conv - Space Heat Only - FA - 20-22.5K</v>
      </c>
      <c r="J22" s="260"/>
      <c r="K22" s="261"/>
      <c r="L22" s="250">
        <f t="shared" si="3"/>
        <v>10250</v>
      </c>
      <c r="M22" s="2578">
        <v>5</v>
      </c>
      <c r="N22" s="2580">
        <v>5</v>
      </c>
      <c r="O22" s="252">
        <f t="shared" si="4"/>
        <v>10</v>
      </c>
      <c r="P22" s="253">
        <f t="shared" si="2"/>
        <v>51250</v>
      </c>
      <c r="Q22" s="253">
        <f t="shared" si="2"/>
        <v>51250</v>
      </c>
      <c r="R22" s="254">
        <f t="shared" si="2"/>
        <v>102500</v>
      </c>
      <c r="T22" s="333">
        <v>51250</v>
      </c>
    </row>
    <row r="23" spans="2:20" ht="13.8" x14ac:dyDescent="0.3">
      <c r="B23" s="269"/>
      <c r="C23" s="257" t="s">
        <v>168</v>
      </c>
      <c r="D23" s="258">
        <f>0.63*D12</f>
        <v>50775.984000000004</v>
      </c>
      <c r="E23" s="258">
        <f>0.63*E12</f>
        <v>52299.248399999997</v>
      </c>
      <c r="F23" s="258">
        <f t="shared" si="5"/>
        <v>103075.23240000001</v>
      </c>
      <c r="H23" s="135"/>
      <c r="I23" s="259" t="str">
        <f t="shared" si="1"/>
        <v>E2G Fuel Conv - Space Heat Only - FA - 22.5-25K</v>
      </c>
      <c r="J23" s="260"/>
      <c r="K23" s="261"/>
      <c r="L23" s="250">
        <f t="shared" si="3"/>
        <v>12750</v>
      </c>
      <c r="M23" s="2578">
        <v>1</v>
      </c>
      <c r="N23" s="2580">
        <v>1</v>
      </c>
      <c r="O23" s="252">
        <f t="shared" si="4"/>
        <v>2</v>
      </c>
      <c r="P23" s="253">
        <f t="shared" si="2"/>
        <v>12750</v>
      </c>
      <c r="Q23" s="253">
        <f t="shared" si="2"/>
        <v>12750</v>
      </c>
      <c r="R23" s="254">
        <f t="shared" si="2"/>
        <v>25500</v>
      </c>
      <c r="T23" s="333">
        <v>12750</v>
      </c>
    </row>
    <row r="24" spans="2:20" ht="13.8" x14ac:dyDescent="0.3">
      <c r="B24" s="256"/>
      <c r="C24" s="257" t="s">
        <v>169</v>
      </c>
      <c r="D24" s="266">
        <f>0.63*D17</f>
        <v>18900</v>
      </c>
      <c r="E24" s="266">
        <f>0.63*E17</f>
        <v>19372.5</v>
      </c>
      <c r="F24" s="258">
        <f t="shared" si="5"/>
        <v>38272.5</v>
      </c>
      <c r="H24" s="135"/>
      <c r="I24" s="259" t="str">
        <f t="shared" si="1"/>
        <v>E2G Fuel Conv - WH Only - Storage</v>
      </c>
      <c r="J24" s="260"/>
      <c r="K24" s="261"/>
      <c r="L24" s="250">
        <f t="shared" si="3"/>
        <v>3500</v>
      </c>
      <c r="M24" s="2578">
        <v>70</v>
      </c>
      <c r="N24" s="2579">
        <v>100</v>
      </c>
      <c r="O24" s="252">
        <f t="shared" si="4"/>
        <v>170</v>
      </c>
      <c r="P24" s="253">
        <f t="shared" si="2"/>
        <v>245000</v>
      </c>
      <c r="Q24" s="253">
        <f t="shared" si="2"/>
        <v>350000</v>
      </c>
      <c r="R24" s="254">
        <f t="shared" si="2"/>
        <v>595000</v>
      </c>
      <c r="T24" s="333">
        <v>640500</v>
      </c>
    </row>
    <row r="25" spans="2:20" ht="13.8" x14ac:dyDescent="0.3">
      <c r="B25" s="264"/>
      <c r="C25" s="265"/>
      <c r="D25" s="268"/>
      <c r="E25" s="268"/>
      <c r="F25" s="268"/>
      <c r="H25" s="135"/>
      <c r="I25" s="259" t="str">
        <f t="shared" si="1"/>
        <v>E2G Fuel Conv - WH Only - Tankless</v>
      </c>
      <c r="J25" s="260"/>
      <c r="K25" s="261"/>
      <c r="L25" s="250">
        <f t="shared" si="3"/>
        <v>3500</v>
      </c>
      <c r="M25" s="2578">
        <v>200</v>
      </c>
      <c r="N25" s="2579">
        <v>200</v>
      </c>
      <c r="O25" s="252">
        <f t="shared" si="4"/>
        <v>400</v>
      </c>
      <c r="P25" s="253">
        <f t="shared" si="2"/>
        <v>700000</v>
      </c>
      <c r="Q25" s="253">
        <f t="shared" si="2"/>
        <v>700000</v>
      </c>
      <c r="R25" s="254">
        <f t="shared" si="2"/>
        <v>1400000</v>
      </c>
      <c r="T25" s="333">
        <v>945000</v>
      </c>
    </row>
    <row r="26" spans="2:20" ht="14.4" thickBot="1" x14ac:dyDescent="0.35">
      <c r="B26" s="264"/>
      <c r="C26" s="265"/>
      <c r="D26" s="268"/>
      <c r="E26" s="268"/>
      <c r="F26" s="268"/>
      <c r="H26" s="135"/>
      <c r="I26" s="259" t="str">
        <f t="shared" si="1"/>
        <v>E2G Fuel Conv - Space Heat Only - BB - 19-20K</v>
      </c>
      <c r="J26" s="260"/>
      <c r="K26" s="261"/>
      <c r="L26" s="250">
        <f t="shared" si="3"/>
        <v>8500</v>
      </c>
      <c r="M26" s="2578">
        <v>1</v>
      </c>
      <c r="N26" s="2578">
        <v>1</v>
      </c>
      <c r="O26" s="252">
        <f t="shared" si="4"/>
        <v>2</v>
      </c>
      <c r="P26" s="253">
        <f t="shared" si="2"/>
        <v>8500</v>
      </c>
      <c r="Q26" s="253">
        <f t="shared" si="2"/>
        <v>8500</v>
      </c>
      <c r="R26" s="254">
        <f t="shared" si="2"/>
        <v>17000</v>
      </c>
      <c r="T26" s="333">
        <v>0</v>
      </c>
    </row>
    <row r="27" spans="2:20" ht="14.4" thickBot="1" x14ac:dyDescent="0.35">
      <c r="B27" s="243">
        <v>36023.5</v>
      </c>
      <c r="C27" s="244" t="s">
        <v>170</v>
      </c>
      <c r="D27" s="245">
        <f>SUM(D28:D31)</f>
        <v>56000</v>
      </c>
      <c r="E27" s="245">
        <f>SUM(E28:E31)</f>
        <v>56000</v>
      </c>
      <c r="F27" s="246">
        <f>D27+E27</f>
        <v>112000</v>
      </c>
      <c r="H27" s="135"/>
      <c r="I27" s="259" t="str">
        <f t="shared" si="1"/>
        <v>E2G Fuel Conv - Space Heat Only - BB - 22.5-25K</v>
      </c>
      <c r="J27" s="260"/>
      <c r="K27" s="261"/>
      <c r="L27" s="250">
        <f t="shared" si="3"/>
        <v>12750</v>
      </c>
      <c r="M27" s="2578">
        <v>1</v>
      </c>
      <c r="N27" s="2579">
        <v>1</v>
      </c>
      <c r="O27" s="252">
        <f t="shared" si="4"/>
        <v>2</v>
      </c>
      <c r="P27" s="253">
        <f t="shared" si="2"/>
        <v>12750</v>
      </c>
      <c r="Q27" s="253">
        <f t="shared" si="2"/>
        <v>12750</v>
      </c>
      <c r="R27" s="254">
        <f t="shared" si="2"/>
        <v>25500</v>
      </c>
      <c r="T27" s="333">
        <v>0</v>
      </c>
    </row>
    <row r="28" spans="2:20" ht="13.8" x14ac:dyDescent="0.3">
      <c r="B28" s="256"/>
      <c r="C28" s="257" t="s">
        <v>162</v>
      </c>
      <c r="D28" s="258">
        <v>56000</v>
      </c>
      <c r="E28" s="258">
        <v>56000</v>
      </c>
      <c r="F28" s="258">
        <f t="shared" ref="F28:F36" si="6">SUM(D28:E28)</f>
        <v>112000</v>
      </c>
      <c r="H28" s="135"/>
      <c r="I28" s="259" t="str">
        <f t="shared" si="1"/>
        <v>E2G Fuel Conv - Space Heat Only - FA - 19-20K</v>
      </c>
      <c r="J28" s="260"/>
      <c r="K28" s="261"/>
      <c r="L28" s="250">
        <f t="shared" si="3"/>
        <v>8500</v>
      </c>
      <c r="M28" s="2578">
        <v>3</v>
      </c>
      <c r="N28" s="2579">
        <v>3</v>
      </c>
      <c r="O28" s="252">
        <f t="shared" si="4"/>
        <v>6</v>
      </c>
      <c r="P28" s="253">
        <f t="shared" ref="P28:R43" si="7">M28*$D78</f>
        <v>25500</v>
      </c>
      <c r="Q28" s="253">
        <f t="shared" si="7"/>
        <v>25500</v>
      </c>
      <c r="R28" s="254">
        <f t="shared" si="7"/>
        <v>51000</v>
      </c>
      <c r="T28" s="333">
        <v>25500</v>
      </c>
    </row>
    <row r="29" spans="2:20" ht="13.8" x14ac:dyDescent="0.3">
      <c r="B29" s="264"/>
      <c r="C29" s="265" t="s">
        <v>163</v>
      </c>
      <c r="D29" s="266">
        <v>0</v>
      </c>
      <c r="E29" s="266"/>
      <c r="F29" s="258">
        <f t="shared" si="6"/>
        <v>0</v>
      </c>
      <c r="H29" s="135"/>
      <c r="I29" s="259" t="str">
        <f t="shared" si="1"/>
        <v>E2G Fuel Conv - Space Heat Only - FA - 25K+</v>
      </c>
      <c r="J29" s="260"/>
      <c r="K29" s="261"/>
      <c r="L29" s="250">
        <f t="shared" si="3"/>
        <v>14000</v>
      </c>
      <c r="M29" s="2578">
        <v>4</v>
      </c>
      <c r="N29" s="2578">
        <v>4</v>
      </c>
      <c r="O29" s="252">
        <f t="shared" si="4"/>
        <v>8</v>
      </c>
      <c r="P29" s="253">
        <f t="shared" si="7"/>
        <v>56000</v>
      </c>
      <c r="Q29" s="253">
        <f t="shared" si="7"/>
        <v>56000</v>
      </c>
      <c r="R29" s="254">
        <f t="shared" si="7"/>
        <v>112000</v>
      </c>
      <c r="T29" s="333">
        <v>56000</v>
      </c>
    </row>
    <row r="30" spans="2:20" ht="13.8" x14ac:dyDescent="0.3">
      <c r="B30" s="264"/>
      <c r="C30" s="265" t="s">
        <v>164</v>
      </c>
      <c r="D30" s="266">
        <v>0</v>
      </c>
      <c r="E30" s="266"/>
      <c r="F30" s="258">
        <f t="shared" si="6"/>
        <v>0</v>
      </c>
      <c r="H30" s="135"/>
      <c r="I30" s="259" t="str">
        <f t="shared" si="1"/>
        <v>E2G Fuel Conv - Boilers</v>
      </c>
      <c r="J30" s="260"/>
      <c r="K30" s="261"/>
      <c r="L30" s="250">
        <f t="shared" si="3"/>
        <v>14875</v>
      </c>
      <c r="M30" s="2578">
        <v>10</v>
      </c>
      <c r="N30" s="2578">
        <v>10</v>
      </c>
      <c r="O30" s="252">
        <f t="shared" si="4"/>
        <v>20</v>
      </c>
      <c r="P30" s="253">
        <f t="shared" si="7"/>
        <v>148750</v>
      </c>
      <c r="Q30" s="253">
        <f t="shared" si="7"/>
        <v>148750</v>
      </c>
      <c r="R30" s="254">
        <f t="shared" si="7"/>
        <v>297500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3"/>
        <v>0</v>
      </c>
      <c r="M31" s="267">
        <v>0</v>
      </c>
      <c r="N31" s="267">
        <v>0</v>
      </c>
      <c r="O31" s="252">
        <f t="shared" si="4"/>
        <v>0</v>
      </c>
      <c r="P31" s="253">
        <f t="shared" si="7"/>
        <v>0</v>
      </c>
      <c r="Q31" s="253">
        <f t="shared" si="7"/>
        <v>0</v>
      </c>
      <c r="R31" s="254">
        <f t="shared" si="7"/>
        <v>0</v>
      </c>
      <c r="T31" s="263">
        <v>0</v>
      </c>
    </row>
    <row r="32" spans="2:20" ht="14.4" thickBot="1" x14ac:dyDescent="0.35">
      <c r="B32" s="243">
        <v>1127.68</v>
      </c>
      <c r="C32" s="244" t="s">
        <v>171</v>
      </c>
      <c r="D32" s="245">
        <f>SUM(D33:D36)</f>
        <v>1200</v>
      </c>
      <c r="E32" s="245">
        <f>SUM(E33:E36)</f>
        <v>1200</v>
      </c>
      <c r="F32" s="246">
        <f>D32+E32</f>
        <v>2400</v>
      </c>
      <c r="H32" s="135"/>
      <c r="I32" s="259" t="str">
        <f t="shared" si="1"/>
        <v>Measure 21</v>
      </c>
      <c r="J32" s="260"/>
      <c r="K32" s="261"/>
      <c r="L32" s="250">
        <f t="shared" si="3"/>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1200</v>
      </c>
      <c r="E33" s="266">
        <v>1200</v>
      </c>
      <c r="F33" s="258">
        <f t="shared" si="6"/>
        <v>2400</v>
      </c>
      <c r="H33" s="135"/>
      <c r="I33" s="259" t="str">
        <f t="shared" si="1"/>
        <v>Measure 22</v>
      </c>
      <c r="J33" s="260"/>
      <c r="K33" s="261"/>
      <c r="L33" s="250">
        <f t="shared" si="3"/>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3"/>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3"/>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3"/>
        <v>0</v>
      </c>
      <c r="M36" s="267">
        <v>0</v>
      </c>
      <c r="N36" s="267">
        <v>0</v>
      </c>
      <c r="O36" s="252">
        <f t="shared" si="4"/>
        <v>0</v>
      </c>
      <c r="P36" s="253">
        <f t="shared" si="7"/>
        <v>0</v>
      </c>
      <c r="Q36" s="253">
        <f t="shared" si="7"/>
        <v>0</v>
      </c>
      <c r="R36" s="254">
        <f t="shared" si="7"/>
        <v>0</v>
      </c>
      <c r="T36" s="263">
        <v>0</v>
      </c>
    </row>
    <row r="37" spans="2:20" ht="14.4" thickBot="1" x14ac:dyDescent="0.35">
      <c r="B37" s="243">
        <v>521.39</v>
      </c>
      <c r="C37" s="244" t="s">
        <v>172</v>
      </c>
      <c r="D37" s="245">
        <f>SUM(D38:D41)</f>
        <v>1000</v>
      </c>
      <c r="E37" s="245">
        <f>SUM(E38:E41)</f>
        <v>1000</v>
      </c>
      <c r="F37" s="246">
        <f>D37+E37</f>
        <v>2000</v>
      </c>
      <c r="H37" s="135"/>
      <c r="I37" s="259" t="str">
        <f t="shared" si="1"/>
        <v>Measure 26</v>
      </c>
      <c r="J37" s="260"/>
      <c r="K37" s="270"/>
      <c r="L37" s="250">
        <f t="shared" si="3"/>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1000</v>
      </c>
      <c r="E38" s="266">
        <v>1000</v>
      </c>
      <c r="F38" s="258">
        <f t="shared" ref="F38:F51" si="8">SUM(D38:E38)</f>
        <v>2000</v>
      </c>
      <c r="H38" s="135"/>
      <c r="I38" s="259" t="str">
        <f t="shared" si="1"/>
        <v>Measure 27</v>
      </c>
      <c r="J38" s="260"/>
      <c r="K38" s="270"/>
      <c r="L38" s="250">
        <f t="shared" si="3"/>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3"/>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3"/>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3"/>
        <v>0</v>
      </c>
      <c r="M41" s="267">
        <v>0</v>
      </c>
      <c r="N41" s="267">
        <v>0</v>
      </c>
      <c r="O41" s="252">
        <f t="shared" si="4"/>
        <v>0</v>
      </c>
      <c r="P41" s="253">
        <f t="shared" si="7"/>
        <v>0</v>
      </c>
      <c r="Q41" s="253">
        <f t="shared" si="7"/>
        <v>0</v>
      </c>
      <c r="R41" s="254">
        <f t="shared" si="7"/>
        <v>0</v>
      </c>
      <c r="T41" s="263">
        <v>0</v>
      </c>
    </row>
    <row r="42" spans="2:20" ht="14.4" thickBot="1" x14ac:dyDescent="0.35">
      <c r="B42" s="243">
        <v>635.66999999999996</v>
      </c>
      <c r="C42" s="244" t="s">
        <v>173</v>
      </c>
      <c r="D42" s="245">
        <f>SUM(D43:D46)</f>
        <v>1000</v>
      </c>
      <c r="E42" s="245">
        <f>SUM(E43:E46)</f>
        <v>1000</v>
      </c>
      <c r="F42" s="246">
        <f>D42+E42</f>
        <v>2000</v>
      </c>
      <c r="H42" s="135"/>
      <c r="I42" s="259" t="str">
        <f t="shared" si="1"/>
        <v>Measure 31</v>
      </c>
      <c r="J42" s="260"/>
      <c r="K42" s="270"/>
      <c r="L42" s="250">
        <f t="shared" si="3"/>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1000</v>
      </c>
      <c r="E43" s="266">
        <v>1000</v>
      </c>
      <c r="F43" s="258">
        <f t="shared" si="8"/>
        <v>2000</v>
      </c>
      <c r="H43" s="135"/>
      <c r="I43" s="259" t="str">
        <f t="shared" si="1"/>
        <v>Measure 32</v>
      </c>
      <c r="J43" s="260"/>
      <c r="K43" s="270"/>
      <c r="L43" s="250">
        <f t="shared" si="3"/>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3"/>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3"/>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3"/>
        <v>0</v>
      </c>
      <c r="M46" s="267">
        <v>0</v>
      </c>
      <c r="N46" s="267">
        <v>0</v>
      </c>
      <c r="O46" s="252">
        <f t="shared" si="4"/>
        <v>0</v>
      </c>
      <c r="P46" s="253">
        <f t="shared" si="9"/>
        <v>0</v>
      </c>
      <c r="Q46" s="253">
        <f t="shared" si="9"/>
        <v>0</v>
      </c>
      <c r="R46" s="254">
        <f t="shared" si="9"/>
        <v>0</v>
      </c>
      <c r="T46" s="263">
        <v>0</v>
      </c>
    </row>
    <row r="47" spans="2:20" ht="14.4" thickBot="1" x14ac:dyDescent="0.35">
      <c r="B47" s="243">
        <v>1587.15</v>
      </c>
      <c r="C47" s="244" t="s">
        <v>174</v>
      </c>
      <c r="D47" s="245">
        <f>SUM(D48:D51)</f>
        <v>2000</v>
      </c>
      <c r="E47" s="245">
        <f>SUM(E48:E51)</f>
        <v>2000</v>
      </c>
      <c r="F47" s="246">
        <f>D47+E47</f>
        <v>4000</v>
      </c>
      <c r="H47" s="135"/>
      <c r="I47" s="259" t="str">
        <f t="shared" si="1"/>
        <v>Measure 36</v>
      </c>
      <c r="J47" s="260"/>
      <c r="K47" s="270"/>
      <c r="L47" s="250">
        <f t="shared" si="3"/>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2000</v>
      </c>
      <c r="E48" s="266">
        <v>2000</v>
      </c>
      <c r="F48" s="258">
        <f t="shared" si="8"/>
        <v>4000</v>
      </c>
      <c r="H48" s="135"/>
      <c r="I48" s="259" t="str">
        <f t="shared" si="1"/>
        <v>Measure 37</v>
      </c>
      <c r="J48" s="260"/>
      <c r="K48" s="270"/>
      <c r="L48" s="250">
        <f t="shared" si="3"/>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3"/>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3"/>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3"/>
        <v>0</v>
      </c>
      <c r="M51" s="267">
        <v>0</v>
      </c>
      <c r="N51" s="267">
        <v>0</v>
      </c>
      <c r="O51" s="252">
        <f t="shared" si="4"/>
        <v>0</v>
      </c>
      <c r="P51" s="253">
        <f t="shared" si="9"/>
        <v>0</v>
      </c>
      <c r="Q51" s="253">
        <f t="shared" si="9"/>
        <v>0</v>
      </c>
      <c r="R51" s="254">
        <f t="shared" si="9"/>
        <v>0</v>
      </c>
      <c r="T51" s="263">
        <v>0</v>
      </c>
    </row>
    <row r="52" spans="2:24" ht="14.4" thickBot="1" x14ac:dyDescent="0.35">
      <c r="B52" s="243">
        <v>839678.7</v>
      </c>
      <c r="C52" s="244" t="s">
        <v>175</v>
      </c>
      <c r="D52" s="245">
        <f>S104</f>
        <v>562500</v>
      </c>
      <c r="E52" s="245">
        <f>T104</f>
        <v>591000</v>
      </c>
      <c r="F52" s="246">
        <f>U104</f>
        <v>1153500</v>
      </c>
      <c r="G52" s="271" t="s">
        <v>176</v>
      </c>
      <c r="I52" s="259" t="str">
        <f t="shared" si="1"/>
        <v>Measure 41</v>
      </c>
      <c r="J52" s="260"/>
      <c r="K52" s="261"/>
      <c r="L52" s="250">
        <f t="shared" si="3"/>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3"/>
        <v>0</v>
      </c>
      <c r="M53" s="267">
        <v>0</v>
      </c>
      <c r="N53" s="267">
        <v>0</v>
      </c>
      <c r="O53" s="252">
        <f t="shared" si="4"/>
        <v>0</v>
      </c>
      <c r="P53" s="253">
        <f t="shared" si="9"/>
        <v>0</v>
      </c>
      <c r="Q53" s="253">
        <f t="shared" si="9"/>
        <v>0</v>
      </c>
      <c r="R53" s="254">
        <f t="shared" si="9"/>
        <v>0</v>
      </c>
      <c r="T53" s="263">
        <v>0</v>
      </c>
    </row>
    <row r="54" spans="2:24" ht="13.8" x14ac:dyDescent="0.3">
      <c r="B54" s="273">
        <f>B12+B17+B22+B27+B32+B37+B42+B47+B52+B53</f>
        <v>1003618.13</v>
      </c>
      <c r="C54" s="274" t="s">
        <v>178</v>
      </c>
      <c r="D54" s="273">
        <f>D12+D17+D22+D27+D32+D37+D42+D47+D52+D53</f>
        <v>803972.78399999999</v>
      </c>
      <c r="E54" s="273">
        <f>E12+E17+E22+E27+E32+E37+E42+E47+E52+E53</f>
        <v>837636.42839999998</v>
      </c>
      <c r="F54" s="273">
        <f>F12+F17+F22+F27+F32+F37+F42+F47+F52+F53</f>
        <v>1641609.2124000001</v>
      </c>
      <c r="P54" s="275">
        <f>SUM(P12:P53)</f>
        <v>2544750</v>
      </c>
      <c r="Q54" s="275">
        <f>SUM(Q12:Q53)</f>
        <v>2649750</v>
      </c>
      <c r="R54" s="275">
        <f>SUM(R12:R53)</f>
        <v>5194500</v>
      </c>
      <c r="T54" s="275">
        <f>SUM(T12:T53)</f>
        <v>4228750</v>
      </c>
    </row>
    <row r="55" spans="2:24" ht="13.8" x14ac:dyDescent="0.3">
      <c r="C55" s="274"/>
      <c r="D55" s="273"/>
      <c r="E55" s="273"/>
      <c r="F55" s="273"/>
    </row>
    <row r="56" spans="2:24" ht="13.8" x14ac:dyDescent="0.3">
      <c r="C56" s="274" t="s">
        <v>179</v>
      </c>
      <c r="D56" s="273">
        <f>D54-D52</f>
        <v>241472.78399999999</v>
      </c>
      <c r="E56" s="273">
        <f>E54-E52</f>
        <v>246636.42839999998</v>
      </c>
      <c r="F56" s="273">
        <f>F54-F52</f>
        <v>488109.21240000008</v>
      </c>
    </row>
    <row r="57" spans="2:24" ht="13.8" x14ac:dyDescent="0.3">
      <c r="C57" s="274" t="s">
        <v>180</v>
      </c>
      <c r="D57" s="276">
        <f>D52</f>
        <v>562500</v>
      </c>
      <c r="E57" s="276">
        <f>E52</f>
        <v>591000</v>
      </c>
      <c r="F57" s="276">
        <f>F52</f>
        <v>1153500</v>
      </c>
      <c r="G57" s="335">
        <f>F57/(F56+F57)</f>
        <v>0.70266418541450915</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51">
        <v>161</v>
      </c>
      <c r="C62" s="2573" t="s">
        <v>498</v>
      </c>
      <c r="D62" s="2573">
        <v>12000</v>
      </c>
      <c r="E62" s="2573" t="s">
        <v>206</v>
      </c>
      <c r="F62" s="2573" t="s">
        <v>499</v>
      </c>
      <c r="G62" s="2575">
        <v>9618</v>
      </c>
      <c r="H62" s="2575">
        <v>3950</v>
      </c>
      <c r="I62" s="2577">
        <v>4.620271440947156E-2</v>
      </c>
      <c r="J62" s="2573">
        <v>30</v>
      </c>
      <c r="K62" s="2573" t="s">
        <v>298</v>
      </c>
      <c r="L62" s="2571">
        <v>5.9846033232902034</v>
      </c>
      <c r="M62" s="2571">
        <v>3.1106833404514878</v>
      </c>
      <c r="N62" s="2572">
        <v>93942.618446946624</v>
      </c>
      <c r="O62" s="2572">
        <v>198808.48338681713</v>
      </c>
      <c r="P62" s="2572">
        <v>562209.30655618035</v>
      </c>
      <c r="Q62" s="2572">
        <v>618430.23721179843</v>
      </c>
      <c r="R62" s="2570">
        <v>1.081</v>
      </c>
      <c r="S62" s="293">
        <f t="shared" ref="S62:U103" si="10">M12*$H62</f>
        <v>39500</v>
      </c>
      <c r="T62" s="293">
        <f t="shared" si="10"/>
        <v>39500</v>
      </c>
      <c r="U62" s="293">
        <f t="shared" si="10"/>
        <v>79000</v>
      </c>
      <c r="V62" s="338">
        <f>U62/(U62+(I62*F$56))</f>
        <v>0.77792680515233192</v>
      </c>
      <c r="W62" s="338">
        <f>(I62*((F$17*1.63)+F$27))/(U62+(I62*F$56))</f>
        <v>9.6008105500247742E-2</v>
      </c>
      <c r="X62" s="338">
        <f>(I62*F$37)/(U62+(I62*F$56))</f>
        <v>9.0993240531457781E-4</v>
      </c>
    </row>
    <row r="63" spans="2:24" ht="13.8" x14ac:dyDescent="0.3">
      <c r="B63" s="339">
        <v>162</v>
      </c>
      <c r="C63" s="2574" t="s">
        <v>500</v>
      </c>
      <c r="D63" s="2574">
        <v>13750</v>
      </c>
      <c r="E63" s="2574" t="s">
        <v>206</v>
      </c>
      <c r="F63" s="2574" t="s">
        <v>499</v>
      </c>
      <c r="G63" s="2575">
        <v>9618</v>
      </c>
      <c r="H63" s="2575">
        <v>3450</v>
      </c>
      <c r="I63" s="2577">
        <v>5.2940610260852825E-2</v>
      </c>
      <c r="J63" s="2573">
        <v>30</v>
      </c>
      <c r="K63" s="2573" t="s">
        <v>298</v>
      </c>
      <c r="L63" s="2571">
        <v>7.3426016874876066</v>
      </c>
      <c r="M63" s="2571">
        <v>3.5106014185548711</v>
      </c>
      <c r="N63" s="2572">
        <v>87734.319683996524</v>
      </c>
      <c r="O63" s="2572">
        <v>201850.87842590216</v>
      </c>
      <c r="P63" s="2572">
        <v>644198.16376229003</v>
      </c>
      <c r="Q63" s="2572">
        <v>708617.98013851896</v>
      </c>
      <c r="R63" s="2570">
        <v>1.081</v>
      </c>
      <c r="S63" s="293">
        <f t="shared" si="10"/>
        <v>34500</v>
      </c>
      <c r="T63" s="293">
        <f t="shared" si="10"/>
        <v>34500</v>
      </c>
      <c r="U63" s="293">
        <f t="shared" si="10"/>
        <v>69000</v>
      </c>
      <c r="V63" s="338">
        <f t="shared" ref="V63:V103" si="11">U63/(U63+(I63*F$56))</f>
        <v>0.72753498817733064</v>
      </c>
      <c r="W63" s="338">
        <f t="shared" ref="W63:W103" si="12">(I63*((F$17*1.63)+F$27))/(U63+(I63*F$56))</f>
        <v>0.11779381846665846</v>
      </c>
      <c r="X63" s="338">
        <f t="shared" ref="X63:X103" si="13">(I63*F$37)/(U63+(I63*F$56))</f>
        <v>1.1164100365284122E-3</v>
      </c>
    </row>
    <row r="64" spans="2:24" ht="13.8" x14ac:dyDescent="0.3">
      <c r="B64" s="339">
        <v>163</v>
      </c>
      <c r="C64" s="2574" t="s">
        <v>501</v>
      </c>
      <c r="D64" s="2574">
        <v>16250</v>
      </c>
      <c r="E64" s="2574" t="s">
        <v>206</v>
      </c>
      <c r="F64" s="2574" t="s">
        <v>499</v>
      </c>
      <c r="G64" s="2575">
        <v>9618</v>
      </c>
      <c r="H64" s="2575">
        <v>2950</v>
      </c>
      <c r="I64" s="2577">
        <v>6.2566175762826068E-2</v>
      </c>
      <c r="J64" s="2573">
        <v>30</v>
      </c>
      <c r="K64" s="2573" t="s">
        <v>298</v>
      </c>
      <c r="L64" s="2571">
        <v>9.1914279889500961</v>
      </c>
      <c r="M64" s="2571">
        <v>4.0614411219794091</v>
      </c>
      <c r="N64" s="2572">
        <v>82829.904509225715</v>
      </c>
      <c r="O64" s="2572">
        <v>206197.15705316651</v>
      </c>
      <c r="P64" s="2572">
        <v>761325.10262816097</v>
      </c>
      <c r="Q64" s="2572">
        <v>837457.61289097695</v>
      </c>
      <c r="R64" s="2570">
        <v>1.081</v>
      </c>
      <c r="S64" s="293">
        <f t="shared" si="10"/>
        <v>29500</v>
      </c>
      <c r="T64" s="293">
        <f t="shared" si="10"/>
        <v>29500</v>
      </c>
      <c r="U64" s="293">
        <f t="shared" si="10"/>
        <v>59000</v>
      </c>
      <c r="V64" s="338">
        <f t="shared" si="11"/>
        <v>0.65892981231106329</v>
      </c>
      <c r="W64" s="338">
        <f t="shared" si="12"/>
        <v>0.1474536473665389</v>
      </c>
      <c r="X64" s="338">
        <f t="shared" si="13"/>
        <v>1.3975158797430503E-3</v>
      </c>
    </row>
    <row r="65" spans="2:24" ht="13.8" x14ac:dyDescent="0.3">
      <c r="B65" s="339">
        <v>164</v>
      </c>
      <c r="C65" s="2574" t="s">
        <v>502</v>
      </c>
      <c r="D65" s="2574">
        <v>17500</v>
      </c>
      <c r="E65" s="2574" t="s">
        <v>206</v>
      </c>
      <c r="F65" s="2574" t="s">
        <v>499</v>
      </c>
      <c r="G65" s="2575">
        <v>9618</v>
      </c>
      <c r="H65" s="2575">
        <v>2450</v>
      </c>
      <c r="I65" s="2577">
        <v>6.737895851381269E-2</v>
      </c>
      <c r="J65" s="2573">
        <v>30</v>
      </c>
      <c r="K65" s="2573" t="s">
        <v>298</v>
      </c>
      <c r="L65" s="2571">
        <v>10.823275737791977</v>
      </c>
      <c r="M65" s="2571">
        <v>4.3282437323965404</v>
      </c>
      <c r="N65" s="2572">
        <v>75752.350020822749</v>
      </c>
      <c r="O65" s="2572">
        <v>208370.29636679869</v>
      </c>
      <c r="P65" s="2572">
        <v>819888.57206109643</v>
      </c>
      <c r="Q65" s="2572">
        <v>901877.429267206</v>
      </c>
      <c r="R65" s="2570">
        <v>1.081</v>
      </c>
      <c r="S65" s="293">
        <f t="shared" si="10"/>
        <v>24500</v>
      </c>
      <c r="T65" s="293">
        <f t="shared" si="10"/>
        <v>24500</v>
      </c>
      <c r="U65" s="293">
        <f t="shared" si="10"/>
        <v>49000</v>
      </c>
      <c r="V65" s="338">
        <f t="shared" si="11"/>
        <v>0.59837615093805552</v>
      </c>
      <c r="W65" s="338">
        <f t="shared" si="12"/>
        <v>0.17363259396796865</v>
      </c>
      <c r="X65" s="338">
        <f t="shared" si="13"/>
        <v>1.6456310959065373E-3</v>
      </c>
    </row>
    <row r="66" spans="2:24" ht="13.8" x14ac:dyDescent="0.3">
      <c r="B66" s="339">
        <v>165</v>
      </c>
      <c r="C66" s="2574" t="s">
        <v>503</v>
      </c>
      <c r="D66" s="2574">
        <v>12000</v>
      </c>
      <c r="E66" s="2574" t="s">
        <v>206</v>
      </c>
      <c r="F66" s="2574" t="s">
        <v>499</v>
      </c>
      <c r="G66" s="2575">
        <v>7733</v>
      </c>
      <c r="H66" s="2575">
        <v>3450</v>
      </c>
      <c r="I66" s="2577">
        <v>4.620271440947156E-2</v>
      </c>
      <c r="J66" s="2573">
        <v>30</v>
      </c>
      <c r="K66" s="2573" t="s">
        <v>298</v>
      </c>
      <c r="L66" s="2571">
        <v>6.6382870493658048</v>
      </c>
      <c r="M66" s="2571">
        <v>3.7724488045841151</v>
      </c>
      <c r="N66" s="2572">
        <v>84691.924644911458</v>
      </c>
      <c r="O66" s="2572">
        <v>163933.36775314459</v>
      </c>
      <c r="P66" s="2572">
        <v>562209.30655618035</v>
      </c>
      <c r="Q66" s="2572">
        <v>618430.23721179843</v>
      </c>
      <c r="R66" s="2570">
        <v>1.081</v>
      </c>
      <c r="S66" s="293">
        <f t="shared" si="10"/>
        <v>34500</v>
      </c>
      <c r="T66" s="293">
        <f t="shared" si="10"/>
        <v>34500</v>
      </c>
      <c r="U66" s="293">
        <f t="shared" si="10"/>
        <v>69000</v>
      </c>
      <c r="V66" s="338">
        <f t="shared" si="11"/>
        <v>0.75367028794849367</v>
      </c>
      <c r="W66" s="338">
        <f t="shared" si="12"/>
        <v>0.10649483832890877</v>
      </c>
      <c r="X66" s="338">
        <f t="shared" si="13"/>
        <v>1.0093221180576364E-3</v>
      </c>
    </row>
    <row r="67" spans="2:24" ht="13.8" x14ac:dyDescent="0.3">
      <c r="B67" s="339">
        <v>166</v>
      </c>
      <c r="C67" s="2574" t="s">
        <v>504</v>
      </c>
      <c r="D67" s="2574">
        <v>13750</v>
      </c>
      <c r="E67" s="2574" t="s">
        <v>206</v>
      </c>
      <c r="F67" s="2574" t="s">
        <v>499</v>
      </c>
      <c r="G67" s="2575">
        <v>7733</v>
      </c>
      <c r="H67" s="2575">
        <v>2950</v>
      </c>
      <c r="I67" s="2577">
        <v>5.2940610260852825E-2</v>
      </c>
      <c r="J67" s="2573">
        <v>30</v>
      </c>
      <c r="K67" s="2573" t="s">
        <v>298</v>
      </c>
      <c r="L67" s="2571">
        <v>8.2080581334399358</v>
      </c>
      <c r="M67" s="2571">
        <v>4.2438373587205138</v>
      </c>
      <c r="N67" s="2572">
        <v>78483.625881961372</v>
      </c>
      <c r="O67" s="2572">
        <v>166975.76279222965</v>
      </c>
      <c r="P67" s="2572">
        <v>644198.16376229003</v>
      </c>
      <c r="Q67" s="2572">
        <v>708617.98013851896</v>
      </c>
      <c r="R67" s="2570">
        <v>1.081</v>
      </c>
      <c r="S67" s="293">
        <f t="shared" si="10"/>
        <v>29500</v>
      </c>
      <c r="T67" s="293">
        <f t="shared" si="10"/>
        <v>29500</v>
      </c>
      <c r="U67" s="293">
        <f t="shared" si="10"/>
        <v>59000</v>
      </c>
      <c r="V67" s="338">
        <f t="shared" si="11"/>
        <v>0.69542013150735216</v>
      </c>
      <c r="W67" s="338">
        <f t="shared" si="12"/>
        <v>0.13167791892917316</v>
      </c>
      <c r="X67" s="338">
        <f t="shared" si="13"/>
        <v>1.2479988525315846E-3</v>
      </c>
    </row>
    <row r="68" spans="2:24" ht="13.8" x14ac:dyDescent="0.3">
      <c r="B68" s="339">
        <v>167</v>
      </c>
      <c r="C68" s="2574" t="s">
        <v>505</v>
      </c>
      <c r="D68" s="2574">
        <v>16250</v>
      </c>
      <c r="E68" s="2574" t="s">
        <v>206</v>
      </c>
      <c r="F68" s="2574" t="s">
        <v>499</v>
      </c>
      <c r="G68" s="2575">
        <v>7733</v>
      </c>
      <c r="H68" s="2575">
        <v>2450</v>
      </c>
      <c r="I68" s="2577">
        <v>6.2566175762826068E-2</v>
      </c>
      <c r="J68" s="2573">
        <v>30</v>
      </c>
      <c r="K68" s="2573" t="s">
        <v>298</v>
      </c>
      <c r="L68" s="2571">
        <v>10.347013719104222</v>
      </c>
      <c r="M68" s="2571">
        <v>4.8882070628635779</v>
      </c>
      <c r="N68" s="2572">
        <v>73579.210707190563</v>
      </c>
      <c r="O68" s="2572">
        <v>171322.04141949399</v>
      </c>
      <c r="P68" s="2572">
        <v>761325.10262816097</v>
      </c>
      <c r="Q68" s="2572">
        <v>837457.61289097695</v>
      </c>
      <c r="R68" s="2570">
        <v>1.081</v>
      </c>
      <c r="S68" s="293">
        <f t="shared" si="10"/>
        <v>24500</v>
      </c>
      <c r="T68" s="293">
        <f t="shared" si="10"/>
        <v>24500</v>
      </c>
      <c r="U68" s="293">
        <f t="shared" si="10"/>
        <v>49000</v>
      </c>
      <c r="V68" s="338">
        <f t="shared" si="11"/>
        <v>0.61604900615687774</v>
      </c>
      <c r="W68" s="338">
        <f t="shared" si="12"/>
        <v>0.16599215204293952</v>
      </c>
      <c r="X68" s="338">
        <f t="shared" si="13"/>
        <v>1.5732175672541035E-3</v>
      </c>
    </row>
    <row r="69" spans="2:24" ht="13.8" x14ac:dyDescent="0.3">
      <c r="B69" s="339">
        <v>168</v>
      </c>
      <c r="C69" s="2574" t="s">
        <v>506</v>
      </c>
      <c r="D69" s="2574">
        <v>17500</v>
      </c>
      <c r="E69" s="2574" t="s">
        <v>206</v>
      </c>
      <c r="F69" s="2574" t="s">
        <v>499</v>
      </c>
      <c r="G69" s="2575">
        <v>7733</v>
      </c>
      <c r="H69" s="2575">
        <v>1950</v>
      </c>
      <c r="I69" s="2577">
        <v>6.737895851381269E-2</v>
      </c>
      <c r="J69" s="2573">
        <v>30</v>
      </c>
      <c r="K69" s="2573" t="s">
        <v>298</v>
      </c>
      <c r="L69" s="2571">
        <v>12.328844402967922</v>
      </c>
      <c r="M69" s="2571">
        <v>5.1982851941835335</v>
      </c>
      <c r="N69" s="2572">
        <v>66501.656218787597</v>
      </c>
      <c r="O69" s="2572">
        <v>173495.18073312618</v>
      </c>
      <c r="P69" s="2572">
        <v>819888.57206109643</v>
      </c>
      <c r="Q69" s="2572">
        <v>901877.429267206</v>
      </c>
      <c r="R69" s="2570">
        <v>1.081</v>
      </c>
      <c r="S69" s="293">
        <f t="shared" si="10"/>
        <v>19500</v>
      </c>
      <c r="T69" s="293">
        <f t="shared" si="10"/>
        <v>19500</v>
      </c>
      <c r="U69" s="293">
        <f t="shared" si="10"/>
        <v>39000</v>
      </c>
      <c r="V69" s="338">
        <f t="shared" si="11"/>
        <v>0.54250838068217411</v>
      </c>
      <c r="W69" s="338">
        <f t="shared" si="12"/>
        <v>0.19778570611853483</v>
      </c>
      <c r="X69" s="338">
        <f t="shared" si="13"/>
        <v>1.87454613719897E-3</v>
      </c>
    </row>
    <row r="70" spans="2:24" ht="13.8" x14ac:dyDescent="0.3">
      <c r="B70" s="339">
        <v>169</v>
      </c>
      <c r="C70" s="2574" t="s">
        <v>507</v>
      </c>
      <c r="D70" s="2574">
        <v>10250</v>
      </c>
      <c r="E70" s="2574" t="s">
        <v>206</v>
      </c>
      <c r="F70" s="2574" t="s">
        <v>499</v>
      </c>
      <c r="G70" s="2575">
        <v>7422</v>
      </c>
      <c r="H70" s="2575">
        <v>2000</v>
      </c>
      <c r="I70" s="2577">
        <v>3.9464818558090286E-3</v>
      </c>
      <c r="J70" s="2573">
        <v>30</v>
      </c>
      <c r="K70" s="2573" t="s">
        <v>298</v>
      </c>
      <c r="L70" s="2571">
        <v>8.7595475463155896</v>
      </c>
      <c r="M70" s="2571">
        <v>3.4050056021693251</v>
      </c>
      <c r="N70" s="2572">
        <v>5482.2517579924479</v>
      </c>
      <c r="O70" s="2572">
        <v>15513.704116919369</v>
      </c>
      <c r="P70" s="2572">
        <v>48022.04493500707</v>
      </c>
      <c r="Q70" s="2572">
        <v>52824.249428507777</v>
      </c>
      <c r="R70" s="2570">
        <v>1.081</v>
      </c>
      <c r="S70" s="293">
        <f t="shared" si="10"/>
        <v>2000</v>
      </c>
      <c r="T70" s="293">
        <f t="shared" si="10"/>
        <v>2000</v>
      </c>
      <c r="U70" s="293">
        <f t="shared" si="10"/>
        <v>4000</v>
      </c>
      <c r="V70" s="338">
        <f t="shared" si="11"/>
        <v>0.67495578170402559</v>
      </c>
      <c r="W70" s="338">
        <f t="shared" si="12"/>
        <v>0.14052519766652583</v>
      </c>
      <c r="X70" s="338">
        <f t="shared" si="13"/>
        <v>1.3318503729841682E-3</v>
      </c>
    </row>
    <row r="71" spans="2:24" ht="13.8" x14ac:dyDescent="0.3">
      <c r="B71" s="339">
        <v>170</v>
      </c>
      <c r="C71" s="2574" t="s">
        <v>508</v>
      </c>
      <c r="D71" s="2574">
        <v>14000</v>
      </c>
      <c r="E71" s="2574" t="s">
        <v>206</v>
      </c>
      <c r="F71" s="2574" t="s">
        <v>499</v>
      </c>
      <c r="G71" s="2575">
        <v>7422</v>
      </c>
      <c r="H71" s="2575">
        <v>1000</v>
      </c>
      <c r="I71" s="2577">
        <v>3.2341900086630092E-2</v>
      </c>
      <c r="J71" s="2573">
        <v>30</v>
      </c>
      <c r="K71" s="2573" t="s">
        <v>298</v>
      </c>
      <c r="L71" s="2571">
        <v>15.310515143818112</v>
      </c>
      <c r="M71" s="2571">
        <v>4.4631804221470199</v>
      </c>
      <c r="N71" s="2572">
        <v>25704.328750050423</v>
      </c>
      <c r="O71" s="2572">
        <v>96993.875466054116</v>
      </c>
      <c r="P71" s="2572">
        <v>393546.51458932628</v>
      </c>
      <c r="Q71" s="2572">
        <v>432901.16604825889</v>
      </c>
      <c r="R71" s="2570">
        <v>1.081</v>
      </c>
      <c r="S71" s="293">
        <f t="shared" si="10"/>
        <v>6000</v>
      </c>
      <c r="T71" s="293">
        <f t="shared" si="10"/>
        <v>6000</v>
      </c>
      <c r="U71" s="293">
        <f t="shared" si="10"/>
        <v>12000</v>
      </c>
      <c r="V71" s="338">
        <f t="shared" si="11"/>
        <v>0.43186626931156125</v>
      </c>
      <c r="W71" s="338">
        <f t="shared" si="12"/>
        <v>0.2456192121322909</v>
      </c>
      <c r="X71" s="338">
        <f t="shared" si="13"/>
        <v>2.3278959554766995E-3</v>
      </c>
    </row>
    <row r="72" spans="2:24" ht="13.8" x14ac:dyDescent="0.3">
      <c r="B72" s="339">
        <v>171</v>
      </c>
      <c r="C72" s="2574" t="s">
        <v>509</v>
      </c>
      <c r="D72" s="2574">
        <v>10250</v>
      </c>
      <c r="E72" s="2574" t="s">
        <v>206</v>
      </c>
      <c r="F72" s="2574" t="s">
        <v>499</v>
      </c>
      <c r="G72" s="2575">
        <v>5537</v>
      </c>
      <c r="H72" s="2575">
        <v>1000</v>
      </c>
      <c r="I72" s="2577">
        <v>1.9732409279045144E-2</v>
      </c>
      <c r="J72" s="2573">
        <v>30</v>
      </c>
      <c r="K72" s="2573" t="s">
        <v>298</v>
      </c>
      <c r="L72" s="2571">
        <v>13.221517328048861</v>
      </c>
      <c r="M72" s="2571">
        <v>4.3924333651971459</v>
      </c>
      <c r="N72" s="2572">
        <v>18160.564987927082</v>
      </c>
      <c r="O72" s="2572">
        <v>60130.962767760575</v>
      </c>
      <c r="P72" s="2572">
        <v>240110.22467503537</v>
      </c>
      <c r="Q72" s="2572">
        <v>264121.24714253889</v>
      </c>
      <c r="R72" s="2570">
        <v>1.081</v>
      </c>
      <c r="S72" s="293">
        <f t="shared" si="10"/>
        <v>5000</v>
      </c>
      <c r="T72" s="293">
        <f t="shared" si="10"/>
        <v>5000</v>
      </c>
      <c r="U72" s="293">
        <f t="shared" si="10"/>
        <v>10000</v>
      </c>
      <c r="V72" s="338">
        <f t="shared" si="11"/>
        <v>0.50938359066388617</v>
      </c>
      <c r="W72" s="338">
        <f t="shared" si="12"/>
        <v>0.21210642743265312</v>
      </c>
      <c r="X72" s="338">
        <f t="shared" si="13"/>
        <v>2.0102730982018801E-3</v>
      </c>
    </row>
    <row r="73" spans="2:24" ht="13.8" x14ac:dyDescent="0.3">
      <c r="B73" s="339">
        <v>172</v>
      </c>
      <c r="C73" s="2574" t="s">
        <v>510</v>
      </c>
      <c r="D73" s="2574">
        <v>12750</v>
      </c>
      <c r="E73" s="2574" t="s">
        <v>206</v>
      </c>
      <c r="F73" s="2574" t="s">
        <v>499</v>
      </c>
      <c r="G73" s="2575">
        <v>5537</v>
      </c>
      <c r="H73" s="2575">
        <v>500</v>
      </c>
      <c r="I73" s="2577">
        <v>4.9090384060063528E-3</v>
      </c>
      <c r="J73" s="2573">
        <v>30</v>
      </c>
      <c r="K73" s="2573" t="s">
        <v>298</v>
      </c>
      <c r="L73" s="2571">
        <v>19.013680838307849</v>
      </c>
      <c r="M73" s="2571">
        <v>5.2731851121065656</v>
      </c>
      <c r="N73" s="2572">
        <v>3141.6714801083376</v>
      </c>
      <c r="O73" s="2572">
        <v>12460.82041627855</v>
      </c>
      <c r="P73" s="2572">
        <v>59734.738821594161</v>
      </c>
      <c r="Q73" s="2572">
        <v>65708.212703753583</v>
      </c>
      <c r="R73" s="2570">
        <v>1.081</v>
      </c>
      <c r="S73" s="293">
        <f t="shared" si="10"/>
        <v>500</v>
      </c>
      <c r="T73" s="293">
        <f t="shared" si="10"/>
        <v>500</v>
      </c>
      <c r="U73" s="293">
        <f t="shared" si="10"/>
        <v>1000</v>
      </c>
      <c r="V73" s="338">
        <f t="shared" si="11"/>
        <v>0.2944513409694941</v>
      </c>
      <c r="W73" s="338">
        <f t="shared" si="12"/>
        <v>0.30502731380176035</v>
      </c>
      <c r="X73" s="338">
        <f t="shared" si="13"/>
        <v>2.8909458830386368E-3</v>
      </c>
    </row>
    <row r="74" spans="2:24" ht="13.8" x14ac:dyDescent="0.3">
      <c r="B74" s="339">
        <v>173</v>
      </c>
      <c r="C74" s="2574" t="s">
        <v>511</v>
      </c>
      <c r="D74" s="2574">
        <v>3500</v>
      </c>
      <c r="E74" s="2574" t="s">
        <v>206</v>
      </c>
      <c r="F74" s="2574" t="s">
        <v>499</v>
      </c>
      <c r="G74" s="2575">
        <v>2196</v>
      </c>
      <c r="H74" s="2575">
        <v>950</v>
      </c>
      <c r="I74" s="2577">
        <v>0.11454422947348157</v>
      </c>
      <c r="J74" s="2573">
        <v>30</v>
      </c>
      <c r="K74" s="2573" t="s">
        <v>512</v>
      </c>
      <c r="L74" s="2571">
        <v>3.9833965362024086</v>
      </c>
      <c r="M74" s="2571">
        <v>2.2194009447052934</v>
      </c>
      <c r="N74" s="2572">
        <v>201119.42056731356</v>
      </c>
      <c r="O74" s="2572">
        <v>397067.61668202217</v>
      </c>
      <c r="P74" s="2572">
        <v>801138.40325087227</v>
      </c>
      <c r="Q74" s="2572">
        <v>881252.24357595923</v>
      </c>
      <c r="R74" s="2570">
        <v>1.081</v>
      </c>
      <c r="S74" s="293">
        <f t="shared" si="10"/>
        <v>66500</v>
      </c>
      <c r="T74" s="293">
        <f t="shared" si="10"/>
        <v>95000</v>
      </c>
      <c r="U74" s="293">
        <f t="shared" si="10"/>
        <v>161500</v>
      </c>
      <c r="V74" s="338">
        <f t="shared" si="11"/>
        <v>0.74283579617247752</v>
      </c>
      <c r="W74" s="338">
        <f t="shared" si="12"/>
        <v>0.11117887518525631</v>
      </c>
      <c r="X74" s="338">
        <f t="shared" si="13"/>
        <v>1.05371583774485E-3</v>
      </c>
    </row>
    <row r="75" spans="2:24" ht="13.8" x14ac:dyDescent="0.3">
      <c r="B75" s="339">
        <v>174</v>
      </c>
      <c r="C75" s="2574" t="s">
        <v>513</v>
      </c>
      <c r="D75" s="2574">
        <v>3500</v>
      </c>
      <c r="E75" s="2574" t="s">
        <v>206</v>
      </c>
      <c r="F75" s="2574" t="s">
        <v>499</v>
      </c>
      <c r="G75" s="2575">
        <v>3489</v>
      </c>
      <c r="H75" s="2575">
        <v>950</v>
      </c>
      <c r="I75" s="2577">
        <v>0.26951583405525076</v>
      </c>
      <c r="J75" s="2573">
        <v>30</v>
      </c>
      <c r="K75" s="2573" t="s">
        <v>512</v>
      </c>
      <c r="L75" s="2571">
        <v>3.9833965362024082</v>
      </c>
      <c r="M75" s="2571">
        <v>1.4677578236698094</v>
      </c>
      <c r="N75" s="2572">
        <v>473222.16604073782</v>
      </c>
      <c r="O75" s="2572">
        <v>1412722.6285754279</v>
      </c>
      <c r="P75" s="2572">
        <v>1885031.5370608759</v>
      </c>
      <c r="Q75" s="2572">
        <v>2073534.6907669627</v>
      </c>
      <c r="R75" s="2570">
        <v>1.081</v>
      </c>
      <c r="S75" s="293">
        <f t="shared" si="10"/>
        <v>190000</v>
      </c>
      <c r="T75" s="293">
        <f t="shared" si="10"/>
        <v>190000</v>
      </c>
      <c r="U75" s="293">
        <f t="shared" si="10"/>
        <v>380000</v>
      </c>
      <c r="V75" s="338">
        <f t="shared" si="11"/>
        <v>0.74283579617247741</v>
      </c>
      <c r="W75" s="338">
        <f t="shared" si="12"/>
        <v>0.11117887518525632</v>
      </c>
      <c r="X75" s="338">
        <f t="shared" si="13"/>
        <v>1.05371583774485E-3</v>
      </c>
    </row>
    <row r="76" spans="2:24" ht="13.8" x14ac:dyDescent="0.3">
      <c r="B76" s="339">
        <v>239</v>
      </c>
      <c r="C76" s="2574" t="s">
        <v>514</v>
      </c>
      <c r="D76" s="2574">
        <v>8500</v>
      </c>
      <c r="E76" s="2574" t="s">
        <v>206</v>
      </c>
      <c r="F76" s="2574" t="s">
        <v>499</v>
      </c>
      <c r="G76" s="2575">
        <v>7422</v>
      </c>
      <c r="H76" s="2575">
        <v>2500</v>
      </c>
      <c r="I76" s="2577">
        <v>3.2726922706709017E-3</v>
      </c>
      <c r="J76" s="2573">
        <v>30</v>
      </c>
      <c r="K76" s="2573" t="s">
        <v>298</v>
      </c>
      <c r="L76" s="2571">
        <v>6.5250903724877851</v>
      </c>
      <c r="M76" s="2571">
        <v>2.880145767811086</v>
      </c>
      <c r="N76" s="2572">
        <v>6103.0816342874577</v>
      </c>
      <c r="O76" s="2572">
        <v>15209.464613010863</v>
      </c>
      <c r="P76" s="2572">
        <v>39823.15921439611</v>
      </c>
      <c r="Q76" s="2572">
        <v>43805.475135835717</v>
      </c>
      <c r="R76" s="2570">
        <v>1.081</v>
      </c>
      <c r="S76" s="293">
        <f t="shared" si="10"/>
        <v>2500</v>
      </c>
      <c r="T76" s="293">
        <f t="shared" si="10"/>
        <v>2500</v>
      </c>
      <c r="U76" s="293">
        <f t="shared" si="10"/>
        <v>5000</v>
      </c>
      <c r="V76" s="338">
        <f t="shared" si="11"/>
        <v>0.75787072468965777</v>
      </c>
      <c r="W76" s="338">
        <f t="shared" si="12"/>
        <v>0.1046788786221579</v>
      </c>
      <c r="X76" s="338">
        <f t="shared" si="13"/>
        <v>9.9211106514383927E-4</v>
      </c>
    </row>
    <row r="77" spans="2:24" ht="13.8" x14ac:dyDescent="0.3">
      <c r="B77" s="339">
        <v>240</v>
      </c>
      <c r="C77" s="2574" t="s">
        <v>515</v>
      </c>
      <c r="D77" s="2574">
        <v>12750</v>
      </c>
      <c r="E77" s="2574" t="s">
        <v>206</v>
      </c>
      <c r="F77" s="2574" t="s">
        <v>499</v>
      </c>
      <c r="G77" s="2575">
        <v>7422</v>
      </c>
      <c r="H77" s="2575">
        <v>2000</v>
      </c>
      <c r="I77" s="2577">
        <v>4.9090384060063528E-3</v>
      </c>
      <c r="J77" s="2573">
        <v>30</v>
      </c>
      <c r="K77" s="2573" t="s">
        <v>298</v>
      </c>
      <c r="L77" s="2571">
        <v>10.095648830242142</v>
      </c>
      <c r="M77" s="2571">
        <v>4.1200680289082436</v>
      </c>
      <c r="N77" s="2572">
        <v>5916.8796207188834</v>
      </c>
      <c r="O77" s="2572">
        <v>15948.331979645802</v>
      </c>
      <c r="P77" s="2572">
        <v>59734.738821594161</v>
      </c>
      <c r="Q77" s="2572">
        <v>65708.212703753583</v>
      </c>
      <c r="R77" s="2570">
        <v>1.081</v>
      </c>
      <c r="S77" s="293">
        <f t="shared" si="10"/>
        <v>2000</v>
      </c>
      <c r="T77" s="293">
        <f t="shared" si="10"/>
        <v>2000</v>
      </c>
      <c r="U77" s="293">
        <f t="shared" si="10"/>
        <v>4000</v>
      </c>
      <c r="V77" s="338">
        <f t="shared" si="11"/>
        <v>0.62537650890461893</v>
      </c>
      <c r="W77" s="338">
        <f t="shared" si="12"/>
        <v>0.1619596263323364</v>
      </c>
      <c r="X77" s="338">
        <f t="shared" si="13"/>
        <v>1.5349986502134741E-3</v>
      </c>
    </row>
    <row r="78" spans="2:24" ht="13.8" x14ac:dyDescent="0.3">
      <c r="B78" s="339">
        <v>241</v>
      </c>
      <c r="C78" s="2574" t="s">
        <v>516</v>
      </c>
      <c r="D78" s="2574">
        <v>8500</v>
      </c>
      <c r="E78" s="2574" t="s">
        <v>206</v>
      </c>
      <c r="F78" s="2574" t="s">
        <v>499</v>
      </c>
      <c r="G78" s="2575">
        <v>5537</v>
      </c>
      <c r="H78" s="2575">
        <v>1500</v>
      </c>
      <c r="I78" s="2577">
        <v>9.8180768120127056E-3</v>
      </c>
      <c r="J78" s="2573">
        <v>30</v>
      </c>
      <c r="K78" s="2573" t="s">
        <v>298</v>
      </c>
      <c r="L78" s="2571">
        <v>9.3636713201513242</v>
      </c>
      <c r="M78" s="2571">
        <v>3.7370457764431642</v>
      </c>
      <c r="N78" s="2572">
        <v>12758.828621641282</v>
      </c>
      <c r="O78" s="2572">
        <v>35165.859148930831</v>
      </c>
      <c r="P78" s="2572">
        <v>119469.47764318832</v>
      </c>
      <c r="Q78" s="2572">
        <v>131416.42540750717</v>
      </c>
      <c r="R78" s="2570">
        <v>1.081</v>
      </c>
      <c r="S78" s="293">
        <f t="shared" si="10"/>
        <v>4500</v>
      </c>
      <c r="T78" s="293">
        <f t="shared" si="10"/>
        <v>4500</v>
      </c>
      <c r="U78" s="293">
        <f t="shared" si="10"/>
        <v>9000</v>
      </c>
      <c r="V78" s="338">
        <f t="shared" si="11"/>
        <v>0.65253830651113787</v>
      </c>
      <c r="W78" s="338">
        <f t="shared" si="12"/>
        <v>0.15021686407788315</v>
      </c>
      <c r="X78" s="338">
        <f t="shared" si="13"/>
        <v>1.4237047146904538E-3</v>
      </c>
    </row>
    <row r="79" spans="2:24" ht="13.8" x14ac:dyDescent="0.3">
      <c r="B79" s="339">
        <v>242</v>
      </c>
      <c r="C79" s="2574" t="s">
        <v>517</v>
      </c>
      <c r="D79" s="2576">
        <v>14000</v>
      </c>
      <c r="E79" s="2574" t="s">
        <v>206</v>
      </c>
      <c r="F79" s="2574" t="s">
        <v>499</v>
      </c>
      <c r="G79" s="2575">
        <v>5537</v>
      </c>
      <c r="H79" s="2575">
        <v>2000</v>
      </c>
      <c r="I79" s="2577">
        <v>2.1561266724420061E-2</v>
      </c>
      <c r="J79" s="2573">
        <v>30</v>
      </c>
      <c r="K79" s="2573" t="s">
        <v>298</v>
      </c>
      <c r="L79" s="2571">
        <v>10.69269908228188</v>
      </c>
      <c r="M79" s="2571">
        <v>5.6909157422516969</v>
      </c>
      <c r="N79" s="2572">
        <v>24536.774208328407</v>
      </c>
      <c r="O79" s="2572">
        <v>50712.537390567071</v>
      </c>
      <c r="P79" s="2572">
        <v>262364.34305955085</v>
      </c>
      <c r="Q79" s="2572">
        <v>288600.77736550593</v>
      </c>
      <c r="R79" s="2570">
        <v>1.081</v>
      </c>
      <c r="S79" s="293">
        <f t="shared" si="10"/>
        <v>8000</v>
      </c>
      <c r="T79" s="293">
        <f t="shared" si="10"/>
        <v>8000</v>
      </c>
      <c r="U79" s="293">
        <f t="shared" si="10"/>
        <v>16000</v>
      </c>
      <c r="V79" s="338">
        <f t="shared" si="11"/>
        <v>0.60322151386274614</v>
      </c>
      <c r="W79" s="338">
        <f t="shared" si="12"/>
        <v>0.17153781564418316</v>
      </c>
      <c r="X79" s="338">
        <f t="shared" si="13"/>
        <v>1.6257774942878905E-3</v>
      </c>
    </row>
    <row r="80" spans="2:24" ht="13.8" x14ac:dyDescent="0.3">
      <c r="B80" s="339"/>
      <c r="C80" s="2574" t="s">
        <v>518</v>
      </c>
      <c r="D80" s="2576">
        <v>14875</v>
      </c>
      <c r="E80" s="2574" t="s">
        <v>206</v>
      </c>
      <c r="F80" s="2574" t="s">
        <v>499</v>
      </c>
      <c r="G80" s="2575">
        <v>9618</v>
      </c>
      <c r="H80" s="2575">
        <v>3950</v>
      </c>
      <c r="I80" s="2577">
        <v>5.7272114736740785E-2</v>
      </c>
      <c r="J80" s="2573">
        <v>30</v>
      </c>
      <c r="K80" s="2573" t="s">
        <v>298</v>
      </c>
      <c r="L80" s="2571">
        <v>7.0436565347861766</v>
      </c>
      <c r="M80" s="2571">
        <v>3.7613866499635247</v>
      </c>
      <c r="N80" s="2572">
        <v>98940.838868300634</v>
      </c>
      <c r="O80" s="2572">
        <v>203806.70380817112</v>
      </c>
      <c r="P80" s="2572">
        <v>696905.28625193192</v>
      </c>
      <c r="Q80" s="2572">
        <v>766595.81487712509</v>
      </c>
      <c r="R80" s="2570">
        <v>1.081</v>
      </c>
      <c r="S80" s="293">
        <f t="shared" si="10"/>
        <v>39500</v>
      </c>
      <c r="T80" s="293">
        <f t="shared" si="10"/>
        <v>39500</v>
      </c>
      <c r="U80" s="293">
        <f t="shared" si="10"/>
        <v>79000</v>
      </c>
      <c r="V80" s="338">
        <f t="shared" si="11"/>
        <v>0.73862807180515777</v>
      </c>
      <c r="W80" s="338">
        <f t="shared" si="12"/>
        <v>0.11299798552520841</v>
      </c>
      <c r="X80" s="338">
        <f t="shared" si="13"/>
        <v>1.0709567512962685E-3</v>
      </c>
    </row>
    <row r="81" spans="2:24" ht="13.8" x14ac:dyDescent="0.3">
      <c r="B81" s="296"/>
      <c r="C81" s="296" t="s">
        <v>229</v>
      </c>
      <c r="D81" s="296">
        <v>0</v>
      </c>
      <c r="E81" s="296" t="s">
        <v>206</v>
      </c>
      <c r="F81" s="296" t="s">
        <v>211</v>
      </c>
      <c r="G81" s="297"/>
      <c r="H81" s="297"/>
      <c r="I81" s="326">
        <v>0</v>
      </c>
      <c r="J81" s="267"/>
      <c r="K81" s="267"/>
      <c r="L81" s="291" t="e">
        <f t="shared" ref="L81:M103" si="14">P81/N81</f>
        <v>#DIV/0!</v>
      </c>
      <c r="M81" s="291" t="e">
        <f t="shared" si="14"/>
        <v>#DIV/0!</v>
      </c>
      <c r="N81" s="218">
        <f t="shared" ref="N81:N103" si="15">(($I81*$F$56)+$U81)/$R81</f>
        <v>0</v>
      </c>
      <c r="O81" s="218">
        <f t="shared" ref="O81:O103" si="16">(($I81*$F$56)+($G81*$O31))/$R81</f>
        <v>0</v>
      </c>
      <c r="P81" s="218">
        <f>IF(K81=0, 0, (HLOOKUP(K81,'[1]E-CESTDWO'!$A$5:$O$35,J81+1,FALSE)*R31))</f>
        <v>0</v>
      </c>
      <c r="Q81" s="218">
        <f>IF(K81=0, 0, (HLOOKUP(K81,'[1]E-CESTD'!$A$5:$O$35,J81+1,FALSE)*R31))</f>
        <v>0</v>
      </c>
      <c r="R81" s="292">
        <v>1.081</v>
      </c>
      <c r="S81" s="293">
        <f t="shared" si="10"/>
        <v>0</v>
      </c>
      <c r="T81" s="293">
        <f t="shared" si="10"/>
        <v>0</v>
      </c>
      <c r="U81" s="293">
        <f t="shared" si="10"/>
        <v>0</v>
      </c>
      <c r="V81" s="338" t="e">
        <f t="shared" si="11"/>
        <v>#DIV/0!</v>
      </c>
      <c r="W81" s="338" t="e">
        <f t="shared" si="12"/>
        <v>#DIV/0!</v>
      </c>
      <c r="X81" s="338" t="e">
        <f t="shared" si="13"/>
        <v>#DIV/0!</v>
      </c>
    </row>
    <row r="82" spans="2:24" ht="13.8" x14ac:dyDescent="0.3">
      <c r="B82" s="296"/>
      <c r="C82" s="296" t="s">
        <v>230</v>
      </c>
      <c r="D82" s="299">
        <v>0</v>
      </c>
      <c r="E82" s="296" t="s">
        <v>206</v>
      </c>
      <c r="F82" s="296" t="s">
        <v>211</v>
      </c>
      <c r="G82" s="297"/>
      <c r="H82" s="297"/>
      <c r="I82" s="326">
        <v>0</v>
      </c>
      <c r="J82" s="267"/>
      <c r="K82" s="267"/>
      <c r="L82" s="291" t="e">
        <f t="shared" si="14"/>
        <v>#DIV/0!</v>
      </c>
      <c r="M82" s="291" t="e">
        <f t="shared" si="14"/>
        <v>#DIV/0!</v>
      </c>
      <c r="N82" s="218">
        <f t="shared" si="15"/>
        <v>0</v>
      </c>
      <c r="O82" s="218">
        <f t="shared" si="16"/>
        <v>0</v>
      </c>
      <c r="P82" s="218">
        <f>IF(K82=0, 0, (HLOOKUP(K82,'[1]E-CESTDWO'!$A$5:$O$35,J82+1,FALSE)*R32))</f>
        <v>0</v>
      </c>
      <c r="Q82" s="218">
        <f>IF(K82=0, 0, (HLOOKUP(K82,'[1]E-CESTD'!$A$5:$O$35,J82+1,FALSE)*R32))</f>
        <v>0</v>
      </c>
      <c r="R82" s="292">
        <v>1.081</v>
      </c>
      <c r="S82" s="293">
        <f t="shared" si="10"/>
        <v>0</v>
      </c>
      <c r="T82" s="293">
        <f t="shared" si="10"/>
        <v>0</v>
      </c>
      <c r="U82" s="293">
        <f t="shared" si="10"/>
        <v>0</v>
      </c>
      <c r="V82" s="338" t="e">
        <f t="shared" si="11"/>
        <v>#DIV/0!</v>
      </c>
      <c r="W82" s="338" t="e">
        <f t="shared" si="12"/>
        <v>#DIV/0!</v>
      </c>
      <c r="X82" s="338" t="e">
        <f t="shared" si="13"/>
        <v>#DIV/0!</v>
      </c>
    </row>
    <row r="83" spans="2:24" ht="13.8" x14ac:dyDescent="0.3">
      <c r="B83" s="296"/>
      <c r="C83" s="296" t="s">
        <v>231</v>
      </c>
      <c r="D83" s="299">
        <v>0</v>
      </c>
      <c r="E83" s="296" t="s">
        <v>206</v>
      </c>
      <c r="F83" s="296" t="s">
        <v>211</v>
      </c>
      <c r="G83" s="297"/>
      <c r="H83" s="297"/>
      <c r="I83" s="326">
        <v>0</v>
      </c>
      <c r="J83" s="267"/>
      <c r="K83" s="267"/>
      <c r="L83" s="291" t="e">
        <f t="shared" si="14"/>
        <v>#DIV/0!</v>
      </c>
      <c r="M83" s="291" t="e">
        <f t="shared" si="14"/>
        <v>#DIV/0!</v>
      </c>
      <c r="N83" s="218">
        <f t="shared" si="15"/>
        <v>0</v>
      </c>
      <c r="O83" s="218">
        <f t="shared" si="16"/>
        <v>0</v>
      </c>
      <c r="P83" s="218">
        <f>IF(K83=0, 0, (HLOOKUP(K83,'[1]E-CESTDWO'!$A$5:$O$35,J83+1,FALSE)*R33))</f>
        <v>0</v>
      </c>
      <c r="Q83" s="218">
        <f>IF(K83=0, 0, (HLOOKUP(K83,'[1]E-CESTD'!$A$5:$O$35,J83+1,FALSE)*R33))</f>
        <v>0</v>
      </c>
      <c r="R83" s="292">
        <v>1.081</v>
      </c>
      <c r="S83" s="293">
        <f t="shared" si="10"/>
        <v>0</v>
      </c>
      <c r="T83" s="293">
        <f t="shared" si="10"/>
        <v>0</v>
      </c>
      <c r="U83" s="293">
        <f t="shared" si="10"/>
        <v>0</v>
      </c>
      <c r="V83" s="338" t="e">
        <f t="shared" si="11"/>
        <v>#DIV/0!</v>
      </c>
      <c r="W83" s="338" t="e">
        <f t="shared" si="12"/>
        <v>#DIV/0!</v>
      </c>
      <c r="X83" s="338" t="e">
        <f t="shared" si="13"/>
        <v>#DIV/0!</v>
      </c>
    </row>
    <row r="84" spans="2:24" ht="13.8" x14ac:dyDescent="0.3">
      <c r="B84" s="296"/>
      <c r="C84" s="296" t="s">
        <v>232</v>
      </c>
      <c r="D84" s="299">
        <v>0</v>
      </c>
      <c r="E84" s="296" t="s">
        <v>206</v>
      </c>
      <c r="F84" s="296" t="s">
        <v>211</v>
      </c>
      <c r="G84" s="297"/>
      <c r="H84" s="297"/>
      <c r="I84" s="326">
        <v>0</v>
      </c>
      <c r="J84" s="267"/>
      <c r="K84" s="267"/>
      <c r="L84" s="291" t="e">
        <f t="shared" si="14"/>
        <v>#DIV/0!</v>
      </c>
      <c r="M84" s="291" t="e">
        <f t="shared" si="14"/>
        <v>#DIV/0!</v>
      </c>
      <c r="N84" s="218">
        <f t="shared" si="15"/>
        <v>0</v>
      </c>
      <c r="O84" s="218">
        <f t="shared" si="16"/>
        <v>0</v>
      </c>
      <c r="P84" s="218">
        <f>IF(K84=0, 0, (HLOOKUP(K84,'[1]E-CESTDWO'!$A$5:$O$35,J84+1,FALSE)*R34))</f>
        <v>0</v>
      </c>
      <c r="Q84" s="218">
        <f>IF(K84=0, 0, (HLOOKUP(K84,'[1]E-CESTD'!$A$5:$O$35,J84+1,FALSE)*R34))</f>
        <v>0</v>
      </c>
      <c r="R84" s="292">
        <v>1.081</v>
      </c>
      <c r="S84" s="293">
        <f t="shared" si="10"/>
        <v>0</v>
      </c>
      <c r="T84" s="293">
        <f t="shared" si="10"/>
        <v>0</v>
      </c>
      <c r="U84" s="293">
        <f t="shared" si="10"/>
        <v>0</v>
      </c>
      <c r="V84" s="338" t="e">
        <f t="shared" si="11"/>
        <v>#DIV/0!</v>
      </c>
      <c r="W84" s="338" t="e">
        <f t="shared" si="12"/>
        <v>#DIV/0!</v>
      </c>
      <c r="X84" s="338" t="e">
        <f t="shared" si="13"/>
        <v>#DIV/0!</v>
      </c>
    </row>
    <row r="85" spans="2:24" ht="13.8" x14ac:dyDescent="0.3">
      <c r="B85" s="296"/>
      <c r="C85" s="296" t="s">
        <v>233</v>
      </c>
      <c r="D85" s="299">
        <v>0</v>
      </c>
      <c r="E85" s="296" t="s">
        <v>206</v>
      </c>
      <c r="F85" s="296" t="s">
        <v>211</v>
      </c>
      <c r="G85" s="297"/>
      <c r="H85" s="297"/>
      <c r="I85" s="326">
        <v>0</v>
      </c>
      <c r="J85" s="267"/>
      <c r="K85" s="267"/>
      <c r="L85" s="291" t="e">
        <f t="shared" si="14"/>
        <v>#DIV/0!</v>
      </c>
      <c r="M85" s="291" t="e">
        <f t="shared" si="14"/>
        <v>#DIV/0!</v>
      </c>
      <c r="N85" s="218">
        <f t="shared" si="15"/>
        <v>0</v>
      </c>
      <c r="O85" s="218">
        <f t="shared" si="16"/>
        <v>0</v>
      </c>
      <c r="P85" s="218">
        <f>IF(K85=0, 0, (HLOOKUP(K85,'[1]E-CESTDWO'!$A$5:$O$35,J85+1,FALSE)*R35))</f>
        <v>0</v>
      </c>
      <c r="Q85" s="218">
        <f>IF(K85=0, 0, (HLOOKUP(K85,'[1]E-CESTD'!$A$5:$O$35,J85+1,FALSE)*R35))</f>
        <v>0</v>
      </c>
      <c r="R85" s="292">
        <v>1.081</v>
      </c>
      <c r="S85" s="293">
        <f t="shared" si="10"/>
        <v>0</v>
      </c>
      <c r="T85" s="293">
        <f t="shared" si="10"/>
        <v>0</v>
      </c>
      <c r="U85" s="293">
        <f t="shared" si="10"/>
        <v>0</v>
      </c>
      <c r="V85" s="338" t="e">
        <f t="shared" si="11"/>
        <v>#DIV/0!</v>
      </c>
      <c r="W85" s="338" t="e">
        <f t="shared" si="12"/>
        <v>#DIV/0!</v>
      </c>
      <c r="X85" s="338" t="e">
        <f t="shared" si="13"/>
        <v>#DIV/0!</v>
      </c>
    </row>
    <row r="86" spans="2:24" ht="13.8" x14ac:dyDescent="0.3">
      <c r="B86" s="296"/>
      <c r="C86" s="296" t="s">
        <v>234</v>
      </c>
      <c r="D86" s="299">
        <v>0</v>
      </c>
      <c r="E86" s="296" t="s">
        <v>206</v>
      </c>
      <c r="F86" s="296" t="s">
        <v>211</v>
      </c>
      <c r="G86" s="297"/>
      <c r="H86" s="297"/>
      <c r="I86" s="326">
        <v>0</v>
      </c>
      <c r="J86" s="267"/>
      <c r="K86" s="267"/>
      <c r="L86" s="291" t="e">
        <f t="shared" si="14"/>
        <v>#DIV/0!</v>
      </c>
      <c r="M86" s="291" t="e">
        <f t="shared" si="14"/>
        <v>#DIV/0!</v>
      </c>
      <c r="N86" s="218">
        <f t="shared" si="15"/>
        <v>0</v>
      </c>
      <c r="O86" s="218">
        <f t="shared" si="16"/>
        <v>0</v>
      </c>
      <c r="P86" s="218">
        <f>IF(K86=0, 0, (HLOOKUP(K86,'[1]E-CESTDWO'!$A$5:$O$35,J86+1,FALSE)*R36))</f>
        <v>0</v>
      </c>
      <c r="Q86" s="218">
        <f>IF(K86=0, 0, (HLOOKUP(K86,'[1]E-CESTD'!$A$5:$O$35,J86+1,FALSE)*R36))</f>
        <v>0</v>
      </c>
      <c r="R86" s="292">
        <v>1.081</v>
      </c>
      <c r="S86" s="293">
        <f t="shared" si="10"/>
        <v>0</v>
      </c>
      <c r="T86" s="293">
        <f t="shared" si="10"/>
        <v>0</v>
      </c>
      <c r="U86" s="293">
        <f t="shared" si="10"/>
        <v>0</v>
      </c>
      <c r="V86" s="338" t="e">
        <f t="shared" si="11"/>
        <v>#DIV/0!</v>
      </c>
      <c r="W86" s="338" t="e">
        <f t="shared" si="12"/>
        <v>#DIV/0!</v>
      </c>
      <c r="X86" s="338" t="e">
        <f t="shared" si="13"/>
        <v>#DIV/0!</v>
      </c>
    </row>
    <row r="87" spans="2:24" ht="13.8" x14ac:dyDescent="0.3">
      <c r="B87" s="296"/>
      <c r="C87" s="296" t="s">
        <v>235</v>
      </c>
      <c r="D87" s="299">
        <v>0</v>
      </c>
      <c r="E87" s="296" t="s">
        <v>206</v>
      </c>
      <c r="F87" s="296" t="s">
        <v>211</v>
      </c>
      <c r="G87" s="297"/>
      <c r="H87" s="297"/>
      <c r="I87" s="326">
        <v>0</v>
      </c>
      <c r="J87" s="267"/>
      <c r="K87" s="267"/>
      <c r="L87" s="291" t="e">
        <f t="shared" si="14"/>
        <v>#DIV/0!</v>
      </c>
      <c r="M87" s="291" t="e">
        <f t="shared" si="14"/>
        <v>#DIV/0!</v>
      </c>
      <c r="N87" s="218">
        <f t="shared" si="15"/>
        <v>0</v>
      </c>
      <c r="O87" s="218">
        <f t="shared" si="16"/>
        <v>0</v>
      </c>
      <c r="P87" s="218">
        <f>IF(K87=0, 0, (HLOOKUP(K87,'[1]E-CESTDWO'!$A$5:$O$35,J87+1,FALSE)*R37))</f>
        <v>0</v>
      </c>
      <c r="Q87" s="218">
        <f>IF(K87=0, 0, (HLOOKUP(K87,'[1]E-CESTD'!$A$5:$O$35,J87+1,FALSE)*R37))</f>
        <v>0</v>
      </c>
      <c r="R87" s="292">
        <v>1.081</v>
      </c>
      <c r="S87" s="293">
        <f t="shared" si="10"/>
        <v>0</v>
      </c>
      <c r="T87" s="293">
        <f t="shared" si="10"/>
        <v>0</v>
      </c>
      <c r="U87" s="293">
        <f t="shared" si="10"/>
        <v>0</v>
      </c>
      <c r="V87" s="338" t="e">
        <f t="shared" si="11"/>
        <v>#DIV/0!</v>
      </c>
      <c r="W87" s="338" t="e">
        <f t="shared" si="12"/>
        <v>#DIV/0!</v>
      </c>
      <c r="X87" s="338" t="e">
        <f t="shared" si="13"/>
        <v>#DIV/0!</v>
      </c>
    </row>
    <row r="88" spans="2:24" ht="13.8" x14ac:dyDescent="0.3">
      <c r="B88" s="296"/>
      <c r="C88" s="296" t="s">
        <v>236</v>
      </c>
      <c r="D88" s="299">
        <v>0</v>
      </c>
      <c r="E88" s="296" t="s">
        <v>206</v>
      </c>
      <c r="F88" s="296" t="s">
        <v>211</v>
      </c>
      <c r="G88" s="297"/>
      <c r="H88" s="297"/>
      <c r="I88" s="326">
        <v>0</v>
      </c>
      <c r="J88" s="267"/>
      <c r="K88" s="267"/>
      <c r="L88" s="291" t="e">
        <f t="shared" si="14"/>
        <v>#DIV/0!</v>
      </c>
      <c r="M88" s="291" t="e">
        <f t="shared" si="14"/>
        <v>#DIV/0!</v>
      </c>
      <c r="N88" s="218">
        <f t="shared" si="15"/>
        <v>0</v>
      </c>
      <c r="O88" s="218">
        <f t="shared" si="16"/>
        <v>0</v>
      </c>
      <c r="P88" s="218">
        <f>IF(K88=0, 0, (HLOOKUP(K88,'[1]E-CESTDWO'!$A$5:$O$35,J88+1,FALSE)*R38))</f>
        <v>0</v>
      </c>
      <c r="Q88" s="218">
        <f>IF(K88=0, 0, (HLOOKUP(K88,'[1]E-CESTD'!$A$5:$O$35,J88+1,FALSE)*R38))</f>
        <v>0</v>
      </c>
      <c r="R88" s="292">
        <v>1.081</v>
      </c>
      <c r="S88" s="293">
        <f t="shared" si="10"/>
        <v>0</v>
      </c>
      <c r="T88" s="293">
        <f t="shared" si="10"/>
        <v>0</v>
      </c>
      <c r="U88" s="293">
        <f t="shared" si="10"/>
        <v>0</v>
      </c>
      <c r="V88" s="338" t="e">
        <f t="shared" si="11"/>
        <v>#DIV/0!</v>
      </c>
      <c r="W88" s="338" t="e">
        <f t="shared" si="12"/>
        <v>#DIV/0!</v>
      </c>
      <c r="X88" s="338" t="e">
        <f t="shared" si="13"/>
        <v>#DIV/0!</v>
      </c>
    </row>
    <row r="89" spans="2:24" ht="13.8" x14ac:dyDescent="0.3">
      <c r="B89" s="296"/>
      <c r="C89" s="296" t="s">
        <v>237</v>
      </c>
      <c r="D89" s="299">
        <v>0</v>
      </c>
      <c r="E89" s="296" t="s">
        <v>206</v>
      </c>
      <c r="F89" s="296" t="s">
        <v>211</v>
      </c>
      <c r="G89" s="297"/>
      <c r="H89" s="297"/>
      <c r="I89" s="326">
        <v>0</v>
      </c>
      <c r="J89" s="267"/>
      <c r="K89" s="267"/>
      <c r="L89" s="291" t="e">
        <f t="shared" si="14"/>
        <v>#DIV/0!</v>
      </c>
      <c r="M89" s="291" t="e">
        <f t="shared" si="14"/>
        <v>#DIV/0!</v>
      </c>
      <c r="N89" s="218">
        <f t="shared" si="15"/>
        <v>0</v>
      </c>
      <c r="O89" s="218">
        <f t="shared" si="16"/>
        <v>0</v>
      </c>
      <c r="P89" s="218">
        <f>IF(K89=0, 0, (HLOOKUP(K89,'[1]E-CESTDWO'!$A$5:$O$35,J89+1,FALSE)*R39))</f>
        <v>0</v>
      </c>
      <c r="Q89" s="218">
        <f>IF(K89=0, 0, (HLOOKUP(K89,'[1]E-CESTD'!$A$5:$O$35,J89+1,FALSE)*R39))</f>
        <v>0</v>
      </c>
      <c r="R89" s="292">
        <v>1.081</v>
      </c>
      <c r="S89" s="293">
        <f t="shared" si="10"/>
        <v>0</v>
      </c>
      <c r="T89" s="293">
        <f t="shared" si="10"/>
        <v>0</v>
      </c>
      <c r="U89" s="293">
        <f t="shared" si="10"/>
        <v>0</v>
      </c>
      <c r="V89" s="338" t="e">
        <f t="shared" si="11"/>
        <v>#DIV/0!</v>
      </c>
      <c r="W89" s="338" t="e">
        <f t="shared" si="12"/>
        <v>#DIV/0!</v>
      </c>
      <c r="X89" s="338" t="e">
        <f t="shared" si="13"/>
        <v>#DIV/0!</v>
      </c>
    </row>
    <row r="90" spans="2:24" ht="13.8" x14ac:dyDescent="0.3">
      <c r="B90" s="296"/>
      <c r="C90" s="296" t="s">
        <v>238</v>
      </c>
      <c r="D90" s="299">
        <v>0</v>
      </c>
      <c r="E90" s="296" t="s">
        <v>206</v>
      </c>
      <c r="F90" s="296" t="s">
        <v>211</v>
      </c>
      <c r="G90" s="297"/>
      <c r="H90" s="297"/>
      <c r="I90" s="326">
        <v>0</v>
      </c>
      <c r="J90" s="267"/>
      <c r="K90" s="267"/>
      <c r="L90" s="291" t="e">
        <f t="shared" si="14"/>
        <v>#DIV/0!</v>
      </c>
      <c r="M90" s="291" t="e">
        <f t="shared" si="14"/>
        <v>#DIV/0!</v>
      </c>
      <c r="N90" s="218">
        <f t="shared" si="15"/>
        <v>0</v>
      </c>
      <c r="O90" s="218">
        <f t="shared" si="16"/>
        <v>0</v>
      </c>
      <c r="P90" s="218">
        <f>IF(K90=0, 0, (HLOOKUP(K90,'[1]E-CESTDWO'!$A$5:$O$35,J90+1,FALSE)*R40))</f>
        <v>0</v>
      </c>
      <c r="Q90" s="218">
        <f>IF(K90=0, 0, (HLOOKUP(K90,'[1]E-CESTD'!$A$5:$O$35,J90+1,FALSE)*R40))</f>
        <v>0</v>
      </c>
      <c r="R90" s="292">
        <v>1.081</v>
      </c>
      <c r="S90" s="293">
        <f t="shared" si="10"/>
        <v>0</v>
      </c>
      <c r="T90" s="293">
        <f t="shared" si="10"/>
        <v>0</v>
      </c>
      <c r="U90" s="293">
        <f t="shared" si="10"/>
        <v>0</v>
      </c>
      <c r="V90" s="338" t="e">
        <f t="shared" si="11"/>
        <v>#DIV/0!</v>
      </c>
      <c r="W90" s="338" t="e">
        <f t="shared" si="12"/>
        <v>#DIV/0!</v>
      </c>
      <c r="X90" s="338" t="e">
        <f t="shared" si="13"/>
        <v>#DIV/0!</v>
      </c>
    </row>
    <row r="91" spans="2:24" ht="13.8" x14ac:dyDescent="0.3">
      <c r="B91" s="296"/>
      <c r="C91" s="296" t="s">
        <v>239</v>
      </c>
      <c r="D91" s="299">
        <v>0</v>
      </c>
      <c r="E91" s="296" t="s">
        <v>206</v>
      </c>
      <c r="F91" s="296" t="s">
        <v>211</v>
      </c>
      <c r="G91" s="297"/>
      <c r="H91" s="297"/>
      <c r="I91" s="326">
        <v>0</v>
      </c>
      <c r="J91" s="267"/>
      <c r="K91" s="267"/>
      <c r="L91" s="291" t="e">
        <f t="shared" si="14"/>
        <v>#DIV/0!</v>
      </c>
      <c r="M91" s="291" t="e">
        <f t="shared" si="14"/>
        <v>#DIV/0!</v>
      </c>
      <c r="N91" s="218">
        <f t="shared" si="15"/>
        <v>0</v>
      </c>
      <c r="O91" s="218">
        <f t="shared" si="16"/>
        <v>0</v>
      </c>
      <c r="P91" s="218">
        <f>IF(K91=0, 0, (HLOOKUP(K91,'[1]E-CESTDWO'!$A$5:$O$35,J91+1,FALSE)*R41))</f>
        <v>0</v>
      </c>
      <c r="Q91" s="218">
        <f>IF(K91=0, 0, (HLOOKUP(K91,'[1]E-CESTD'!$A$5:$O$35,J91+1,FALSE)*R41))</f>
        <v>0</v>
      </c>
      <c r="R91" s="292">
        <v>1.081</v>
      </c>
      <c r="S91" s="293">
        <f t="shared" si="10"/>
        <v>0</v>
      </c>
      <c r="T91" s="293">
        <f t="shared" si="10"/>
        <v>0</v>
      </c>
      <c r="U91" s="293">
        <f t="shared" si="10"/>
        <v>0</v>
      </c>
      <c r="V91" s="338" t="e">
        <f t="shared" si="11"/>
        <v>#DIV/0!</v>
      </c>
      <c r="W91" s="338" t="e">
        <f t="shared" si="12"/>
        <v>#DIV/0!</v>
      </c>
      <c r="X91" s="338" t="e">
        <f t="shared" si="13"/>
        <v>#DIV/0!</v>
      </c>
    </row>
    <row r="92" spans="2:24" ht="13.8" x14ac:dyDescent="0.3">
      <c r="B92" s="296"/>
      <c r="C92" s="296" t="s">
        <v>240</v>
      </c>
      <c r="D92" s="299">
        <v>0</v>
      </c>
      <c r="E92" s="296" t="s">
        <v>206</v>
      </c>
      <c r="F92" s="296" t="s">
        <v>211</v>
      </c>
      <c r="G92" s="297"/>
      <c r="H92" s="297"/>
      <c r="I92" s="326">
        <v>0</v>
      </c>
      <c r="J92" s="267"/>
      <c r="K92" s="267"/>
      <c r="L92" s="291" t="e">
        <f t="shared" si="14"/>
        <v>#DIV/0!</v>
      </c>
      <c r="M92" s="291" t="e">
        <f t="shared" si="14"/>
        <v>#DIV/0!</v>
      </c>
      <c r="N92" s="218">
        <f t="shared" si="15"/>
        <v>0</v>
      </c>
      <c r="O92" s="218">
        <f t="shared" si="16"/>
        <v>0</v>
      </c>
      <c r="P92" s="218">
        <f>IF(K92=0, 0, (HLOOKUP(K92,'[1]E-CESTDWO'!$A$5:$O$35,J92+1,FALSE)*R42))</f>
        <v>0</v>
      </c>
      <c r="Q92" s="218">
        <f>IF(K92=0, 0, (HLOOKUP(K92,'[1]E-CESTD'!$A$5:$O$35,J92+1,FALSE)*R42))</f>
        <v>0</v>
      </c>
      <c r="R92" s="292">
        <v>1.081</v>
      </c>
      <c r="S92" s="293">
        <f t="shared" si="10"/>
        <v>0</v>
      </c>
      <c r="T92" s="293">
        <f t="shared" si="10"/>
        <v>0</v>
      </c>
      <c r="U92" s="293">
        <f t="shared" si="10"/>
        <v>0</v>
      </c>
      <c r="V92" s="338" t="e">
        <f t="shared" si="11"/>
        <v>#DIV/0!</v>
      </c>
      <c r="W92" s="338" t="e">
        <f t="shared" si="12"/>
        <v>#DIV/0!</v>
      </c>
      <c r="X92" s="338" t="e">
        <f t="shared" si="13"/>
        <v>#DIV/0!</v>
      </c>
    </row>
    <row r="93" spans="2:24" ht="13.8" x14ac:dyDescent="0.3">
      <c r="B93" s="296"/>
      <c r="C93" s="296" t="s">
        <v>241</v>
      </c>
      <c r="D93" s="299">
        <v>0</v>
      </c>
      <c r="E93" s="296" t="s">
        <v>206</v>
      </c>
      <c r="F93" s="296" t="s">
        <v>211</v>
      </c>
      <c r="G93" s="297"/>
      <c r="H93" s="297"/>
      <c r="I93" s="326">
        <v>0</v>
      </c>
      <c r="J93" s="267"/>
      <c r="K93" s="267"/>
      <c r="L93" s="291" t="e">
        <f t="shared" si="14"/>
        <v>#DIV/0!</v>
      </c>
      <c r="M93" s="291" t="e">
        <f t="shared" si="14"/>
        <v>#DIV/0!</v>
      </c>
      <c r="N93" s="218">
        <f t="shared" si="15"/>
        <v>0</v>
      </c>
      <c r="O93" s="218">
        <f t="shared" si="16"/>
        <v>0</v>
      </c>
      <c r="P93" s="218">
        <f>IF(K93=0, 0, (HLOOKUP(K93,'[1]E-CESTDWO'!$A$5:$O$35,J93+1,FALSE)*R43))</f>
        <v>0</v>
      </c>
      <c r="Q93" s="218">
        <f>IF(K93=0, 0, (HLOOKUP(K93,'[1]E-CESTD'!$A$5:$O$35,J93+1,FALSE)*R43))</f>
        <v>0</v>
      </c>
      <c r="R93" s="292">
        <v>1.081</v>
      </c>
      <c r="S93" s="293">
        <f t="shared" si="10"/>
        <v>0</v>
      </c>
      <c r="T93" s="293">
        <f t="shared" si="10"/>
        <v>0</v>
      </c>
      <c r="U93" s="293">
        <f t="shared" si="10"/>
        <v>0</v>
      </c>
      <c r="V93" s="338" t="e">
        <f t="shared" si="11"/>
        <v>#DIV/0!</v>
      </c>
      <c r="W93" s="338" t="e">
        <f t="shared" si="12"/>
        <v>#DIV/0!</v>
      </c>
      <c r="X93" s="338" t="e">
        <f t="shared" si="13"/>
        <v>#DIV/0!</v>
      </c>
    </row>
    <row r="94" spans="2:24" ht="13.8" x14ac:dyDescent="0.3">
      <c r="B94" s="296"/>
      <c r="C94" s="296" t="s">
        <v>242</v>
      </c>
      <c r="D94" s="299">
        <v>0</v>
      </c>
      <c r="E94" s="296" t="s">
        <v>206</v>
      </c>
      <c r="F94" s="296" t="s">
        <v>211</v>
      </c>
      <c r="G94" s="297"/>
      <c r="H94" s="297"/>
      <c r="I94" s="326">
        <v>0</v>
      </c>
      <c r="J94" s="267"/>
      <c r="K94" s="267"/>
      <c r="L94" s="291" t="e">
        <f t="shared" si="14"/>
        <v>#DIV/0!</v>
      </c>
      <c r="M94" s="291" t="e">
        <f t="shared" si="14"/>
        <v>#DIV/0!</v>
      </c>
      <c r="N94" s="218">
        <f t="shared" si="15"/>
        <v>0</v>
      </c>
      <c r="O94" s="218">
        <f t="shared" si="16"/>
        <v>0</v>
      </c>
      <c r="P94" s="218">
        <f>IF(K94=0, 0, (HLOOKUP(K94,'[1]E-CESTDWO'!$A$5:$O$35,J94+1,FALSE)*R44))</f>
        <v>0</v>
      </c>
      <c r="Q94" s="218">
        <f>IF(K94=0, 0, (HLOOKUP(K94,'[1]E-CESTD'!$A$5:$O$35,J94+1,FALSE)*R44))</f>
        <v>0</v>
      </c>
      <c r="R94" s="292">
        <v>1.081</v>
      </c>
      <c r="S94" s="293">
        <f t="shared" si="10"/>
        <v>0</v>
      </c>
      <c r="T94" s="293">
        <f t="shared" si="10"/>
        <v>0</v>
      </c>
      <c r="U94" s="293">
        <f t="shared" si="10"/>
        <v>0</v>
      </c>
      <c r="V94" s="338" t="e">
        <f t="shared" si="11"/>
        <v>#DIV/0!</v>
      </c>
      <c r="W94" s="338" t="e">
        <f t="shared" si="12"/>
        <v>#DIV/0!</v>
      </c>
      <c r="X94" s="338" t="e">
        <f t="shared" si="13"/>
        <v>#DIV/0!</v>
      </c>
    </row>
    <row r="95" spans="2:24" ht="13.8" x14ac:dyDescent="0.3">
      <c r="B95" s="296"/>
      <c r="C95" s="296" t="s">
        <v>243</v>
      </c>
      <c r="D95" s="299">
        <v>0</v>
      </c>
      <c r="E95" s="296" t="s">
        <v>206</v>
      </c>
      <c r="F95" s="296" t="s">
        <v>211</v>
      </c>
      <c r="G95" s="297"/>
      <c r="H95" s="297"/>
      <c r="I95" s="326">
        <v>0</v>
      </c>
      <c r="J95" s="267"/>
      <c r="K95" s="267"/>
      <c r="L95" s="291" t="e">
        <f t="shared" si="14"/>
        <v>#DIV/0!</v>
      </c>
      <c r="M95" s="291" t="e">
        <f t="shared" si="14"/>
        <v>#DIV/0!</v>
      </c>
      <c r="N95" s="218">
        <f t="shared" si="15"/>
        <v>0</v>
      </c>
      <c r="O95" s="218">
        <f t="shared" si="16"/>
        <v>0</v>
      </c>
      <c r="P95" s="218">
        <f>IF(K95=0, 0, (HLOOKUP(K95,'[1]E-CESTDWO'!$A$5:$O$35,J95+1,FALSE)*R45))</f>
        <v>0</v>
      </c>
      <c r="Q95" s="218">
        <f>IF(K95=0, 0, (HLOOKUP(K95,'[1]E-CESTD'!$A$5:$O$35,J95+1,FALSE)*R45))</f>
        <v>0</v>
      </c>
      <c r="R95" s="292">
        <v>1.081</v>
      </c>
      <c r="S95" s="293">
        <f t="shared" si="10"/>
        <v>0</v>
      </c>
      <c r="T95" s="293">
        <f t="shared" si="10"/>
        <v>0</v>
      </c>
      <c r="U95" s="293">
        <f t="shared" si="10"/>
        <v>0</v>
      </c>
      <c r="V95" s="338" t="e">
        <f t="shared" si="11"/>
        <v>#DIV/0!</v>
      </c>
      <c r="W95" s="338" t="e">
        <f t="shared" si="12"/>
        <v>#DIV/0!</v>
      </c>
      <c r="X95" s="338" t="e">
        <f t="shared" si="13"/>
        <v>#DIV/0!</v>
      </c>
    </row>
    <row r="96" spans="2:24" ht="13.8" x14ac:dyDescent="0.3">
      <c r="B96" s="296"/>
      <c r="C96" s="296" t="s">
        <v>244</v>
      </c>
      <c r="D96" s="299">
        <v>0</v>
      </c>
      <c r="E96" s="296" t="s">
        <v>206</v>
      </c>
      <c r="F96" s="296" t="s">
        <v>211</v>
      </c>
      <c r="G96" s="297"/>
      <c r="H96" s="297"/>
      <c r="I96" s="326">
        <v>0</v>
      </c>
      <c r="J96" s="267"/>
      <c r="K96" s="267"/>
      <c r="L96" s="291" t="e">
        <f t="shared" si="14"/>
        <v>#DIV/0!</v>
      </c>
      <c r="M96" s="291" t="e">
        <f t="shared" si="14"/>
        <v>#DIV/0!</v>
      </c>
      <c r="N96" s="218">
        <f t="shared" si="15"/>
        <v>0</v>
      </c>
      <c r="O96" s="218">
        <f t="shared" si="16"/>
        <v>0</v>
      </c>
      <c r="P96" s="218">
        <f>IF(K96=0, 0, (HLOOKUP(K96,'[1]E-CESTDWO'!$A$5:$O$35,J96+1,FALSE)*R46))</f>
        <v>0</v>
      </c>
      <c r="Q96" s="218">
        <f>IF(K96=0, 0, (HLOOKUP(K96,'[1]E-CESTD'!$A$5:$O$35,J96+1,FALSE)*R46))</f>
        <v>0</v>
      </c>
      <c r="R96" s="292">
        <v>1.081</v>
      </c>
      <c r="S96" s="293">
        <f t="shared" si="10"/>
        <v>0</v>
      </c>
      <c r="T96" s="293">
        <f t="shared" si="10"/>
        <v>0</v>
      </c>
      <c r="U96" s="293">
        <f t="shared" si="10"/>
        <v>0</v>
      </c>
      <c r="V96" s="338" t="e">
        <f t="shared" si="11"/>
        <v>#DIV/0!</v>
      </c>
      <c r="W96" s="338" t="e">
        <f t="shared" si="12"/>
        <v>#DIV/0!</v>
      </c>
      <c r="X96" s="338" t="e">
        <f t="shared" si="13"/>
        <v>#DIV/0!</v>
      </c>
    </row>
    <row r="97" spans="2:24" ht="13.8" x14ac:dyDescent="0.3">
      <c r="B97" s="296"/>
      <c r="C97" s="296" t="s">
        <v>245</v>
      </c>
      <c r="D97" s="299">
        <v>0</v>
      </c>
      <c r="E97" s="296" t="s">
        <v>206</v>
      </c>
      <c r="F97" s="296" t="s">
        <v>211</v>
      </c>
      <c r="G97" s="297"/>
      <c r="H97" s="297"/>
      <c r="I97" s="326">
        <v>0</v>
      </c>
      <c r="J97" s="267"/>
      <c r="K97" s="267"/>
      <c r="L97" s="291" t="e">
        <f t="shared" si="14"/>
        <v>#DIV/0!</v>
      </c>
      <c r="M97" s="291" t="e">
        <f t="shared" si="14"/>
        <v>#DIV/0!</v>
      </c>
      <c r="N97" s="218">
        <f t="shared" si="15"/>
        <v>0</v>
      </c>
      <c r="O97" s="218">
        <f t="shared" si="16"/>
        <v>0</v>
      </c>
      <c r="P97" s="218">
        <f>IF(K97=0, 0, (HLOOKUP(K97,'[1]E-CESTDWO'!$A$5:$O$35,J97+1,FALSE)*R47))</f>
        <v>0</v>
      </c>
      <c r="Q97" s="218">
        <f>IF(K97=0, 0, (HLOOKUP(K97,'[1]E-CESTD'!$A$5:$O$35,J97+1,FALSE)*R47))</f>
        <v>0</v>
      </c>
      <c r="R97" s="292">
        <v>1.081</v>
      </c>
      <c r="S97" s="293">
        <f t="shared" si="10"/>
        <v>0</v>
      </c>
      <c r="T97" s="293">
        <f t="shared" si="10"/>
        <v>0</v>
      </c>
      <c r="U97" s="293">
        <f t="shared" si="10"/>
        <v>0</v>
      </c>
      <c r="V97" s="338" t="e">
        <f t="shared" si="11"/>
        <v>#DIV/0!</v>
      </c>
      <c r="W97" s="338" t="e">
        <f t="shared" si="12"/>
        <v>#DIV/0!</v>
      </c>
      <c r="X97" s="338" t="e">
        <f t="shared" si="13"/>
        <v>#DIV/0!</v>
      </c>
    </row>
    <row r="98" spans="2:24" ht="13.8" x14ac:dyDescent="0.3">
      <c r="B98" s="296"/>
      <c r="C98" s="296" t="s">
        <v>246</v>
      </c>
      <c r="D98" s="299">
        <v>0</v>
      </c>
      <c r="E98" s="296" t="s">
        <v>206</v>
      </c>
      <c r="F98" s="296" t="s">
        <v>211</v>
      </c>
      <c r="G98" s="297"/>
      <c r="H98" s="297"/>
      <c r="I98" s="326">
        <v>0</v>
      </c>
      <c r="J98" s="267"/>
      <c r="K98" s="267"/>
      <c r="L98" s="291" t="e">
        <f t="shared" si="14"/>
        <v>#DIV/0!</v>
      </c>
      <c r="M98" s="291" t="e">
        <f t="shared" si="14"/>
        <v>#DIV/0!</v>
      </c>
      <c r="N98" s="218">
        <f t="shared" si="15"/>
        <v>0</v>
      </c>
      <c r="O98" s="218">
        <f t="shared" si="16"/>
        <v>0</v>
      </c>
      <c r="P98" s="218">
        <f>IF(K98=0, 0, (HLOOKUP(K98,'[1]E-CESTDWO'!$A$5:$O$35,J98+1,FALSE)*R48))</f>
        <v>0</v>
      </c>
      <c r="Q98" s="218">
        <f>IF(K98=0, 0, (HLOOKUP(K98,'[1]E-CESTD'!$A$5:$O$35,J98+1,FALSE)*R48))</f>
        <v>0</v>
      </c>
      <c r="R98" s="292">
        <v>1.081</v>
      </c>
      <c r="S98" s="293">
        <f t="shared" si="10"/>
        <v>0</v>
      </c>
      <c r="T98" s="293">
        <f t="shared" si="10"/>
        <v>0</v>
      </c>
      <c r="U98" s="293">
        <f t="shared" si="10"/>
        <v>0</v>
      </c>
      <c r="V98" s="338" t="e">
        <f t="shared" si="11"/>
        <v>#DIV/0!</v>
      </c>
      <c r="W98" s="338" t="e">
        <f t="shared" si="12"/>
        <v>#DIV/0!</v>
      </c>
      <c r="X98" s="338" t="e">
        <f t="shared" si="13"/>
        <v>#DIV/0!</v>
      </c>
    </row>
    <row r="99" spans="2:24" ht="13.8" x14ac:dyDescent="0.3">
      <c r="B99" s="296"/>
      <c r="C99" s="296" t="s">
        <v>247</v>
      </c>
      <c r="D99" s="299">
        <v>0</v>
      </c>
      <c r="E99" s="296" t="s">
        <v>206</v>
      </c>
      <c r="F99" s="296" t="s">
        <v>211</v>
      </c>
      <c r="G99" s="297"/>
      <c r="H99" s="297"/>
      <c r="I99" s="326">
        <v>0</v>
      </c>
      <c r="J99" s="267"/>
      <c r="K99" s="267"/>
      <c r="L99" s="291" t="e">
        <f t="shared" si="14"/>
        <v>#DIV/0!</v>
      </c>
      <c r="M99" s="291" t="e">
        <f t="shared" si="14"/>
        <v>#DIV/0!</v>
      </c>
      <c r="N99" s="218">
        <f t="shared" si="15"/>
        <v>0</v>
      </c>
      <c r="O99" s="218">
        <f t="shared" si="16"/>
        <v>0</v>
      </c>
      <c r="P99" s="218">
        <f>IF(K99=0, 0, (HLOOKUP(K99,'[1]E-CESTDWO'!$A$5:$O$35,J99+1,FALSE)*R49))</f>
        <v>0</v>
      </c>
      <c r="Q99" s="218">
        <f>IF(K99=0, 0, (HLOOKUP(K99,'[1]E-CESTD'!$A$5:$O$35,J99+1,FALSE)*R49))</f>
        <v>0</v>
      </c>
      <c r="R99" s="292">
        <v>1.081</v>
      </c>
      <c r="S99" s="293">
        <f t="shared" si="10"/>
        <v>0</v>
      </c>
      <c r="T99" s="293">
        <f t="shared" si="10"/>
        <v>0</v>
      </c>
      <c r="U99" s="293">
        <f t="shared" si="10"/>
        <v>0</v>
      </c>
      <c r="V99" s="338" t="e">
        <f t="shared" si="11"/>
        <v>#DIV/0!</v>
      </c>
      <c r="W99" s="338" t="e">
        <f t="shared" si="12"/>
        <v>#DIV/0!</v>
      </c>
      <c r="X99" s="338" t="e">
        <f t="shared" si="13"/>
        <v>#DIV/0!</v>
      </c>
    </row>
    <row r="100" spans="2:24" ht="13.8" x14ac:dyDescent="0.3">
      <c r="B100" s="296"/>
      <c r="C100" s="296" t="s">
        <v>248</v>
      </c>
      <c r="D100" s="299">
        <v>0</v>
      </c>
      <c r="E100" s="296" t="s">
        <v>206</v>
      </c>
      <c r="F100" s="296" t="s">
        <v>211</v>
      </c>
      <c r="G100" s="297"/>
      <c r="H100" s="297"/>
      <c r="I100" s="326">
        <v>0</v>
      </c>
      <c r="J100" s="267"/>
      <c r="K100" s="267"/>
      <c r="L100" s="291" t="e">
        <f t="shared" si="14"/>
        <v>#DIV/0!</v>
      </c>
      <c r="M100" s="291"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0"/>
        <v>0</v>
      </c>
      <c r="T100" s="293">
        <f t="shared" si="10"/>
        <v>0</v>
      </c>
      <c r="U100" s="293">
        <f t="shared" si="10"/>
        <v>0</v>
      </c>
      <c r="V100" s="338" t="e">
        <f t="shared" si="11"/>
        <v>#DIV/0!</v>
      </c>
      <c r="W100" s="338" t="e">
        <f t="shared" si="12"/>
        <v>#DIV/0!</v>
      </c>
      <c r="X100" s="338" t="e">
        <f t="shared" si="13"/>
        <v>#DIV/0!</v>
      </c>
    </row>
    <row r="101" spans="2:24" ht="13.8" x14ac:dyDescent="0.3">
      <c r="B101" s="296"/>
      <c r="C101" s="296" t="s">
        <v>249</v>
      </c>
      <c r="D101" s="299">
        <v>0</v>
      </c>
      <c r="E101" s="296" t="s">
        <v>206</v>
      </c>
      <c r="F101" s="296" t="s">
        <v>211</v>
      </c>
      <c r="G101" s="297"/>
      <c r="H101" s="297"/>
      <c r="I101" s="326">
        <v>0</v>
      </c>
      <c r="J101" s="267"/>
      <c r="K101" s="267"/>
      <c r="L101" s="291" t="e">
        <f t="shared" si="14"/>
        <v>#DIV/0!</v>
      </c>
      <c r="M101" s="291"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0"/>
        <v>0</v>
      </c>
      <c r="T101" s="293">
        <f t="shared" si="10"/>
        <v>0</v>
      </c>
      <c r="U101" s="293">
        <f t="shared" si="10"/>
        <v>0</v>
      </c>
      <c r="V101" s="338" t="e">
        <f t="shared" si="11"/>
        <v>#DIV/0!</v>
      </c>
      <c r="W101" s="338" t="e">
        <f t="shared" si="12"/>
        <v>#DIV/0!</v>
      </c>
      <c r="X101" s="338" t="e">
        <f t="shared" si="13"/>
        <v>#DIV/0!</v>
      </c>
    </row>
    <row r="102" spans="2:24" ht="13.8" x14ac:dyDescent="0.3">
      <c r="B102" s="296"/>
      <c r="C102" s="296" t="s">
        <v>250</v>
      </c>
      <c r="D102" s="299">
        <v>0</v>
      </c>
      <c r="E102" s="296" t="s">
        <v>206</v>
      </c>
      <c r="F102" s="296" t="s">
        <v>211</v>
      </c>
      <c r="G102" s="297"/>
      <c r="H102" s="297"/>
      <c r="I102" s="326">
        <v>0</v>
      </c>
      <c r="J102" s="267"/>
      <c r="K102" s="267"/>
      <c r="L102" s="291" t="e">
        <f t="shared" si="14"/>
        <v>#DIV/0!</v>
      </c>
      <c r="M102" s="291"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0"/>
        <v>0</v>
      </c>
      <c r="T102" s="293">
        <f t="shared" si="10"/>
        <v>0</v>
      </c>
      <c r="U102" s="293">
        <f t="shared" si="10"/>
        <v>0</v>
      </c>
      <c r="V102" s="338" t="e">
        <f t="shared" si="11"/>
        <v>#DIV/0!</v>
      </c>
      <c r="W102" s="338" t="e">
        <f t="shared" si="12"/>
        <v>#DIV/0!</v>
      </c>
      <c r="X102" s="338" t="e">
        <f t="shared" si="13"/>
        <v>#DIV/0!</v>
      </c>
    </row>
    <row r="103" spans="2:24" ht="14.4" thickBot="1" x14ac:dyDescent="0.35">
      <c r="B103" s="296"/>
      <c r="C103" s="296" t="s">
        <v>251</v>
      </c>
      <c r="D103" s="299">
        <v>0</v>
      </c>
      <c r="E103" s="296" t="s">
        <v>206</v>
      </c>
      <c r="F103" s="296" t="s">
        <v>211</v>
      </c>
      <c r="G103" s="297"/>
      <c r="H103" s="297"/>
      <c r="I103" s="326">
        <v>0</v>
      </c>
      <c r="J103" s="267"/>
      <c r="K103" s="267"/>
      <c r="L103" s="291" t="e">
        <f t="shared" si="14"/>
        <v>#DIV/0!</v>
      </c>
      <c r="M103" s="291"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0"/>
        <v>0</v>
      </c>
      <c r="T103" s="293">
        <f t="shared" si="10"/>
        <v>0</v>
      </c>
      <c r="U103" s="293">
        <f t="shared" si="10"/>
        <v>0</v>
      </c>
      <c r="V103" s="338" t="e">
        <f t="shared" si="11"/>
        <v>#DIV/0!</v>
      </c>
      <c r="W103" s="338" t="e">
        <f t="shared" si="12"/>
        <v>#DIV/0!</v>
      </c>
      <c r="X103" s="338" t="e">
        <f t="shared" si="13"/>
        <v>#DIV/0!</v>
      </c>
    </row>
    <row r="104" spans="2:24" ht="14.4" thickBot="1" x14ac:dyDescent="0.35">
      <c r="G104" s="300">
        <f>SUMPRODUCT(G62:G103,O12:O53)</f>
        <v>3626918</v>
      </c>
      <c r="H104" s="301">
        <f>U104</f>
        <v>1153500</v>
      </c>
      <c r="I104" s="302">
        <f>SUM(I62:I103)</f>
        <v>1</v>
      </c>
      <c r="J104" s="303">
        <f>ROUND(SUMPRODUCT(J62:J103,R12:R53)/R54,0)</f>
        <v>30</v>
      </c>
      <c r="K104" s="274"/>
      <c r="L104" s="304">
        <f>P104/N104</f>
        <v>6.7042714055399459</v>
      </c>
      <c r="M104" s="305">
        <f>Q104/O104</f>
        <v>2.9419910117386365</v>
      </c>
      <c r="N104" s="306">
        <f>SUM(N62:N103)</f>
        <v>1518602.4166512489</v>
      </c>
      <c r="O104" s="306">
        <f>SUM(O62:O103)</f>
        <v>3806685.6728954669</v>
      </c>
      <c r="P104" s="306">
        <f>SUM(P62:P103)</f>
        <v>10181122.758338828</v>
      </c>
      <c r="Q104" s="306">
        <f>SUM(Q62:Q103)</f>
        <v>11199235.034172706</v>
      </c>
      <c r="R104" s="307"/>
      <c r="S104" s="308">
        <f>SUM(S62:S103)</f>
        <v>562500</v>
      </c>
      <c r="T104" s="308">
        <f>SUM(T62:T103)</f>
        <v>591000</v>
      </c>
      <c r="U104" s="308">
        <f>SUM(U62:U103)</f>
        <v>1153500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31" top="0.37" bottom="0.33" header="0.3" footer="0.3"/>
  <pageSetup paperSize="17" scale="53" orientation="landscape" r:id="rId2"/>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04"/>
  <sheetViews>
    <sheetView workbookViewId="0">
      <pane xSplit="1" ySplit="1" topLeftCell="N2" activePane="bottomRight" state="frozen"/>
      <selection pane="topRight" activeCell="B1" sqref="B1"/>
      <selection pane="bottomLeft" activeCell="A2" sqref="A2"/>
      <selection pane="bottomRight" activeCell="T106" sqref="T106"/>
    </sheetView>
  </sheetViews>
  <sheetFormatPr defaultRowHeight="13.2" x14ac:dyDescent="0.25"/>
  <cols>
    <col min="1" max="1" width="15.33203125" style="3369" customWidth="1"/>
    <col min="2" max="2" width="19" customWidth="1"/>
    <col min="3" max="3" width="32" customWidth="1"/>
    <col min="4" max="4" width="15.44140625" style="19" customWidth="1"/>
    <col min="5" max="5" width="15.44140625" customWidth="1"/>
    <col min="6" max="6" width="18.332031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6.5546875" customWidth="1"/>
    <col min="17" max="17" width="17.109375" customWidth="1"/>
    <col min="18" max="18" width="18.44140625" customWidth="1"/>
    <col min="19" max="20" width="20.5546875" bestFit="1" customWidth="1"/>
    <col min="21" max="21" width="23.554687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6"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6.5546875" customWidth="1"/>
    <col min="273" max="273" width="17.109375" customWidth="1"/>
    <col min="274" max="274" width="18.44140625" customWidth="1"/>
    <col min="275" max="276" width="20.5546875" bestFit="1" customWidth="1"/>
    <col min="277" max="277" width="23.554687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6"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6.5546875" customWidth="1"/>
    <col min="529" max="529" width="17.109375" customWidth="1"/>
    <col min="530" max="530" width="18.44140625" customWidth="1"/>
    <col min="531" max="532" width="20.5546875" bestFit="1" customWidth="1"/>
    <col min="533" max="533" width="23.554687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6"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6.5546875" customWidth="1"/>
    <col min="785" max="785" width="17.109375" customWidth="1"/>
    <col min="786" max="786" width="18.44140625" customWidth="1"/>
    <col min="787" max="788" width="20.5546875" bestFit="1" customWidth="1"/>
    <col min="789" max="789" width="23.554687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6"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6.5546875" customWidth="1"/>
    <col min="1041" max="1041" width="17.109375" customWidth="1"/>
    <col min="1042" max="1042" width="18.44140625" customWidth="1"/>
    <col min="1043" max="1044" width="20.5546875" bestFit="1" customWidth="1"/>
    <col min="1045" max="1045" width="23.554687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6"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6.5546875" customWidth="1"/>
    <col min="1297" max="1297" width="17.109375" customWidth="1"/>
    <col min="1298" max="1298" width="18.44140625" customWidth="1"/>
    <col min="1299" max="1300" width="20.5546875" bestFit="1" customWidth="1"/>
    <col min="1301" max="1301" width="23.554687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6"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6.5546875" customWidth="1"/>
    <col min="1553" max="1553" width="17.109375" customWidth="1"/>
    <col min="1554" max="1554" width="18.44140625" customWidth="1"/>
    <col min="1555" max="1556" width="20.5546875" bestFit="1" customWidth="1"/>
    <col min="1557" max="1557" width="23.554687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6"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6.5546875" customWidth="1"/>
    <col min="1809" max="1809" width="17.109375" customWidth="1"/>
    <col min="1810" max="1810" width="18.44140625" customWidth="1"/>
    <col min="1811" max="1812" width="20.5546875" bestFit="1" customWidth="1"/>
    <col min="1813" max="1813" width="23.554687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6"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6.5546875" customWidth="1"/>
    <col min="2065" max="2065" width="17.109375" customWidth="1"/>
    <col min="2066" max="2066" width="18.44140625" customWidth="1"/>
    <col min="2067" max="2068" width="20.5546875" bestFit="1" customWidth="1"/>
    <col min="2069" max="2069" width="23.554687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6"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6.5546875" customWidth="1"/>
    <col min="2321" max="2321" width="17.109375" customWidth="1"/>
    <col min="2322" max="2322" width="18.44140625" customWidth="1"/>
    <col min="2323" max="2324" width="20.5546875" bestFit="1" customWidth="1"/>
    <col min="2325" max="2325" width="23.554687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6"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6.5546875" customWidth="1"/>
    <col min="2577" max="2577" width="17.109375" customWidth="1"/>
    <col min="2578" max="2578" width="18.44140625" customWidth="1"/>
    <col min="2579" max="2580" width="20.5546875" bestFit="1" customWidth="1"/>
    <col min="2581" max="2581" width="23.554687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6"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6.5546875" customWidth="1"/>
    <col min="2833" max="2833" width="17.109375" customWidth="1"/>
    <col min="2834" max="2834" width="18.44140625" customWidth="1"/>
    <col min="2835" max="2836" width="20.5546875" bestFit="1" customWidth="1"/>
    <col min="2837" max="2837" width="23.554687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6"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6.5546875" customWidth="1"/>
    <col min="3089" max="3089" width="17.109375" customWidth="1"/>
    <col min="3090" max="3090" width="18.44140625" customWidth="1"/>
    <col min="3091" max="3092" width="20.5546875" bestFit="1" customWidth="1"/>
    <col min="3093" max="3093" width="23.554687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6"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6.5546875" customWidth="1"/>
    <col min="3345" max="3345" width="17.109375" customWidth="1"/>
    <col min="3346" max="3346" width="18.44140625" customWidth="1"/>
    <col min="3347" max="3348" width="20.5546875" bestFit="1" customWidth="1"/>
    <col min="3349" max="3349" width="23.554687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6"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6.5546875" customWidth="1"/>
    <col min="3601" max="3601" width="17.109375" customWidth="1"/>
    <col min="3602" max="3602" width="18.44140625" customWidth="1"/>
    <col min="3603" max="3604" width="20.5546875" bestFit="1" customWidth="1"/>
    <col min="3605" max="3605" width="23.554687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6"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6.5546875" customWidth="1"/>
    <col min="3857" max="3857" width="17.109375" customWidth="1"/>
    <col min="3858" max="3858" width="18.44140625" customWidth="1"/>
    <col min="3859" max="3860" width="20.5546875" bestFit="1" customWidth="1"/>
    <col min="3861" max="3861" width="23.554687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6"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6.5546875" customWidth="1"/>
    <col min="4113" max="4113" width="17.109375" customWidth="1"/>
    <col min="4114" max="4114" width="18.44140625" customWidth="1"/>
    <col min="4115" max="4116" width="20.5546875" bestFit="1" customWidth="1"/>
    <col min="4117" max="4117" width="23.554687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6"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6.5546875" customWidth="1"/>
    <col min="4369" max="4369" width="17.109375" customWidth="1"/>
    <col min="4370" max="4370" width="18.44140625" customWidth="1"/>
    <col min="4371" max="4372" width="20.5546875" bestFit="1" customWidth="1"/>
    <col min="4373" max="4373" width="23.554687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6"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6.5546875" customWidth="1"/>
    <col min="4625" max="4625" width="17.109375" customWidth="1"/>
    <col min="4626" max="4626" width="18.44140625" customWidth="1"/>
    <col min="4627" max="4628" width="20.5546875" bestFit="1" customWidth="1"/>
    <col min="4629" max="4629" width="23.554687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6"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6.5546875" customWidth="1"/>
    <col min="4881" max="4881" width="17.109375" customWidth="1"/>
    <col min="4882" max="4882" width="18.44140625" customWidth="1"/>
    <col min="4883" max="4884" width="20.5546875" bestFit="1" customWidth="1"/>
    <col min="4885" max="4885" width="23.554687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6"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6.5546875" customWidth="1"/>
    <col min="5137" max="5137" width="17.109375" customWidth="1"/>
    <col min="5138" max="5138" width="18.44140625" customWidth="1"/>
    <col min="5139" max="5140" width="20.5546875" bestFit="1" customWidth="1"/>
    <col min="5141" max="5141" width="23.554687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6"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6.5546875" customWidth="1"/>
    <col min="5393" max="5393" width="17.109375" customWidth="1"/>
    <col min="5394" max="5394" width="18.44140625" customWidth="1"/>
    <col min="5395" max="5396" width="20.5546875" bestFit="1" customWidth="1"/>
    <col min="5397" max="5397" width="23.554687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6"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6.5546875" customWidth="1"/>
    <col min="5649" max="5649" width="17.109375" customWidth="1"/>
    <col min="5650" max="5650" width="18.44140625" customWidth="1"/>
    <col min="5651" max="5652" width="20.5546875" bestFit="1" customWidth="1"/>
    <col min="5653" max="5653" width="23.554687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6"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6.5546875" customWidth="1"/>
    <col min="5905" max="5905" width="17.109375" customWidth="1"/>
    <col min="5906" max="5906" width="18.44140625" customWidth="1"/>
    <col min="5907" max="5908" width="20.5546875" bestFit="1" customWidth="1"/>
    <col min="5909" max="5909" width="23.554687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6"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6.5546875" customWidth="1"/>
    <col min="6161" max="6161" width="17.109375" customWidth="1"/>
    <col min="6162" max="6162" width="18.44140625" customWidth="1"/>
    <col min="6163" max="6164" width="20.5546875" bestFit="1" customWidth="1"/>
    <col min="6165" max="6165" width="23.554687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6"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6.5546875" customWidth="1"/>
    <col min="6417" max="6417" width="17.109375" customWidth="1"/>
    <col min="6418" max="6418" width="18.44140625" customWidth="1"/>
    <col min="6419" max="6420" width="20.5546875" bestFit="1" customWidth="1"/>
    <col min="6421" max="6421" width="23.554687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6"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6.5546875" customWidth="1"/>
    <col min="6673" max="6673" width="17.109375" customWidth="1"/>
    <col min="6674" max="6674" width="18.44140625" customWidth="1"/>
    <col min="6675" max="6676" width="20.5546875" bestFit="1" customWidth="1"/>
    <col min="6677" max="6677" width="23.554687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6"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6.5546875" customWidth="1"/>
    <col min="6929" max="6929" width="17.109375" customWidth="1"/>
    <col min="6930" max="6930" width="18.44140625" customWidth="1"/>
    <col min="6931" max="6932" width="20.5546875" bestFit="1" customWidth="1"/>
    <col min="6933" max="6933" width="23.554687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6"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6.5546875" customWidth="1"/>
    <col min="7185" max="7185" width="17.109375" customWidth="1"/>
    <col min="7186" max="7186" width="18.44140625" customWidth="1"/>
    <col min="7187" max="7188" width="20.5546875" bestFit="1" customWidth="1"/>
    <col min="7189" max="7189" width="23.554687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6"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6.5546875" customWidth="1"/>
    <col min="7441" max="7441" width="17.109375" customWidth="1"/>
    <col min="7442" max="7442" width="18.44140625" customWidth="1"/>
    <col min="7443" max="7444" width="20.5546875" bestFit="1" customWidth="1"/>
    <col min="7445" max="7445" width="23.554687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6"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6.5546875" customWidth="1"/>
    <col min="7697" max="7697" width="17.109375" customWidth="1"/>
    <col min="7698" max="7698" width="18.44140625" customWidth="1"/>
    <col min="7699" max="7700" width="20.5546875" bestFit="1" customWidth="1"/>
    <col min="7701" max="7701" width="23.554687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6"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6.5546875" customWidth="1"/>
    <col min="7953" max="7953" width="17.109375" customWidth="1"/>
    <col min="7954" max="7954" width="18.44140625" customWidth="1"/>
    <col min="7955" max="7956" width="20.5546875" bestFit="1" customWidth="1"/>
    <col min="7957" max="7957" width="23.554687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6"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6.5546875" customWidth="1"/>
    <col min="8209" max="8209" width="17.109375" customWidth="1"/>
    <col min="8210" max="8210" width="18.44140625" customWidth="1"/>
    <col min="8211" max="8212" width="20.5546875" bestFit="1" customWidth="1"/>
    <col min="8213" max="8213" width="23.554687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6"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6.5546875" customWidth="1"/>
    <col min="8465" max="8465" width="17.109375" customWidth="1"/>
    <col min="8466" max="8466" width="18.44140625" customWidth="1"/>
    <col min="8467" max="8468" width="20.5546875" bestFit="1" customWidth="1"/>
    <col min="8469" max="8469" width="23.554687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6"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6.5546875" customWidth="1"/>
    <col min="8721" max="8721" width="17.109375" customWidth="1"/>
    <col min="8722" max="8722" width="18.44140625" customWidth="1"/>
    <col min="8723" max="8724" width="20.5546875" bestFit="1" customWidth="1"/>
    <col min="8725" max="8725" width="23.554687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6"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6.5546875" customWidth="1"/>
    <col min="8977" max="8977" width="17.109375" customWidth="1"/>
    <col min="8978" max="8978" width="18.44140625" customWidth="1"/>
    <col min="8979" max="8980" width="20.5546875" bestFit="1" customWidth="1"/>
    <col min="8981" max="8981" width="23.554687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6"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6.5546875" customWidth="1"/>
    <col min="9233" max="9233" width="17.109375" customWidth="1"/>
    <col min="9234" max="9234" width="18.44140625" customWidth="1"/>
    <col min="9235" max="9236" width="20.5546875" bestFit="1" customWidth="1"/>
    <col min="9237" max="9237" width="23.554687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6"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6.5546875" customWidth="1"/>
    <col min="9489" max="9489" width="17.109375" customWidth="1"/>
    <col min="9490" max="9490" width="18.44140625" customWidth="1"/>
    <col min="9491" max="9492" width="20.5546875" bestFit="1" customWidth="1"/>
    <col min="9493" max="9493" width="23.554687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6"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6.5546875" customWidth="1"/>
    <col min="9745" max="9745" width="17.109375" customWidth="1"/>
    <col min="9746" max="9746" width="18.44140625" customWidth="1"/>
    <col min="9747" max="9748" width="20.5546875" bestFit="1" customWidth="1"/>
    <col min="9749" max="9749" width="23.554687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6"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6.5546875" customWidth="1"/>
    <col min="10001" max="10001" width="17.109375" customWidth="1"/>
    <col min="10002" max="10002" width="18.44140625" customWidth="1"/>
    <col min="10003" max="10004" width="20.5546875" bestFit="1" customWidth="1"/>
    <col min="10005" max="10005" width="23.554687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6"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6.5546875" customWidth="1"/>
    <col min="10257" max="10257" width="17.109375" customWidth="1"/>
    <col min="10258" max="10258" width="18.44140625" customWidth="1"/>
    <col min="10259" max="10260" width="20.5546875" bestFit="1" customWidth="1"/>
    <col min="10261" max="10261" width="23.554687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6"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6.5546875" customWidth="1"/>
    <col min="10513" max="10513" width="17.109375" customWidth="1"/>
    <col min="10514" max="10514" width="18.44140625" customWidth="1"/>
    <col min="10515" max="10516" width="20.5546875" bestFit="1" customWidth="1"/>
    <col min="10517" max="10517" width="23.554687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6"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6.5546875" customWidth="1"/>
    <col min="10769" max="10769" width="17.109375" customWidth="1"/>
    <col min="10770" max="10770" width="18.44140625" customWidth="1"/>
    <col min="10771" max="10772" width="20.5546875" bestFit="1" customWidth="1"/>
    <col min="10773" max="10773" width="23.554687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6"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6.5546875" customWidth="1"/>
    <col min="11025" max="11025" width="17.109375" customWidth="1"/>
    <col min="11026" max="11026" width="18.44140625" customWidth="1"/>
    <col min="11027" max="11028" width="20.5546875" bestFit="1" customWidth="1"/>
    <col min="11029" max="11029" width="23.554687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6"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6.5546875" customWidth="1"/>
    <col min="11281" max="11281" width="17.109375" customWidth="1"/>
    <col min="11282" max="11282" width="18.44140625" customWidth="1"/>
    <col min="11283" max="11284" width="20.5546875" bestFit="1" customWidth="1"/>
    <col min="11285" max="11285" width="23.554687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6"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6.5546875" customWidth="1"/>
    <col min="11537" max="11537" width="17.109375" customWidth="1"/>
    <col min="11538" max="11538" width="18.44140625" customWidth="1"/>
    <col min="11539" max="11540" width="20.5546875" bestFit="1" customWidth="1"/>
    <col min="11541" max="11541" width="23.554687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6"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6.5546875" customWidth="1"/>
    <col min="11793" max="11793" width="17.109375" customWidth="1"/>
    <col min="11794" max="11794" width="18.44140625" customWidth="1"/>
    <col min="11795" max="11796" width="20.5546875" bestFit="1" customWidth="1"/>
    <col min="11797" max="11797" width="23.554687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6"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6.5546875" customWidth="1"/>
    <col min="12049" max="12049" width="17.109375" customWidth="1"/>
    <col min="12050" max="12050" width="18.44140625" customWidth="1"/>
    <col min="12051" max="12052" width="20.5546875" bestFit="1" customWidth="1"/>
    <col min="12053" max="12053" width="23.554687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6"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6.5546875" customWidth="1"/>
    <col min="12305" max="12305" width="17.109375" customWidth="1"/>
    <col min="12306" max="12306" width="18.44140625" customWidth="1"/>
    <col min="12307" max="12308" width="20.5546875" bestFit="1" customWidth="1"/>
    <col min="12309" max="12309" width="23.554687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6"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6.5546875" customWidth="1"/>
    <col min="12561" max="12561" width="17.109375" customWidth="1"/>
    <col min="12562" max="12562" width="18.44140625" customWidth="1"/>
    <col min="12563" max="12564" width="20.5546875" bestFit="1" customWidth="1"/>
    <col min="12565" max="12565" width="23.554687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6"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6.5546875" customWidth="1"/>
    <col min="12817" max="12817" width="17.109375" customWidth="1"/>
    <col min="12818" max="12818" width="18.44140625" customWidth="1"/>
    <col min="12819" max="12820" width="20.5546875" bestFit="1" customWidth="1"/>
    <col min="12821" max="12821" width="23.554687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6"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6.5546875" customWidth="1"/>
    <col min="13073" max="13073" width="17.109375" customWidth="1"/>
    <col min="13074" max="13074" width="18.44140625" customWidth="1"/>
    <col min="13075" max="13076" width="20.5546875" bestFit="1" customWidth="1"/>
    <col min="13077" max="13077" width="23.554687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6"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6.5546875" customWidth="1"/>
    <col min="13329" max="13329" width="17.109375" customWidth="1"/>
    <col min="13330" max="13330" width="18.44140625" customWidth="1"/>
    <col min="13331" max="13332" width="20.5546875" bestFit="1" customWidth="1"/>
    <col min="13333" max="13333" width="23.554687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6"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6.5546875" customWidth="1"/>
    <col min="13585" max="13585" width="17.109375" customWidth="1"/>
    <col min="13586" max="13586" width="18.44140625" customWidth="1"/>
    <col min="13587" max="13588" width="20.5546875" bestFit="1" customWidth="1"/>
    <col min="13589" max="13589" width="23.554687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6"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6.5546875" customWidth="1"/>
    <col min="13841" max="13841" width="17.109375" customWidth="1"/>
    <col min="13842" max="13842" width="18.44140625" customWidth="1"/>
    <col min="13843" max="13844" width="20.5546875" bestFit="1" customWidth="1"/>
    <col min="13845" max="13845" width="23.554687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6"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6.5546875" customWidth="1"/>
    <col min="14097" max="14097" width="17.109375" customWidth="1"/>
    <col min="14098" max="14098" width="18.44140625" customWidth="1"/>
    <col min="14099" max="14100" width="20.5546875" bestFit="1" customWidth="1"/>
    <col min="14101" max="14101" width="23.554687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6"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6.5546875" customWidth="1"/>
    <col min="14353" max="14353" width="17.109375" customWidth="1"/>
    <col min="14354" max="14354" width="18.44140625" customWidth="1"/>
    <col min="14355" max="14356" width="20.5546875" bestFit="1" customWidth="1"/>
    <col min="14357" max="14357" width="23.554687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6"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6.5546875" customWidth="1"/>
    <col min="14609" max="14609" width="17.109375" customWidth="1"/>
    <col min="14610" max="14610" width="18.44140625" customWidth="1"/>
    <col min="14611" max="14612" width="20.5546875" bestFit="1" customWidth="1"/>
    <col min="14613" max="14613" width="23.554687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6"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6.5546875" customWidth="1"/>
    <col min="14865" max="14865" width="17.109375" customWidth="1"/>
    <col min="14866" max="14866" width="18.44140625" customWidth="1"/>
    <col min="14867" max="14868" width="20.5546875" bestFit="1" customWidth="1"/>
    <col min="14869" max="14869" width="23.554687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6"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6.5546875" customWidth="1"/>
    <col min="15121" max="15121" width="17.109375" customWidth="1"/>
    <col min="15122" max="15122" width="18.44140625" customWidth="1"/>
    <col min="15123" max="15124" width="20.5546875" bestFit="1" customWidth="1"/>
    <col min="15125" max="15125" width="23.554687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6"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6.5546875" customWidth="1"/>
    <col min="15377" max="15377" width="17.109375" customWidth="1"/>
    <col min="15378" max="15378" width="18.44140625" customWidth="1"/>
    <col min="15379" max="15380" width="20.5546875" bestFit="1" customWidth="1"/>
    <col min="15381" max="15381" width="23.554687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6"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6.5546875" customWidth="1"/>
    <col min="15633" max="15633" width="17.109375" customWidth="1"/>
    <col min="15634" max="15634" width="18.44140625" customWidth="1"/>
    <col min="15635" max="15636" width="20.5546875" bestFit="1" customWidth="1"/>
    <col min="15637" max="15637" width="23.554687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6"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6.5546875" customWidth="1"/>
    <col min="15889" max="15889" width="17.109375" customWidth="1"/>
    <col min="15890" max="15890" width="18.44140625" customWidth="1"/>
    <col min="15891" max="15892" width="20.5546875" bestFit="1" customWidth="1"/>
    <col min="15893" max="15893" width="23.554687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6"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6.5546875" customWidth="1"/>
    <col min="16145" max="16145" width="17.109375" customWidth="1"/>
    <col min="16146" max="16146" width="18.44140625" customWidth="1"/>
    <col min="16147" max="16148" width="20.5546875" bestFit="1" customWidth="1"/>
    <col min="16149" max="16149" width="23.554687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18230407</v>
      </c>
      <c r="H1" s="202" t="str">
        <f>C4</f>
        <v>Multi-Family Retrofit Elect</v>
      </c>
      <c r="I1" s="202"/>
    </row>
    <row r="2" spans="2:22" ht="16.2" thickBot="1" x14ac:dyDescent="0.35">
      <c r="B2" s="202" t="s">
        <v>131</v>
      </c>
      <c r="C2" s="203" t="s">
        <v>564</v>
      </c>
      <c r="G2" s="204" t="s">
        <v>8</v>
      </c>
      <c r="Q2" s="4765"/>
      <c r="R2" s="4765"/>
      <c r="S2" s="4762" t="s">
        <v>132</v>
      </c>
      <c r="T2" s="4763"/>
      <c r="U2" s="4764"/>
      <c r="V2" s="4766" t="s">
        <v>133</v>
      </c>
    </row>
    <row r="3" spans="2:22" ht="16.2" thickBot="1" x14ac:dyDescent="0.35">
      <c r="B3" s="203" t="s">
        <v>6</v>
      </c>
      <c r="C3" s="203">
        <v>18230407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565</v>
      </c>
      <c r="F4" s="202">
        <v>2011</v>
      </c>
      <c r="G4" s="210">
        <f>B12</f>
        <v>120756</v>
      </c>
      <c r="H4" s="211">
        <f>B17</f>
        <v>64569</v>
      </c>
      <c r="I4" s="211">
        <f>B22</f>
        <v>120461</v>
      </c>
      <c r="J4" s="211">
        <f>B27</f>
        <v>55193</v>
      </c>
      <c r="K4" s="211">
        <f>B32</f>
        <v>6340</v>
      </c>
      <c r="L4" s="211">
        <f>B37</f>
        <v>618552</v>
      </c>
      <c r="M4" s="211">
        <f>B42</f>
        <v>480</v>
      </c>
      <c r="N4" s="211">
        <f>B47</f>
        <v>11155</v>
      </c>
      <c r="O4" s="211">
        <f>B52</f>
        <v>4248785</v>
      </c>
      <c r="P4" s="211">
        <f>B53</f>
        <v>0</v>
      </c>
      <c r="Q4" s="213">
        <f>B54</f>
        <v>5246291</v>
      </c>
      <c r="R4" s="214">
        <f>T54</f>
        <v>17462539</v>
      </c>
      <c r="S4" s="331">
        <f>O4/Q4</f>
        <v>0.80986453096101607</v>
      </c>
      <c r="T4" s="331">
        <f>(J4+(H4*1.63))/Q4</f>
        <v>3.0581694763024005E-2</v>
      </c>
      <c r="U4" s="331">
        <f>L4/Q4</f>
        <v>0.11790272403875424</v>
      </c>
      <c r="V4" s="216">
        <f>Q4/R4</f>
        <v>0.30043116868629471</v>
      </c>
    </row>
    <row r="5" spans="2:22" ht="16.2" thickBot="1" x14ac:dyDescent="0.35">
      <c r="B5" s="202" t="s">
        <v>34</v>
      </c>
      <c r="F5" s="202">
        <v>2012</v>
      </c>
      <c r="G5" s="217">
        <f>D12</f>
        <v>361185.3</v>
      </c>
      <c r="H5" s="218">
        <f>D17</f>
        <v>82800</v>
      </c>
      <c r="I5" s="218">
        <f>D22</f>
        <v>279710.739</v>
      </c>
      <c r="J5" s="218">
        <f>D27</f>
        <v>67500</v>
      </c>
      <c r="K5" s="218">
        <f>D32</f>
        <v>9520</v>
      </c>
      <c r="L5" s="218">
        <f>D37</f>
        <v>828012.8</v>
      </c>
      <c r="M5" s="218">
        <f>D42</f>
        <v>0</v>
      </c>
      <c r="N5" s="218">
        <f>D47</f>
        <v>9620</v>
      </c>
      <c r="O5" s="218">
        <f>D52</f>
        <v>5249255</v>
      </c>
      <c r="P5" s="218">
        <f>D53</f>
        <v>0</v>
      </c>
      <c r="Q5" s="219">
        <f>SUM(G5:P5)</f>
        <v>6887603.8389999997</v>
      </c>
      <c r="R5" s="220">
        <f>P54</f>
        <v>16822842</v>
      </c>
      <c r="S5" s="332">
        <f>O5/Q5</f>
        <v>0.76213079652997739</v>
      </c>
      <c r="T5" s="332">
        <f>(J5+(H5*1.63))/Q5</f>
        <v>2.9395418890613114E-2</v>
      </c>
      <c r="U5" s="332">
        <f>L5/Q5</f>
        <v>0.1202178318258528</v>
      </c>
      <c r="V5" s="222">
        <f>Q5/R5</f>
        <v>0.40941975434352884</v>
      </c>
    </row>
    <row r="6" spans="2:22" ht="16.2" thickBot="1" x14ac:dyDescent="0.35">
      <c r="C6" s="202" t="s">
        <v>566</v>
      </c>
      <c r="F6" s="202">
        <v>2013</v>
      </c>
      <c r="G6" s="223">
        <f>E12</f>
        <v>372019.5</v>
      </c>
      <c r="H6" s="224">
        <f>E17</f>
        <v>84870</v>
      </c>
      <c r="I6" s="224">
        <f>E22</f>
        <v>287840.38500000001</v>
      </c>
      <c r="J6" s="224">
        <f>E27</f>
        <v>67500</v>
      </c>
      <c r="K6" s="224">
        <f>E32</f>
        <v>9520</v>
      </c>
      <c r="L6" s="224">
        <f>E37</f>
        <v>877435.9</v>
      </c>
      <c r="M6" s="224">
        <f>E42</f>
        <v>0</v>
      </c>
      <c r="N6" s="224">
        <f>E47</f>
        <v>9620</v>
      </c>
      <c r="O6" s="224">
        <f>E52</f>
        <v>5111355</v>
      </c>
      <c r="P6" s="224">
        <f>E53</f>
        <v>0</v>
      </c>
      <c r="Q6" s="225">
        <f>SUM(G6:P6)</f>
        <v>6820160.7850000001</v>
      </c>
      <c r="R6" s="226">
        <f>Q54</f>
        <v>16746692</v>
      </c>
      <c r="S6" s="332">
        <f>O6/Q6</f>
        <v>0.74944787390375278</v>
      </c>
      <c r="T6" s="332">
        <f>(J6+(H6*1.63))/Q6</f>
        <v>3.0180828060932578E-2</v>
      </c>
      <c r="U6" s="332">
        <f>L6/Q6</f>
        <v>0.12865325725601642</v>
      </c>
      <c r="V6" s="222">
        <f>Q6/R6</f>
        <v>0.40725420787580019</v>
      </c>
    </row>
    <row r="7" spans="2:22" ht="16.2" thickBot="1" x14ac:dyDescent="0.35">
      <c r="C7" s="227" t="s">
        <v>567</v>
      </c>
      <c r="F7" s="228" t="s">
        <v>140</v>
      </c>
      <c r="G7" s="229">
        <f>SUM(G5:G6)</f>
        <v>733204.8</v>
      </c>
      <c r="H7" s="229">
        <f t="shared" ref="H7:P7" si="0">SUM(H5:H6)</f>
        <v>167670</v>
      </c>
      <c r="I7" s="229">
        <f t="shared" si="0"/>
        <v>567551.12400000007</v>
      </c>
      <c r="J7" s="229">
        <f t="shared" si="0"/>
        <v>135000</v>
      </c>
      <c r="K7" s="229">
        <f t="shared" si="0"/>
        <v>19040</v>
      </c>
      <c r="L7" s="229">
        <f t="shared" si="0"/>
        <v>1705448.7000000002</v>
      </c>
      <c r="M7" s="229">
        <f t="shared" si="0"/>
        <v>0</v>
      </c>
      <c r="N7" s="229">
        <f t="shared" si="0"/>
        <v>19240</v>
      </c>
      <c r="O7" s="229">
        <f t="shared" si="0"/>
        <v>10360610</v>
      </c>
      <c r="P7" s="229">
        <f t="shared" si="0"/>
        <v>0</v>
      </c>
      <c r="Q7" s="230">
        <f>SUM(G7:P7)</f>
        <v>13707764.624</v>
      </c>
      <c r="R7" s="231">
        <f>R54</f>
        <v>33569534</v>
      </c>
      <c r="S7" s="332">
        <f>O7/Q7</f>
        <v>0.75582053560069939</v>
      </c>
      <c r="T7" s="332">
        <f>(J7+(H7*1.63))/Q7</f>
        <v>2.9786191344804053E-2</v>
      </c>
      <c r="U7" s="332">
        <f>L7/Q7</f>
        <v>0.124414793132211</v>
      </c>
      <c r="V7" s="222">
        <f>Q7/R7</f>
        <v>0.40833943730049993</v>
      </c>
    </row>
    <row r="9" spans="2:22" ht="20.25" customHeight="1" thickBot="1" x14ac:dyDescent="0.35">
      <c r="C9" s="232" t="s">
        <v>141</v>
      </c>
      <c r="D9" s="4768" t="s">
        <v>142</v>
      </c>
      <c r="E9" s="4768"/>
      <c r="I9" s="4769" t="s">
        <v>143</v>
      </c>
      <c r="J9" s="4769"/>
      <c r="K9" s="4769"/>
      <c r="L9" s="4769"/>
      <c r="M9" s="4772" t="s">
        <v>142</v>
      </c>
      <c r="N9" s="4772"/>
      <c r="S9">
        <v>1.1000000000000001</v>
      </c>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120756</v>
      </c>
      <c r="C12" s="244" t="s">
        <v>161</v>
      </c>
      <c r="D12" s="245">
        <f>SUM(D13:D16)</f>
        <v>361185.3</v>
      </c>
      <c r="E12" s="245">
        <f>SUM(E13:E16)</f>
        <v>372019.5</v>
      </c>
      <c r="F12" s="246">
        <f>D12+E12</f>
        <v>733204.8</v>
      </c>
      <c r="H12" s="135"/>
      <c r="I12" s="2667" t="s">
        <v>531</v>
      </c>
      <c r="J12" s="2668"/>
      <c r="K12" s="2669"/>
      <c r="L12" s="2670">
        <v>307</v>
      </c>
      <c r="M12" s="3514">
        <v>13000</v>
      </c>
      <c r="N12" s="3514">
        <v>13000</v>
      </c>
      <c r="O12" s="3486">
        <f>M12+N12</f>
        <v>26000</v>
      </c>
      <c r="P12" s="3487">
        <f>M12*$D62</f>
        <v>3991000</v>
      </c>
      <c r="Q12" s="3512">
        <f>N12*$D62</f>
        <v>3991000</v>
      </c>
      <c r="R12" s="3488">
        <f>P12+Q12</f>
        <v>7982000</v>
      </c>
      <c r="T12" s="309">
        <v>0</v>
      </c>
    </row>
    <row r="13" spans="2:22" ht="13.8" x14ac:dyDescent="0.3">
      <c r="B13" s="256"/>
      <c r="C13" s="257" t="s">
        <v>522</v>
      </c>
      <c r="D13" s="258">
        <v>361185.3</v>
      </c>
      <c r="E13" s="258">
        <v>372019.5</v>
      </c>
      <c r="F13" s="258">
        <f>SUM(D13:E13)</f>
        <v>733204.8</v>
      </c>
      <c r="H13" s="135"/>
      <c r="I13" s="2663" t="s">
        <v>532</v>
      </c>
      <c r="J13" s="2664"/>
      <c r="K13" s="2665"/>
      <c r="L13" s="2670">
        <v>27000</v>
      </c>
      <c r="M13" s="3514">
        <v>7</v>
      </c>
      <c r="N13" s="3514">
        <v>7</v>
      </c>
      <c r="O13" s="3515">
        <f t="shared" ref="O13:O53" si="1">M13+N13</f>
        <v>14</v>
      </c>
      <c r="P13" s="3512">
        <f t="shared" ref="P13:P53" si="2">M13*$D63</f>
        <v>189000</v>
      </c>
      <c r="Q13" s="3512">
        <f t="shared" ref="Q13:Q53" si="3">N13*$D63</f>
        <v>189000</v>
      </c>
      <c r="R13" s="3513">
        <f t="shared" ref="R13:R53" si="4">P13+Q13</f>
        <v>378000</v>
      </c>
      <c r="T13" s="263">
        <v>0</v>
      </c>
    </row>
    <row r="14" spans="2:22" ht="13.8" x14ac:dyDescent="0.3">
      <c r="B14" s="264"/>
      <c r="C14" s="265" t="s">
        <v>163</v>
      </c>
      <c r="D14" s="266">
        <v>0</v>
      </c>
      <c r="E14" s="266"/>
      <c r="F14" s="258">
        <f t="shared" ref="F14:F24" si="5">SUM(D14:E14)</f>
        <v>0</v>
      </c>
      <c r="H14" s="135"/>
      <c r="I14" s="2663" t="s">
        <v>534</v>
      </c>
      <c r="J14" s="2664"/>
      <c r="K14" s="2665"/>
      <c r="L14" s="2670">
        <v>20</v>
      </c>
      <c r="M14" s="3514">
        <v>4000</v>
      </c>
      <c r="N14" s="3514">
        <v>4000</v>
      </c>
      <c r="O14" s="3515">
        <f t="shared" si="1"/>
        <v>8000</v>
      </c>
      <c r="P14" s="3512">
        <f t="shared" si="2"/>
        <v>80000</v>
      </c>
      <c r="Q14" s="3512">
        <f t="shared" si="3"/>
        <v>80000</v>
      </c>
      <c r="R14" s="3513">
        <f t="shared" si="4"/>
        <v>160000</v>
      </c>
      <c r="T14" s="263">
        <v>1327005</v>
      </c>
    </row>
    <row r="15" spans="2:22" ht="13.8" x14ac:dyDescent="0.3">
      <c r="B15" s="264"/>
      <c r="C15" s="265" t="s">
        <v>164</v>
      </c>
      <c r="D15" s="268">
        <v>0</v>
      </c>
      <c r="E15" s="268"/>
      <c r="F15" s="258">
        <f t="shared" si="5"/>
        <v>0</v>
      </c>
      <c r="H15" s="135"/>
      <c r="I15" s="2663" t="s">
        <v>535</v>
      </c>
      <c r="J15" s="2664"/>
      <c r="K15" s="2665"/>
      <c r="L15" s="2670">
        <v>2.1800000000000002</v>
      </c>
      <c r="M15" s="3516">
        <v>12100</v>
      </c>
      <c r="N15" s="3516">
        <v>12100</v>
      </c>
      <c r="O15" s="3515">
        <f t="shared" si="1"/>
        <v>24200</v>
      </c>
      <c r="P15" s="3512">
        <f t="shared" si="2"/>
        <v>26378.000000000004</v>
      </c>
      <c r="Q15" s="3512">
        <f t="shared" si="3"/>
        <v>26378.000000000004</v>
      </c>
      <c r="R15" s="3513">
        <f t="shared" si="4"/>
        <v>52756.000000000007</v>
      </c>
      <c r="T15" s="263">
        <v>189000</v>
      </c>
    </row>
    <row r="16" spans="2:22" ht="14.4" thickBot="1" x14ac:dyDescent="0.35">
      <c r="B16" s="264"/>
      <c r="C16" s="265" t="s">
        <v>165</v>
      </c>
      <c r="D16" s="268">
        <v>0</v>
      </c>
      <c r="E16" s="268"/>
      <c r="F16" s="258">
        <f t="shared" si="5"/>
        <v>0</v>
      </c>
      <c r="H16" s="135"/>
      <c r="I16" s="2663" t="s">
        <v>536</v>
      </c>
      <c r="J16" s="2664"/>
      <c r="K16" s="2665"/>
      <c r="L16" s="2670">
        <v>1.18</v>
      </c>
      <c r="M16" s="3516">
        <v>1000000</v>
      </c>
      <c r="N16" s="3516">
        <v>1000000</v>
      </c>
      <c r="O16" s="3515">
        <f t="shared" si="1"/>
        <v>2000000</v>
      </c>
      <c r="P16" s="3512">
        <f t="shared" si="2"/>
        <v>1180000</v>
      </c>
      <c r="Q16" s="3512">
        <f t="shared" si="3"/>
        <v>1180000</v>
      </c>
      <c r="R16" s="3513">
        <f t="shared" si="4"/>
        <v>2360000</v>
      </c>
      <c r="T16" s="263">
        <v>140072</v>
      </c>
    </row>
    <row r="17" spans="2:20" ht="14.4" thickBot="1" x14ac:dyDescent="0.35">
      <c r="B17" s="272">
        <v>64569</v>
      </c>
      <c r="C17" s="244" t="s">
        <v>166</v>
      </c>
      <c r="D17" s="245">
        <f>SUM(D18:D21)</f>
        <v>82800</v>
      </c>
      <c r="E17" s="245">
        <f>SUM(E18:E21)</f>
        <v>84870</v>
      </c>
      <c r="F17" s="246">
        <f>D17+E17</f>
        <v>167670</v>
      </c>
      <c r="H17" s="135"/>
      <c r="I17" s="2663" t="s">
        <v>537</v>
      </c>
      <c r="J17" s="2664"/>
      <c r="K17" s="2665"/>
      <c r="L17" s="2670">
        <v>0.57999999999999996</v>
      </c>
      <c r="M17" s="3516">
        <v>10000</v>
      </c>
      <c r="N17" s="3516">
        <v>10000</v>
      </c>
      <c r="O17" s="3515">
        <f t="shared" si="1"/>
        <v>20000</v>
      </c>
      <c r="P17" s="3512">
        <f t="shared" si="2"/>
        <v>5800</v>
      </c>
      <c r="Q17" s="3512">
        <f t="shared" si="3"/>
        <v>5800</v>
      </c>
      <c r="R17" s="3513">
        <f t="shared" si="4"/>
        <v>11600</v>
      </c>
      <c r="T17" s="263">
        <v>24810</v>
      </c>
    </row>
    <row r="18" spans="2:20" ht="13.8" x14ac:dyDescent="0.3">
      <c r="B18" s="256"/>
      <c r="C18" s="257" t="s">
        <v>523</v>
      </c>
      <c r="D18" s="258">
        <v>66000</v>
      </c>
      <c r="E18" s="258">
        <v>67650</v>
      </c>
      <c r="F18" s="258">
        <f t="shared" si="5"/>
        <v>133650</v>
      </c>
      <c r="H18" s="135"/>
      <c r="I18" s="2663" t="s">
        <v>538</v>
      </c>
      <c r="J18" s="2664"/>
      <c r="K18" s="2665"/>
      <c r="L18" s="2670">
        <v>1.3</v>
      </c>
      <c r="M18" s="3516">
        <v>10100</v>
      </c>
      <c r="N18" s="3516">
        <v>10100</v>
      </c>
      <c r="O18" s="3515">
        <f t="shared" si="1"/>
        <v>20200</v>
      </c>
      <c r="P18" s="3512">
        <f t="shared" si="2"/>
        <v>13130</v>
      </c>
      <c r="Q18" s="3512">
        <f t="shared" si="3"/>
        <v>13130</v>
      </c>
      <c r="R18" s="3513">
        <f t="shared" si="4"/>
        <v>26260</v>
      </c>
      <c r="T18" s="263">
        <v>2916960</v>
      </c>
    </row>
    <row r="19" spans="2:20" ht="13.8" x14ac:dyDescent="0.3">
      <c r="B19" s="264"/>
      <c r="C19" s="265" t="s">
        <v>524</v>
      </c>
      <c r="D19" s="266">
        <v>16800</v>
      </c>
      <c r="E19" s="266">
        <v>17220</v>
      </c>
      <c r="F19" s="258">
        <f t="shared" si="5"/>
        <v>34020</v>
      </c>
      <c r="H19" s="135"/>
      <c r="I19" s="2672" t="s">
        <v>539</v>
      </c>
      <c r="J19" s="2664"/>
      <c r="K19" s="2665"/>
      <c r="L19" s="2670">
        <v>1.04</v>
      </c>
      <c r="M19" s="3516">
        <v>0</v>
      </c>
      <c r="N19" s="3516">
        <v>0</v>
      </c>
      <c r="O19" s="3515">
        <f t="shared" si="1"/>
        <v>0</v>
      </c>
      <c r="P19" s="3512">
        <f t="shared" si="2"/>
        <v>0</v>
      </c>
      <c r="Q19" s="3512">
        <f t="shared" si="3"/>
        <v>0</v>
      </c>
      <c r="R19" s="3513">
        <f t="shared" si="4"/>
        <v>0</v>
      </c>
      <c r="T19" s="263"/>
    </row>
    <row r="20" spans="2:20" ht="13.8" x14ac:dyDescent="0.3">
      <c r="B20" s="264"/>
      <c r="C20" s="265" t="s">
        <v>164</v>
      </c>
      <c r="D20" s="268">
        <v>0</v>
      </c>
      <c r="E20" s="268"/>
      <c r="F20" s="258">
        <f t="shared" si="5"/>
        <v>0</v>
      </c>
      <c r="H20" s="135"/>
      <c r="I20" s="2663" t="s">
        <v>540</v>
      </c>
      <c r="J20" s="2664"/>
      <c r="K20" s="2665"/>
      <c r="L20" s="2670">
        <v>0.76</v>
      </c>
      <c r="M20" s="3516">
        <v>2200</v>
      </c>
      <c r="N20" s="3516">
        <v>2200</v>
      </c>
      <c r="O20" s="3515">
        <f t="shared" si="1"/>
        <v>4400</v>
      </c>
      <c r="P20" s="3512">
        <f t="shared" si="2"/>
        <v>1672</v>
      </c>
      <c r="Q20" s="3512">
        <f t="shared" si="3"/>
        <v>1672</v>
      </c>
      <c r="R20" s="3513">
        <f t="shared" si="4"/>
        <v>3344</v>
      </c>
      <c r="T20" s="263">
        <v>18173</v>
      </c>
    </row>
    <row r="21" spans="2:20" ht="14.4" thickBot="1" x14ac:dyDescent="0.35">
      <c r="B21" s="264"/>
      <c r="C21" s="265" t="s">
        <v>165</v>
      </c>
      <c r="D21" s="268">
        <v>0</v>
      </c>
      <c r="E21" s="268"/>
      <c r="F21" s="258">
        <f t="shared" si="5"/>
        <v>0</v>
      </c>
      <c r="H21" s="135"/>
      <c r="I21" s="2663" t="s">
        <v>541</v>
      </c>
      <c r="J21" s="2664"/>
      <c r="K21" s="2665"/>
      <c r="L21" s="2670">
        <v>1.3</v>
      </c>
      <c r="M21" s="3516">
        <v>71500</v>
      </c>
      <c r="N21" s="3516">
        <v>71500</v>
      </c>
      <c r="O21" s="3515">
        <f t="shared" si="1"/>
        <v>143000</v>
      </c>
      <c r="P21" s="3512">
        <f t="shared" si="2"/>
        <v>92950</v>
      </c>
      <c r="Q21" s="3512">
        <f t="shared" si="3"/>
        <v>92950</v>
      </c>
      <c r="R21" s="3513">
        <f t="shared" si="4"/>
        <v>185900</v>
      </c>
      <c r="T21" s="263">
        <v>83500</v>
      </c>
    </row>
    <row r="22" spans="2:20" ht="14.4" thickBot="1" x14ac:dyDescent="0.35">
      <c r="B22" s="272">
        <v>120461</v>
      </c>
      <c r="C22" s="244" t="s">
        <v>167</v>
      </c>
      <c r="D22" s="245">
        <f>SUM(D23:D26)</f>
        <v>279710.739</v>
      </c>
      <c r="E22" s="245">
        <f>SUM(E23:E26)</f>
        <v>287840.38500000001</v>
      </c>
      <c r="F22" s="246">
        <f>D22+E22</f>
        <v>567551.12400000007</v>
      </c>
      <c r="G22" s="55"/>
      <c r="H22" s="135"/>
      <c r="I22" s="2663" t="s">
        <v>542</v>
      </c>
      <c r="J22" s="2664"/>
      <c r="K22" s="2665"/>
      <c r="L22" s="2670">
        <v>21.65</v>
      </c>
      <c r="M22" s="3516">
        <v>80000</v>
      </c>
      <c r="N22" s="3516">
        <v>75000</v>
      </c>
      <c r="O22" s="3515">
        <f t="shared" si="1"/>
        <v>155000</v>
      </c>
      <c r="P22" s="3512">
        <f t="shared" si="2"/>
        <v>1732000</v>
      </c>
      <c r="Q22" s="3512">
        <f t="shared" si="3"/>
        <v>1623750</v>
      </c>
      <c r="R22" s="3513">
        <f t="shared" si="4"/>
        <v>3355750</v>
      </c>
      <c r="T22" s="263">
        <v>2798694</v>
      </c>
    </row>
    <row r="23" spans="2:20" ht="13.8" x14ac:dyDescent="0.3">
      <c r="B23" s="256"/>
      <c r="C23" s="257" t="s">
        <v>168</v>
      </c>
      <c r="D23" s="258">
        <f>0.63*D12</f>
        <v>227546.739</v>
      </c>
      <c r="E23" s="258">
        <f>0.63*E12</f>
        <v>234372.285</v>
      </c>
      <c r="F23" s="258">
        <f t="shared" si="5"/>
        <v>461919.02399999998</v>
      </c>
      <c r="H23" s="135"/>
      <c r="I23" s="2663" t="s">
        <v>543</v>
      </c>
      <c r="J23" s="2664"/>
      <c r="K23" s="2665"/>
      <c r="L23" s="2670">
        <v>23.58</v>
      </c>
      <c r="M23" s="3516">
        <v>17600</v>
      </c>
      <c r="N23" s="3516">
        <v>17600</v>
      </c>
      <c r="O23" s="3515">
        <f t="shared" si="1"/>
        <v>35200</v>
      </c>
      <c r="P23" s="3512">
        <f t="shared" si="2"/>
        <v>415007.99999999994</v>
      </c>
      <c r="Q23" s="3512">
        <f t="shared" si="3"/>
        <v>415007.99999999994</v>
      </c>
      <c r="R23" s="3513">
        <f t="shared" si="4"/>
        <v>830015.99999999988</v>
      </c>
      <c r="T23" s="263">
        <v>0</v>
      </c>
    </row>
    <row r="24" spans="2:20" ht="13.8" x14ac:dyDescent="0.3">
      <c r="B24" s="256"/>
      <c r="C24" s="257" t="s">
        <v>169</v>
      </c>
      <c r="D24" s="266">
        <f>0.63*D17</f>
        <v>52164</v>
      </c>
      <c r="E24" s="266">
        <f>0.63*E17</f>
        <v>53468.1</v>
      </c>
      <c r="F24" s="258">
        <f t="shared" si="5"/>
        <v>105632.1</v>
      </c>
      <c r="H24" s="135"/>
      <c r="I24" s="2663" t="s">
        <v>544</v>
      </c>
      <c r="J24" s="2664"/>
      <c r="K24" s="2665"/>
      <c r="L24" s="2670">
        <v>13.02</v>
      </c>
      <c r="M24" s="3516">
        <v>125000</v>
      </c>
      <c r="N24" s="3516">
        <v>130000</v>
      </c>
      <c r="O24" s="3515">
        <f t="shared" si="1"/>
        <v>255000</v>
      </c>
      <c r="P24" s="3512">
        <f t="shared" si="2"/>
        <v>1627500</v>
      </c>
      <c r="Q24" s="3512">
        <f t="shared" si="3"/>
        <v>1692600</v>
      </c>
      <c r="R24" s="3513">
        <f t="shared" si="4"/>
        <v>3320100</v>
      </c>
      <c r="T24" s="263">
        <v>1614983</v>
      </c>
    </row>
    <row r="25" spans="2:20" ht="13.8" x14ac:dyDescent="0.3">
      <c r="B25" s="264"/>
      <c r="C25" s="265"/>
      <c r="D25" s="268"/>
      <c r="E25" s="268"/>
      <c r="F25" s="268"/>
      <c r="H25" s="135"/>
      <c r="I25" s="2663" t="s">
        <v>545</v>
      </c>
      <c r="J25" s="2664"/>
      <c r="K25" s="2665"/>
      <c r="L25" s="2670">
        <v>13.87</v>
      </c>
      <c r="M25" s="3516">
        <v>2200</v>
      </c>
      <c r="N25" s="3516">
        <v>2200</v>
      </c>
      <c r="O25" s="3515">
        <f t="shared" si="1"/>
        <v>4400</v>
      </c>
      <c r="P25" s="3512">
        <f t="shared" si="2"/>
        <v>30514</v>
      </c>
      <c r="Q25" s="3512">
        <f t="shared" si="3"/>
        <v>30514</v>
      </c>
      <c r="R25" s="3513">
        <f t="shared" si="4"/>
        <v>61028</v>
      </c>
      <c r="T25" s="263">
        <v>0</v>
      </c>
    </row>
    <row r="26" spans="2:20" ht="14.4" thickBot="1" x14ac:dyDescent="0.35">
      <c r="B26" s="264"/>
      <c r="C26" s="265"/>
      <c r="D26" s="268"/>
      <c r="E26" s="268"/>
      <c r="F26" s="268"/>
      <c r="H26" s="135"/>
      <c r="I26" s="2663" t="s">
        <v>546</v>
      </c>
      <c r="J26" s="2664"/>
      <c r="K26" s="2665"/>
      <c r="L26" s="2670">
        <v>54135</v>
      </c>
      <c r="M26" s="3516">
        <v>45</v>
      </c>
      <c r="N26" s="3516">
        <v>45</v>
      </c>
      <c r="O26" s="3515">
        <f t="shared" si="1"/>
        <v>90</v>
      </c>
      <c r="P26" s="3512">
        <f t="shared" si="2"/>
        <v>2436075</v>
      </c>
      <c r="Q26" s="3512">
        <f t="shared" si="3"/>
        <v>2436075</v>
      </c>
      <c r="R26" s="3513">
        <f t="shared" si="4"/>
        <v>4872150</v>
      </c>
      <c r="T26" s="263">
        <v>1840590</v>
      </c>
    </row>
    <row r="27" spans="2:20" ht="14.4" thickBot="1" x14ac:dyDescent="0.35">
      <c r="B27" s="272">
        <v>55193</v>
      </c>
      <c r="C27" s="244" t="s">
        <v>170</v>
      </c>
      <c r="D27" s="245">
        <f>SUM(D28:D31)</f>
        <v>67500</v>
      </c>
      <c r="E27" s="245">
        <f>SUM(E28:E31)</f>
        <v>67500</v>
      </c>
      <c r="F27" s="246">
        <f>D27+E27</f>
        <v>135000</v>
      </c>
      <c r="H27" s="135"/>
      <c r="I27" s="2663" t="s">
        <v>547</v>
      </c>
      <c r="J27" s="2664"/>
      <c r="K27" s="2665"/>
      <c r="L27" s="2670">
        <v>149</v>
      </c>
      <c r="M27" s="3514">
        <v>50</v>
      </c>
      <c r="N27" s="3514">
        <v>50</v>
      </c>
      <c r="O27" s="3515">
        <f t="shared" si="1"/>
        <v>100</v>
      </c>
      <c r="P27" s="3512">
        <f t="shared" si="2"/>
        <v>7450</v>
      </c>
      <c r="Q27" s="3512">
        <f t="shared" si="3"/>
        <v>7450</v>
      </c>
      <c r="R27" s="3513">
        <f t="shared" si="4"/>
        <v>14900</v>
      </c>
      <c r="T27" s="263">
        <v>0</v>
      </c>
    </row>
    <row r="28" spans="2:20" ht="13.8" x14ac:dyDescent="0.3">
      <c r="B28" s="256"/>
      <c r="C28" s="257" t="s">
        <v>525</v>
      </c>
      <c r="D28" s="258">
        <v>67500</v>
      </c>
      <c r="E28" s="258">
        <v>67500</v>
      </c>
      <c r="F28" s="258">
        <f t="shared" ref="F28:F36" si="6">SUM(D28:E28)</f>
        <v>135000</v>
      </c>
      <c r="H28" s="135"/>
      <c r="I28" s="2663" t="s">
        <v>548</v>
      </c>
      <c r="J28" s="2664"/>
      <c r="K28" s="2665"/>
      <c r="L28" s="2670">
        <v>219</v>
      </c>
      <c r="M28" s="3514">
        <v>50</v>
      </c>
      <c r="N28" s="3514">
        <v>50</v>
      </c>
      <c r="O28" s="3515">
        <f t="shared" si="1"/>
        <v>100</v>
      </c>
      <c r="P28" s="3512">
        <f t="shared" si="2"/>
        <v>10950</v>
      </c>
      <c r="Q28" s="3512">
        <f t="shared" si="3"/>
        <v>10950</v>
      </c>
      <c r="R28" s="3513">
        <f t="shared" si="4"/>
        <v>21900</v>
      </c>
      <c r="T28" s="263">
        <v>0</v>
      </c>
    </row>
    <row r="29" spans="2:20" ht="13.8" x14ac:dyDescent="0.3">
      <c r="B29" s="264"/>
      <c r="C29" s="265" t="s">
        <v>163</v>
      </c>
      <c r="D29" s="266">
        <v>0</v>
      </c>
      <c r="E29" s="266"/>
      <c r="F29" s="258">
        <f t="shared" si="6"/>
        <v>0</v>
      </c>
      <c r="H29" s="135"/>
      <c r="I29" s="2663" t="s">
        <v>549</v>
      </c>
      <c r="J29" s="2664"/>
      <c r="K29" s="2665"/>
      <c r="L29" s="2670">
        <v>49</v>
      </c>
      <c r="M29" s="3514">
        <v>8000</v>
      </c>
      <c r="N29" s="3514">
        <v>8000</v>
      </c>
      <c r="O29" s="3515">
        <f t="shared" si="1"/>
        <v>16000</v>
      </c>
      <c r="P29" s="3512">
        <f t="shared" si="2"/>
        <v>392000</v>
      </c>
      <c r="Q29" s="3512">
        <f t="shared" si="3"/>
        <v>392000</v>
      </c>
      <c r="R29" s="3513">
        <f t="shared" si="4"/>
        <v>784000</v>
      </c>
      <c r="T29" s="263">
        <v>602083</v>
      </c>
    </row>
    <row r="30" spans="2:20" ht="13.8" x14ac:dyDescent="0.3">
      <c r="B30" s="264"/>
      <c r="C30" s="265" t="s">
        <v>164</v>
      </c>
      <c r="D30" s="266">
        <v>0</v>
      </c>
      <c r="E30" s="266"/>
      <c r="F30" s="258">
        <f t="shared" si="6"/>
        <v>0</v>
      </c>
      <c r="H30" s="135"/>
      <c r="I30" s="2663" t="s">
        <v>550</v>
      </c>
      <c r="J30" s="2664"/>
      <c r="K30" s="2665"/>
      <c r="L30" s="2670">
        <v>23</v>
      </c>
      <c r="M30" s="3514">
        <v>150000</v>
      </c>
      <c r="N30" s="3514">
        <v>150000</v>
      </c>
      <c r="O30" s="3515">
        <f t="shared" si="1"/>
        <v>300000</v>
      </c>
      <c r="P30" s="3512">
        <f t="shared" si="2"/>
        <v>3450000</v>
      </c>
      <c r="Q30" s="3512">
        <f t="shared" si="3"/>
        <v>3450000</v>
      </c>
      <c r="R30" s="3513">
        <f t="shared" si="4"/>
        <v>6900000</v>
      </c>
      <c r="T30" s="263">
        <v>5817478</v>
      </c>
    </row>
    <row r="31" spans="2:20" ht="14.4" thickBot="1" x14ac:dyDescent="0.35">
      <c r="B31" s="264"/>
      <c r="C31" s="265" t="s">
        <v>165</v>
      </c>
      <c r="D31" s="266">
        <v>0</v>
      </c>
      <c r="E31" s="266"/>
      <c r="F31" s="258">
        <f t="shared" si="6"/>
        <v>0</v>
      </c>
      <c r="H31" s="135"/>
      <c r="I31" s="2663" t="s">
        <v>551</v>
      </c>
      <c r="J31" s="2664"/>
      <c r="K31" s="2665"/>
      <c r="L31" s="2670">
        <v>131</v>
      </c>
      <c r="M31" s="3514">
        <v>20</v>
      </c>
      <c r="N31" s="3514">
        <v>20</v>
      </c>
      <c r="O31" s="3515">
        <f t="shared" si="1"/>
        <v>40</v>
      </c>
      <c r="P31" s="3512">
        <f t="shared" si="2"/>
        <v>2620</v>
      </c>
      <c r="Q31" s="3512">
        <f t="shared" si="3"/>
        <v>2620</v>
      </c>
      <c r="R31" s="3513">
        <f t="shared" si="4"/>
        <v>5240</v>
      </c>
      <c r="T31" s="263">
        <v>2303</v>
      </c>
    </row>
    <row r="32" spans="2:20" ht="14.4" thickBot="1" x14ac:dyDescent="0.35">
      <c r="B32" s="272">
        <v>6340</v>
      </c>
      <c r="C32" s="244" t="s">
        <v>171</v>
      </c>
      <c r="D32" s="245">
        <f>SUM(D33:D36)</f>
        <v>9520</v>
      </c>
      <c r="E32" s="245">
        <f>SUM(E33:E36)</f>
        <v>9520</v>
      </c>
      <c r="F32" s="246">
        <f>D32+E32</f>
        <v>19040</v>
      </c>
      <c r="H32" s="135"/>
      <c r="I32" s="2663" t="s">
        <v>552</v>
      </c>
      <c r="J32" s="2664"/>
      <c r="K32" s="2665"/>
      <c r="L32" s="2670">
        <v>44</v>
      </c>
      <c r="M32" s="3514">
        <v>50</v>
      </c>
      <c r="N32" s="3514">
        <v>50</v>
      </c>
      <c r="O32" s="3515">
        <f t="shared" si="1"/>
        <v>100</v>
      </c>
      <c r="P32" s="3512">
        <f t="shared" si="2"/>
        <v>2200</v>
      </c>
      <c r="Q32" s="3512">
        <f t="shared" si="3"/>
        <v>2200</v>
      </c>
      <c r="R32" s="3513">
        <f t="shared" si="4"/>
        <v>4400</v>
      </c>
      <c r="T32" s="263">
        <v>2785</v>
      </c>
    </row>
    <row r="33" spans="2:20" ht="13.8" x14ac:dyDescent="0.3">
      <c r="B33" s="264"/>
      <c r="C33" s="265" t="s">
        <v>526</v>
      </c>
      <c r="D33" s="266">
        <v>9520</v>
      </c>
      <c r="E33" s="266">
        <v>9520</v>
      </c>
      <c r="F33" s="258">
        <f t="shared" si="6"/>
        <v>19040</v>
      </c>
      <c r="H33" s="135"/>
      <c r="I33" s="2673" t="s">
        <v>446</v>
      </c>
      <c r="J33" s="2664"/>
      <c r="K33" s="2665"/>
      <c r="L33" s="2670">
        <v>755</v>
      </c>
      <c r="M33" s="3514">
        <v>500</v>
      </c>
      <c r="N33" s="3514">
        <v>500</v>
      </c>
      <c r="O33" s="3515">
        <f t="shared" si="1"/>
        <v>1000</v>
      </c>
      <c r="P33" s="3512">
        <f t="shared" si="2"/>
        <v>377500</v>
      </c>
      <c r="Q33" s="3512">
        <f t="shared" si="3"/>
        <v>377500</v>
      </c>
      <c r="R33" s="3513">
        <f t="shared" si="4"/>
        <v>755000</v>
      </c>
      <c r="T33" s="263">
        <v>84103</v>
      </c>
    </row>
    <row r="34" spans="2:20" ht="13.8" x14ac:dyDescent="0.3">
      <c r="B34" s="264"/>
      <c r="C34" s="265" t="s">
        <v>163</v>
      </c>
      <c r="D34" s="266">
        <v>0</v>
      </c>
      <c r="E34" s="266"/>
      <c r="F34" s="258">
        <f t="shared" si="6"/>
        <v>0</v>
      </c>
      <c r="H34" s="135"/>
      <c r="I34" s="2672" t="s">
        <v>553</v>
      </c>
      <c r="J34" s="2664"/>
      <c r="K34" s="2665"/>
      <c r="L34" s="2670">
        <v>49</v>
      </c>
      <c r="M34" s="3514">
        <v>0</v>
      </c>
      <c r="N34" s="3514">
        <v>0</v>
      </c>
      <c r="O34" s="3515">
        <f t="shared" si="1"/>
        <v>0</v>
      </c>
      <c r="P34" s="3512">
        <f t="shared" si="2"/>
        <v>0</v>
      </c>
      <c r="Q34" s="3512">
        <f t="shared" si="3"/>
        <v>0</v>
      </c>
      <c r="R34" s="3513">
        <f t="shared" si="4"/>
        <v>0</v>
      </c>
      <c r="T34" s="263">
        <v>0</v>
      </c>
    </row>
    <row r="35" spans="2:20" ht="13.8" x14ac:dyDescent="0.3">
      <c r="B35" s="264"/>
      <c r="C35" s="265" t="s">
        <v>164</v>
      </c>
      <c r="D35" s="266">
        <v>0</v>
      </c>
      <c r="E35" s="266"/>
      <c r="F35" s="258">
        <f t="shared" si="6"/>
        <v>0</v>
      </c>
      <c r="H35" s="135"/>
      <c r="I35" s="2673" t="s">
        <v>554</v>
      </c>
      <c r="J35" s="2664"/>
      <c r="K35" s="2665"/>
      <c r="L35" s="2670">
        <v>64.2</v>
      </c>
      <c r="M35" s="3514">
        <v>200</v>
      </c>
      <c r="N35" s="3514">
        <v>200</v>
      </c>
      <c r="O35" s="3515">
        <f t="shared" si="1"/>
        <v>400</v>
      </c>
      <c r="P35" s="3512">
        <f t="shared" si="2"/>
        <v>12200</v>
      </c>
      <c r="Q35" s="3512">
        <f t="shared" si="3"/>
        <v>12200</v>
      </c>
      <c r="R35" s="3513">
        <f t="shared" si="4"/>
        <v>24400</v>
      </c>
      <c r="T35" s="263">
        <v>0</v>
      </c>
    </row>
    <row r="36" spans="2:20" ht="14.4" thickBot="1" x14ac:dyDescent="0.35">
      <c r="B36" s="264"/>
      <c r="C36" s="265" t="s">
        <v>165</v>
      </c>
      <c r="D36" s="266">
        <v>0</v>
      </c>
      <c r="E36" s="266"/>
      <c r="F36" s="258">
        <f t="shared" si="6"/>
        <v>0</v>
      </c>
      <c r="H36" s="135"/>
      <c r="I36" s="2663" t="s">
        <v>555</v>
      </c>
      <c r="J36" s="2664"/>
      <c r="K36" s="2665"/>
      <c r="L36" s="2670">
        <v>100</v>
      </c>
      <c r="M36" s="3514">
        <v>2000</v>
      </c>
      <c r="N36" s="3514">
        <v>2000</v>
      </c>
      <c r="O36" s="3515">
        <f t="shared" si="1"/>
        <v>4000</v>
      </c>
      <c r="P36" s="3512">
        <f t="shared" si="2"/>
        <v>200000</v>
      </c>
      <c r="Q36" s="3512">
        <f t="shared" si="3"/>
        <v>200000</v>
      </c>
      <c r="R36" s="3513">
        <f t="shared" si="4"/>
        <v>400000</v>
      </c>
      <c r="T36" s="263">
        <v>0</v>
      </c>
    </row>
    <row r="37" spans="2:20" ht="14.4" thickBot="1" x14ac:dyDescent="0.35">
      <c r="B37" s="272">
        <v>618552</v>
      </c>
      <c r="C37" s="244" t="s">
        <v>172</v>
      </c>
      <c r="D37" s="245">
        <f>SUM(D38:D41)</f>
        <v>828012.8</v>
      </c>
      <c r="E37" s="245">
        <f>SUM(E38:E41)</f>
        <v>877435.9</v>
      </c>
      <c r="F37" s="246">
        <f>D37+E37</f>
        <v>1705448.7000000002</v>
      </c>
      <c r="H37" s="135"/>
      <c r="I37" s="2663" t="s">
        <v>556</v>
      </c>
      <c r="J37" s="2664"/>
      <c r="K37" s="2666"/>
      <c r="L37" s="2670">
        <v>34.1</v>
      </c>
      <c r="M37" s="3514">
        <v>200</v>
      </c>
      <c r="N37" s="3514">
        <v>200</v>
      </c>
      <c r="O37" s="3515">
        <f t="shared" si="1"/>
        <v>400</v>
      </c>
      <c r="P37" s="3512">
        <f t="shared" si="2"/>
        <v>6820</v>
      </c>
      <c r="Q37" s="3512">
        <f t="shared" si="3"/>
        <v>6820</v>
      </c>
      <c r="R37" s="3513">
        <f t="shared" si="4"/>
        <v>13640</v>
      </c>
      <c r="T37" s="263">
        <v>0</v>
      </c>
    </row>
    <row r="38" spans="2:20" ht="13.8" x14ac:dyDescent="0.3">
      <c r="B38" s="264"/>
      <c r="C38" s="2674" t="s">
        <v>527</v>
      </c>
      <c r="D38" s="2676">
        <v>0</v>
      </c>
      <c r="E38" s="2676">
        <v>0</v>
      </c>
      <c r="F38" s="2675">
        <v>0</v>
      </c>
      <c r="H38" s="135"/>
      <c r="I38" s="2663" t="s">
        <v>557</v>
      </c>
      <c r="J38" s="2664"/>
      <c r="K38" s="2666"/>
      <c r="L38" s="2670">
        <v>128</v>
      </c>
      <c r="M38" s="3514">
        <v>200</v>
      </c>
      <c r="N38" s="3514">
        <v>200</v>
      </c>
      <c r="O38" s="3515">
        <f t="shared" si="1"/>
        <v>400</v>
      </c>
      <c r="P38" s="3512">
        <f t="shared" si="2"/>
        <v>25600</v>
      </c>
      <c r="Q38" s="3512">
        <f t="shared" si="3"/>
        <v>25600</v>
      </c>
      <c r="R38" s="3513">
        <f t="shared" si="4"/>
        <v>51200</v>
      </c>
      <c r="T38" s="263">
        <v>0</v>
      </c>
    </row>
    <row r="39" spans="2:20" ht="13.8" x14ac:dyDescent="0.3">
      <c r="B39" s="264"/>
      <c r="C39" s="2674" t="s">
        <v>9</v>
      </c>
      <c r="D39" s="2676">
        <v>450000</v>
      </c>
      <c r="E39" s="2676">
        <v>450000</v>
      </c>
      <c r="F39" s="2675">
        <v>900000</v>
      </c>
      <c r="H39" s="135"/>
      <c r="I39" s="2663" t="s">
        <v>558</v>
      </c>
      <c r="J39" s="2664"/>
      <c r="K39" s="2666"/>
      <c r="L39" s="2670">
        <v>10095</v>
      </c>
      <c r="M39" s="3514">
        <v>5</v>
      </c>
      <c r="N39" s="3514">
        <v>5</v>
      </c>
      <c r="O39" s="3515">
        <f t="shared" si="1"/>
        <v>10</v>
      </c>
      <c r="P39" s="3512">
        <f t="shared" si="2"/>
        <v>50475</v>
      </c>
      <c r="Q39" s="3512">
        <f t="shared" si="3"/>
        <v>50475</v>
      </c>
      <c r="R39" s="3513">
        <f t="shared" si="4"/>
        <v>100950</v>
      </c>
      <c r="T39" s="263">
        <v>0</v>
      </c>
    </row>
    <row r="40" spans="2:20" ht="13.8" x14ac:dyDescent="0.3">
      <c r="B40" s="264"/>
      <c r="C40" s="2674" t="s">
        <v>1061</v>
      </c>
      <c r="D40" s="2676">
        <v>378012.8</v>
      </c>
      <c r="E40" s="2676">
        <v>427435.9</v>
      </c>
      <c r="F40" s="2675">
        <v>805448.7</v>
      </c>
      <c r="H40" s="135"/>
      <c r="I40" s="2672" t="s">
        <v>559</v>
      </c>
      <c r="J40" s="2664"/>
      <c r="K40" s="2666"/>
      <c r="L40" s="2670">
        <v>1</v>
      </c>
      <c r="M40" s="3514">
        <v>0</v>
      </c>
      <c r="N40" s="3514">
        <v>0</v>
      </c>
      <c r="O40" s="3515">
        <f t="shared" si="1"/>
        <v>0</v>
      </c>
      <c r="P40" s="3512">
        <f t="shared" si="2"/>
        <v>0</v>
      </c>
      <c r="Q40" s="3512">
        <f t="shared" si="3"/>
        <v>0</v>
      </c>
      <c r="R40" s="3513">
        <f t="shared" si="4"/>
        <v>0</v>
      </c>
      <c r="T40" s="263">
        <v>0</v>
      </c>
    </row>
    <row r="41" spans="2:20" ht="14.4" thickBot="1" x14ac:dyDescent="0.35">
      <c r="B41" s="264"/>
      <c r="C41" s="265" t="s">
        <v>165</v>
      </c>
      <c r="D41" s="266">
        <v>0</v>
      </c>
      <c r="E41" s="266"/>
      <c r="F41" s="258">
        <f t="shared" ref="F41:F51" si="7">SUM(D41:E41)</f>
        <v>0</v>
      </c>
      <c r="H41" s="135"/>
      <c r="I41" s="2672" t="s">
        <v>560</v>
      </c>
      <c r="J41" s="2664"/>
      <c r="K41" s="2666"/>
      <c r="L41" s="2670">
        <v>1</v>
      </c>
      <c r="M41" s="3514">
        <v>0</v>
      </c>
      <c r="N41" s="3514">
        <v>0</v>
      </c>
      <c r="O41" s="3515">
        <f t="shared" si="1"/>
        <v>0</v>
      </c>
      <c r="P41" s="3512">
        <f t="shared" si="2"/>
        <v>0</v>
      </c>
      <c r="Q41" s="3512">
        <f t="shared" si="3"/>
        <v>0</v>
      </c>
      <c r="R41" s="3513">
        <f t="shared" si="4"/>
        <v>0</v>
      </c>
      <c r="T41" s="263">
        <v>0</v>
      </c>
    </row>
    <row r="42" spans="2:20" ht="14.4" thickBot="1" x14ac:dyDescent="0.35">
      <c r="B42" s="272">
        <v>480</v>
      </c>
      <c r="C42" s="244" t="s">
        <v>173</v>
      </c>
      <c r="D42" s="245">
        <f>SUM(D43:D46)</f>
        <v>0</v>
      </c>
      <c r="E42" s="245">
        <f>SUM(E43:E46)</f>
        <v>0</v>
      </c>
      <c r="F42" s="246">
        <f>D42+E42</f>
        <v>0</v>
      </c>
      <c r="H42" s="135"/>
      <c r="I42" s="2672" t="s">
        <v>563</v>
      </c>
      <c r="J42" s="2664"/>
      <c r="K42" s="2666"/>
      <c r="L42" s="2670">
        <v>1</v>
      </c>
      <c r="M42" s="3514">
        <v>0</v>
      </c>
      <c r="N42" s="3514">
        <v>0</v>
      </c>
      <c r="O42" s="3515">
        <f t="shared" si="1"/>
        <v>0</v>
      </c>
      <c r="P42" s="3512">
        <f t="shared" si="2"/>
        <v>0</v>
      </c>
      <c r="Q42" s="3512">
        <f t="shared" si="3"/>
        <v>0</v>
      </c>
      <c r="R42" s="3513">
        <f t="shared" si="4"/>
        <v>0</v>
      </c>
      <c r="T42" s="263">
        <v>0</v>
      </c>
    </row>
    <row r="43" spans="2:20" ht="13.8" x14ac:dyDescent="0.3">
      <c r="B43" s="264"/>
      <c r="C43" s="265" t="s">
        <v>162</v>
      </c>
      <c r="D43" s="266">
        <v>0</v>
      </c>
      <c r="E43" s="266"/>
      <c r="F43" s="258">
        <f t="shared" si="7"/>
        <v>0</v>
      </c>
      <c r="H43" s="135"/>
      <c r="I43" s="2672" t="s">
        <v>561</v>
      </c>
      <c r="J43" s="2664"/>
      <c r="K43" s="2666"/>
      <c r="L43" s="2670">
        <v>300</v>
      </c>
      <c r="M43" s="3514">
        <v>0</v>
      </c>
      <c r="N43" s="3514">
        <v>0</v>
      </c>
      <c r="O43" s="3515">
        <f t="shared" si="1"/>
        <v>0</v>
      </c>
      <c r="P43" s="3512">
        <f t="shared" si="2"/>
        <v>0</v>
      </c>
      <c r="Q43" s="3512">
        <f t="shared" si="3"/>
        <v>0</v>
      </c>
      <c r="R43" s="3513">
        <f t="shared" si="4"/>
        <v>0</v>
      </c>
      <c r="T43" s="263">
        <v>0</v>
      </c>
    </row>
    <row r="44" spans="2:20" ht="13.8" x14ac:dyDescent="0.3">
      <c r="B44" s="264"/>
      <c r="C44" s="265" t="s">
        <v>163</v>
      </c>
      <c r="D44" s="266">
        <v>0</v>
      </c>
      <c r="E44" s="266"/>
      <c r="F44" s="258">
        <f t="shared" si="7"/>
        <v>0</v>
      </c>
      <c r="H44" s="135"/>
      <c r="I44" s="2672" t="s">
        <v>1058</v>
      </c>
      <c r="J44" s="2664"/>
      <c r="K44" s="2666"/>
      <c r="L44" s="2670">
        <v>1.1000000000000001</v>
      </c>
      <c r="M44" s="3514">
        <v>70000</v>
      </c>
      <c r="N44" s="3514">
        <v>210000</v>
      </c>
      <c r="O44" s="3515">
        <f t="shared" si="1"/>
        <v>280000</v>
      </c>
      <c r="P44" s="3512">
        <f t="shared" si="2"/>
        <v>77000</v>
      </c>
      <c r="Q44" s="3512">
        <f t="shared" si="3"/>
        <v>231000.00000000003</v>
      </c>
      <c r="R44" s="3513">
        <f t="shared" si="4"/>
        <v>308000</v>
      </c>
      <c r="T44" s="263">
        <v>0</v>
      </c>
    </row>
    <row r="45" spans="2:20" ht="13.8" x14ac:dyDescent="0.3">
      <c r="B45" s="264"/>
      <c r="C45" s="265" t="s">
        <v>164</v>
      </c>
      <c r="D45" s="266">
        <v>0</v>
      </c>
      <c r="E45" s="266"/>
      <c r="F45" s="258">
        <f t="shared" si="7"/>
        <v>0</v>
      </c>
      <c r="H45" s="135"/>
      <c r="I45" s="2672" t="s">
        <v>1059</v>
      </c>
      <c r="J45" s="2664"/>
      <c r="K45" s="2666"/>
      <c r="L45" s="2670">
        <v>1</v>
      </c>
      <c r="M45" s="3514">
        <v>120000</v>
      </c>
      <c r="N45" s="3514">
        <v>100000</v>
      </c>
      <c r="O45" s="3515">
        <f t="shared" si="1"/>
        <v>220000</v>
      </c>
      <c r="P45" s="3512">
        <f t="shared" si="2"/>
        <v>240000</v>
      </c>
      <c r="Q45" s="3512">
        <f t="shared" si="3"/>
        <v>200000</v>
      </c>
      <c r="R45" s="3513">
        <f t="shared" si="4"/>
        <v>440000</v>
      </c>
      <c r="T45" s="263">
        <v>0</v>
      </c>
    </row>
    <row r="46" spans="2:20" ht="14.4" thickBot="1" x14ac:dyDescent="0.35">
      <c r="B46" s="264"/>
      <c r="C46" s="265" t="s">
        <v>165</v>
      </c>
      <c r="D46" s="266">
        <v>0</v>
      </c>
      <c r="E46" s="266"/>
      <c r="F46" s="258">
        <f t="shared" si="7"/>
        <v>0</v>
      </c>
      <c r="H46" s="135"/>
      <c r="I46" s="2672" t="s">
        <v>1060</v>
      </c>
      <c r="J46" s="2664"/>
      <c r="K46" s="2666"/>
      <c r="L46" s="2670">
        <v>2.1</v>
      </c>
      <c r="M46" s="3514">
        <v>70000</v>
      </c>
      <c r="N46" s="3514">
        <v>0</v>
      </c>
      <c r="O46" s="3515">
        <f t="shared" si="1"/>
        <v>70000</v>
      </c>
      <c r="P46" s="3512">
        <f t="shared" si="2"/>
        <v>147000</v>
      </c>
      <c r="Q46" s="3512">
        <f t="shared" si="3"/>
        <v>0</v>
      </c>
      <c r="R46" s="3513">
        <f t="shared" si="4"/>
        <v>147000</v>
      </c>
      <c r="T46" s="263">
        <v>0</v>
      </c>
    </row>
    <row r="47" spans="2:20" ht="14.4" thickBot="1" x14ac:dyDescent="0.35">
      <c r="B47" s="272">
        <v>11155</v>
      </c>
      <c r="C47" s="244" t="s">
        <v>174</v>
      </c>
      <c r="D47" s="245">
        <f>SUM(D48:D51)</f>
        <v>9620</v>
      </c>
      <c r="E47" s="245">
        <f>SUM(E48:E51)</f>
        <v>9620</v>
      </c>
      <c r="F47" s="246">
        <f>D47+E47</f>
        <v>19240</v>
      </c>
      <c r="H47" s="135"/>
      <c r="I47" s="259" t="str">
        <f t="shared" ref="I47:I53" si="8">C97</f>
        <v>Measure 36</v>
      </c>
      <c r="J47" s="2664"/>
      <c r="K47" s="2666"/>
      <c r="L47" s="2670">
        <v>0</v>
      </c>
      <c r="M47" s="2671">
        <v>0</v>
      </c>
      <c r="N47" s="2671">
        <v>0</v>
      </c>
      <c r="O47" s="3515">
        <f t="shared" si="1"/>
        <v>0</v>
      </c>
      <c r="P47" s="3512">
        <f t="shared" si="2"/>
        <v>0</v>
      </c>
      <c r="Q47" s="3512">
        <f t="shared" si="3"/>
        <v>0</v>
      </c>
      <c r="R47" s="3513">
        <f t="shared" si="4"/>
        <v>0</v>
      </c>
      <c r="T47" s="263">
        <v>0</v>
      </c>
    </row>
    <row r="48" spans="2:20" ht="13.8" x14ac:dyDescent="0.3">
      <c r="B48" s="264"/>
      <c r="C48" s="265" t="s">
        <v>528</v>
      </c>
      <c r="D48" s="266">
        <v>480</v>
      </c>
      <c r="E48" s="266">
        <v>480</v>
      </c>
      <c r="F48" s="258">
        <f t="shared" si="7"/>
        <v>960</v>
      </c>
      <c r="H48" s="135"/>
      <c r="I48" s="259" t="str">
        <f t="shared" si="8"/>
        <v>Measure 37</v>
      </c>
      <c r="J48" s="260"/>
      <c r="K48" s="270"/>
      <c r="L48" s="250">
        <f t="shared" ref="L48:L53" si="9">D98</f>
        <v>0</v>
      </c>
      <c r="M48" s="267">
        <v>0</v>
      </c>
      <c r="N48" s="267">
        <v>0</v>
      </c>
      <c r="O48" s="3515">
        <f t="shared" si="1"/>
        <v>0</v>
      </c>
      <c r="P48" s="3512">
        <f t="shared" si="2"/>
        <v>0</v>
      </c>
      <c r="Q48" s="3512">
        <f t="shared" si="3"/>
        <v>0</v>
      </c>
      <c r="R48" s="3513">
        <f t="shared" si="4"/>
        <v>0</v>
      </c>
      <c r="T48" s="263">
        <v>0</v>
      </c>
    </row>
    <row r="49" spans="2:24" ht="13.8" x14ac:dyDescent="0.3">
      <c r="B49" s="264"/>
      <c r="C49" s="265" t="s">
        <v>529</v>
      </c>
      <c r="D49" s="266">
        <v>5140</v>
      </c>
      <c r="E49" s="266">
        <v>5140</v>
      </c>
      <c r="F49" s="258">
        <f t="shared" si="7"/>
        <v>10280</v>
      </c>
      <c r="I49" s="259" t="str">
        <f t="shared" si="8"/>
        <v>Measure 38</v>
      </c>
      <c r="J49" s="260"/>
      <c r="K49" s="261"/>
      <c r="L49" s="250">
        <f t="shared" si="9"/>
        <v>0</v>
      </c>
      <c r="M49" s="267">
        <v>0</v>
      </c>
      <c r="N49" s="267">
        <v>0</v>
      </c>
      <c r="O49" s="3515">
        <f t="shared" si="1"/>
        <v>0</v>
      </c>
      <c r="P49" s="3512">
        <f t="shared" si="2"/>
        <v>0</v>
      </c>
      <c r="Q49" s="3512">
        <f t="shared" si="3"/>
        <v>0</v>
      </c>
      <c r="R49" s="3513">
        <f t="shared" si="4"/>
        <v>0</v>
      </c>
      <c r="T49" s="263">
        <v>0</v>
      </c>
    </row>
    <row r="50" spans="2:24" ht="13.8" x14ac:dyDescent="0.3">
      <c r="B50" s="264"/>
      <c r="C50" s="265" t="s">
        <v>530</v>
      </c>
      <c r="D50" s="266">
        <v>4000</v>
      </c>
      <c r="E50" s="266">
        <v>4000</v>
      </c>
      <c r="F50" s="258">
        <f t="shared" si="7"/>
        <v>8000</v>
      </c>
      <c r="I50" s="259" t="str">
        <f t="shared" si="8"/>
        <v>Measure 39</v>
      </c>
      <c r="J50" s="260"/>
      <c r="K50" s="261"/>
      <c r="L50" s="250">
        <f t="shared" si="9"/>
        <v>0</v>
      </c>
      <c r="M50" s="267">
        <v>0</v>
      </c>
      <c r="N50" s="267">
        <v>0</v>
      </c>
      <c r="O50" s="3515">
        <f t="shared" si="1"/>
        <v>0</v>
      </c>
      <c r="P50" s="3512">
        <f t="shared" si="2"/>
        <v>0</v>
      </c>
      <c r="Q50" s="3512">
        <f t="shared" si="3"/>
        <v>0</v>
      </c>
      <c r="R50" s="3513">
        <f t="shared" si="4"/>
        <v>0</v>
      </c>
      <c r="T50" s="263">
        <v>0</v>
      </c>
    </row>
    <row r="51" spans="2:24" ht="14.4" thickBot="1" x14ac:dyDescent="0.35">
      <c r="B51" s="264"/>
      <c r="C51" s="265" t="s">
        <v>165</v>
      </c>
      <c r="D51" s="266">
        <v>0</v>
      </c>
      <c r="E51" s="266"/>
      <c r="F51" s="258">
        <f t="shared" si="7"/>
        <v>0</v>
      </c>
      <c r="I51" s="259" t="str">
        <f t="shared" si="8"/>
        <v>Measure 40</v>
      </c>
      <c r="J51" s="260"/>
      <c r="K51" s="261"/>
      <c r="L51" s="250">
        <f t="shared" si="9"/>
        <v>0</v>
      </c>
      <c r="M51" s="267">
        <v>0</v>
      </c>
      <c r="N51" s="267">
        <v>0</v>
      </c>
      <c r="O51" s="3515">
        <f t="shared" si="1"/>
        <v>0</v>
      </c>
      <c r="P51" s="3512">
        <f t="shared" si="2"/>
        <v>0</v>
      </c>
      <c r="Q51" s="3512">
        <f t="shared" si="3"/>
        <v>0</v>
      </c>
      <c r="R51" s="3513">
        <f t="shared" si="4"/>
        <v>0</v>
      </c>
      <c r="T51" s="263">
        <v>0</v>
      </c>
    </row>
    <row r="52" spans="2:24" ht="14.4" thickBot="1" x14ac:dyDescent="0.35">
      <c r="B52" s="272">
        <v>4248785</v>
      </c>
      <c r="C52" s="244" t="s">
        <v>175</v>
      </c>
      <c r="D52" s="245">
        <f>S104</f>
        <v>5249255</v>
      </c>
      <c r="E52" s="245">
        <f>T104</f>
        <v>5111355</v>
      </c>
      <c r="F52" s="246">
        <f>U104</f>
        <v>10360610</v>
      </c>
      <c r="G52" s="271" t="s">
        <v>176</v>
      </c>
      <c r="I52" s="259" t="str">
        <f t="shared" si="8"/>
        <v>Measure 41</v>
      </c>
      <c r="J52" s="260"/>
      <c r="K52" s="261"/>
      <c r="L52" s="250">
        <f t="shared" si="9"/>
        <v>0</v>
      </c>
      <c r="M52" s="267">
        <v>0</v>
      </c>
      <c r="N52" s="267">
        <v>0</v>
      </c>
      <c r="O52" s="3515">
        <f t="shared" si="1"/>
        <v>0</v>
      </c>
      <c r="P52" s="3512">
        <f t="shared" si="2"/>
        <v>0</v>
      </c>
      <c r="Q52" s="3512">
        <f t="shared" si="3"/>
        <v>0</v>
      </c>
      <c r="R52" s="3513">
        <f t="shared" si="4"/>
        <v>0</v>
      </c>
      <c r="T52" s="263">
        <v>0</v>
      </c>
    </row>
    <row r="53" spans="2:24" ht="14.4" thickBot="1" x14ac:dyDescent="0.35">
      <c r="B53" s="272">
        <v>0</v>
      </c>
      <c r="C53" s="244" t="s">
        <v>177</v>
      </c>
      <c r="D53" s="245">
        <v>0</v>
      </c>
      <c r="E53" s="245">
        <v>0</v>
      </c>
      <c r="F53" s="246">
        <v>0</v>
      </c>
      <c r="I53" s="259" t="str">
        <f t="shared" si="8"/>
        <v>Measure 42</v>
      </c>
      <c r="J53" s="260"/>
      <c r="K53" s="261"/>
      <c r="L53" s="250">
        <f t="shared" si="9"/>
        <v>0</v>
      </c>
      <c r="M53" s="267">
        <v>0</v>
      </c>
      <c r="N53" s="267">
        <v>0</v>
      </c>
      <c r="O53" s="3515">
        <f t="shared" si="1"/>
        <v>0</v>
      </c>
      <c r="P53" s="3512">
        <f t="shared" si="2"/>
        <v>0</v>
      </c>
      <c r="Q53" s="3512">
        <f t="shared" si="3"/>
        <v>0</v>
      </c>
      <c r="R53" s="3513">
        <f t="shared" si="4"/>
        <v>0</v>
      </c>
      <c r="T53" s="263">
        <v>0</v>
      </c>
    </row>
    <row r="54" spans="2:24" ht="13.8" x14ac:dyDescent="0.3">
      <c r="B54" s="273">
        <f>B12+B17+B22+B27+B32+B37+B42+B47+B52+B53</f>
        <v>5246291</v>
      </c>
      <c r="C54" s="274" t="s">
        <v>178</v>
      </c>
      <c r="D54" s="273">
        <f>D12+D17+D22+D27+D32+D37+D42+D47+D52+D53</f>
        <v>6887603.8389999997</v>
      </c>
      <c r="E54" s="273">
        <f>E12+E17+E22+E27+E32+E37+E42+E47+E52+E53</f>
        <v>6820160.7850000001</v>
      </c>
      <c r="F54" s="273">
        <f>F12+F17+F22+F27+F32+F37+F42+F47+F52+F53</f>
        <v>13707764.624</v>
      </c>
      <c r="P54" s="275">
        <f>SUM(P12:P53)</f>
        <v>16822842</v>
      </c>
      <c r="Q54" s="275">
        <f>SUM(Q12:Q53)</f>
        <v>16746692</v>
      </c>
      <c r="R54" s="275">
        <f>SUM(R12:R53)</f>
        <v>33569534</v>
      </c>
      <c r="T54" s="275">
        <f>SUM(T12:T53)</f>
        <v>17462539</v>
      </c>
    </row>
    <row r="55" spans="2:24" ht="13.8" x14ac:dyDescent="0.3">
      <c r="C55" s="274"/>
      <c r="D55" s="273"/>
      <c r="E55" s="273"/>
      <c r="F55" s="273"/>
    </row>
    <row r="56" spans="2:24" ht="13.8" x14ac:dyDescent="0.3">
      <c r="C56" s="274" t="s">
        <v>179</v>
      </c>
      <c r="D56" s="273">
        <f>D54-D52</f>
        <v>1638348.8389999997</v>
      </c>
      <c r="E56" s="273">
        <f>E54-E52</f>
        <v>1708805.7850000001</v>
      </c>
      <c r="F56" s="273">
        <f>F54-F52</f>
        <v>3347154.6239999998</v>
      </c>
    </row>
    <row r="57" spans="2:24" ht="13.8" x14ac:dyDescent="0.3">
      <c r="C57" s="274" t="s">
        <v>180</v>
      </c>
      <c r="D57" s="276">
        <f>D52</f>
        <v>5249255</v>
      </c>
      <c r="E57" s="276">
        <f>E52</f>
        <v>5111355</v>
      </c>
      <c r="F57" s="276">
        <f>F52</f>
        <v>10360610</v>
      </c>
      <c r="G57" s="335">
        <f>F57/(F56+F57)</f>
        <v>0.75582053560069939</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643" t="s">
        <v>531</v>
      </c>
      <c r="D62" s="4652">
        <v>307</v>
      </c>
      <c r="E62" s="4644" t="s">
        <v>206</v>
      </c>
      <c r="F62" s="4643" t="s">
        <v>211</v>
      </c>
      <c r="G62" s="4653">
        <v>17.329999999999998</v>
      </c>
      <c r="H62" s="4653">
        <v>17.329999999999998</v>
      </c>
      <c r="I62" s="4651">
        <v>0.23777512073894144</v>
      </c>
      <c r="J62" s="4644">
        <v>10</v>
      </c>
      <c r="K62" s="4644" t="s">
        <v>259</v>
      </c>
      <c r="L62" s="4647">
        <v>4.8613514790637824</v>
      </c>
      <c r="M62" s="4647">
        <v>5.3474866269701611</v>
      </c>
      <c r="N62" s="4649">
        <v>1153052.8167007456</v>
      </c>
      <c r="O62" s="4649">
        <v>1153052.8167007456</v>
      </c>
      <c r="P62" s="4649">
        <v>5605395.0159068303</v>
      </c>
      <c r="Q62" s="4649">
        <v>6165934.5174975134</v>
      </c>
      <c r="R62" s="4646">
        <v>1.081</v>
      </c>
      <c r="S62" s="3509">
        <v>225289.99999999997</v>
      </c>
      <c r="T62" s="3509">
        <v>225289.99999999997</v>
      </c>
      <c r="U62" s="3509">
        <v>450579.99999999994</v>
      </c>
      <c r="V62" s="338">
        <f>U62/(U62+(I62*F$56))</f>
        <v>0.36149060588980592</v>
      </c>
      <c r="W62" s="338">
        <f t="shared" ref="W62:W80" si="10">(I62*((F$17*1.63)+F$27))/(U62+(I62*F$56))</f>
        <v>7.7888462222688123E-2</v>
      </c>
      <c r="X62" s="338">
        <f>(I62*F$37)/(U62+(I62*F$56))</f>
        <v>0.32533454185683253</v>
      </c>
    </row>
    <row r="63" spans="2:24" ht="13.8" x14ac:dyDescent="0.3">
      <c r="B63" s="296"/>
      <c r="C63" s="4643" t="s">
        <v>532</v>
      </c>
      <c r="D63" s="4643">
        <v>27000</v>
      </c>
      <c r="E63" s="4643" t="s">
        <v>206</v>
      </c>
      <c r="F63" s="4643" t="s">
        <v>533</v>
      </c>
      <c r="G63" s="4645">
        <v>12665</v>
      </c>
      <c r="H63" s="4645">
        <v>8000</v>
      </c>
      <c r="I63" s="4651">
        <v>1.1260209927251299E-2</v>
      </c>
      <c r="J63" s="4644">
        <v>12</v>
      </c>
      <c r="K63" s="4644" t="s">
        <v>259</v>
      </c>
      <c r="L63" s="4647">
        <v>2.198708473178101</v>
      </c>
      <c r="M63" s="4647">
        <v>1.6838925182715472</v>
      </c>
      <c r="N63" s="4649">
        <v>138473.32444515254</v>
      </c>
      <c r="O63" s="4649">
        <v>198889.60566624411</v>
      </c>
      <c r="P63" s="4649">
        <v>304462.47176669713</v>
      </c>
      <c r="Q63" s="4649">
        <v>334908.71894336678</v>
      </c>
      <c r="R63" s="4646">
        <v>1.081</v>
      </c>
      <c r="S63" s="3509">
        <v>56000</v>
      </c>
      <c r="T63" s="3509">
        <v>56000</v>
      </c>
      <c r="U63" s="3509">
        <v>112000</v>
      </c>
      <c r="V63" s="338">
        <f t="shared" ref="V63:V80" si="11">U63/(U63+(I63*F$56))</f>
        <v>0.74821465432377476</v>
      </c>
      <c r="W63" s="338">
        <f t="shared" si="10"/>
        <v>3.0713993507109846E-2</v>
      </c>
      <c r="X63" s="338">
        <f t="shared" ref="X63:X80" si="12">(I63*F$37)/(U63+(I63*F$56))</f>
        <v>0.12829015647607234</v>
      </c>
    </row>
    <row r="64" spans="2:24" ht="13.8" x14ac:dyDescent="0.3">
      <c r="B64" s="296"/>
      <c r="C64" s="4643" t="s">
        <v>534</v>
      </c>
      <c r="D64" s="4643">
        <v>20</v>
      </c>
      <c r="E64" s="4643" t="s">
        <v>206</v>
      </c>
      <c r="F64" s="4643" t="s">
        <v>211</v>
      </c>
      <c r="G64" s="4645">
        <v>4.2</v>
      </c>
      <c r="H64" s="4645">
        <v>4.2</v>
      </c>
      <c r="I64" s="4651">
        <v>4.7662264242333543E-3</v>
      </c>
      <c r="J64" s="4644">
        <v>15</v>
      </c>
      <c r="K64" s="4644" t="s">
        <v>259</v>
      </c>
      <c r="L64" s="4647">
        <v>3.2525661070209879</v>
      </c>
      <c r="M64" s="4647">
        <v>3.5778227177230861</v>
      </c>
      <c r="N64" s="4649">
        <v>45840.237571603757</v>
      </c>
      <c r="O64" s="4649">
        <v>45840.237571603757</v>
      </c>
      <c r="P64" s="4649">
        <v>149098.40306318845</v>
      </c>
      <c r="Q64" s="4649">
        <v>164008.24336950728</v>
      </c>
      <c r="R64" s="4646">
        <v>1.081</v>
      </c>
      <c r="S64" s="3509">
        <v>16800</v>
      </c>
      <c r="T64" s="3509">
        <v>16800</v>
      </c>
      <c r="U64" s="3509">
        <v>33600</v>
      </c>
      <c r="V64" s="338">
        <f t="shared" si="11"/>
        <v>0.67805781168316648</v>
      </c>
      <c r="W64" s="338">
        <f t="shared" si="10"/>
        <v>3.9272064285835198E-2</v>
      </c>
      <c r="X64" s="338">
        <f t="shared" si="12"/>
        <v>0.1640366066757778</v>
      </c>
    </row>
    <row r="65" spans="2:24" ht="13.8" x14ac:dyDescent="0.3">
      <c r="B65" s="296"/>
      <c r="C65" s="4643" t="s">
        <v>535</v>
      </c>
      <c r="D65" s="4643">
        <v>2.1800000000000002</v>
      </c>
      <c r="E65" s="4643" t="s">
        <v>206</v>
      </c>
      <c r="F65" s="4643" t="s">
        <v>295</v>
      </c>
      <c r="G65" s="4645">
        <v>1.06</v>
      </c>
      <c r="H65" s="4645">
        <v>0.75</v>
      </c>
      <c r="I65" s="4651">
        <v>1.5715440077303429E-3</v>
      </c>
      <c r="J65" s="4644">
        <v>30</v>
      </c>
      <c r="K65" s="4644" t="s">
        <v>296</v>
      </c>
      <c r="L65" s="4647">
        <v>4.7460116959372485</v>
      </c>
      <c r="M65" s="4647">
        <v>3.9536361795171922</v>
      </c>
      <c r="N65" s="4649">
        <v>21656.059937367354</v>
      </c>
      <c r="O65" s="4649">
        <v>28595.930427654126</v>
      </c>
      <c r="P65" s="4649">
        <v>102779.91375066353</v>
      </c>
      <c r="Q65" s="4649">
        <v>113057.90512572989</v>
      </c>
      <c r="R65" s="4646">
        <v>1.081</v>
      </c>
      <c r="S65" s="3509">
        <v>9075</v>
      </c>
      <c r="T65" s="3509">
        <v>9075</v>
      </c>
      <c r="U65" s="3509">
        <v>18150</v>
      </c>
      <c r="V65" s="338">
        <f t="shared" si="11"/>
        <v>0.77530304678011996</v>
      </c>
      <c r="W65" s="338">
        <f t="shared" si="10"/>
        <v>2.740962045955329E-2</v>
      </c>
      <c r="X65" s="338">
        <f t="shared" si="12"/>
        <v>0.11448802634186443</v>
      </c>
    </row>
    <row r="66" spans="2:24" ht="13.8" x14ac:dyDescent="0.3">
      <c r="B66" s="296"/>
      <c r="C66" s="4643" t="s">
        <v>536</v>
      </c>
      <c r="D66" s="4643">
        <v>1.18</v>
      </c>
      <c r="E66" s="4643" t="s">
        <v>206</v>
      </c>
      <c r="F66" s="4643" t="s">
        <v>295</v>
      </c>
      <c r="G66" s="4645">
        <v>0.95</v>
      </c>
      <c r="H66" s="4645">
        <v>0.75</v>
      </c>
      <c r="I66" s="4651">
        <v>7.0301839757441975E-2</v>
      </c>
      <c r="J66" s="4644">
        <v>30</v>
      </c>
      <c r="K66" s="4644" t="s">
        <v>296</v>
      </c>
      <c r="L66" s="4647">
        <v>2.8641564336680152</v>
      </c>
      <c r="M66" s="4647">
        <v>2.5603869680466977</v>
      </c>
      <c r="N66" s="4649">
        <v>1605283.1896575661</v>
      </c>
      <c r="O66" s="4649">
        <v>1975310.9417389722</v>
      </c>
      <c r="P66" s="4649">
        <v>4597782.1755168308</v>
      </c>
      <c r="Q66" s="4649">
        <v>5057560.3930685138</v>
      </c>
      <c r="R66" s="4646">
        <v>1.081</v>
      </c>
      <c r="S66" s="3509">
        <v>750000</v>
      </c>
      <c r="T66" s="3509">
        <v>750000</v>
      </c>
      <c r="U66" s="3509">
        <v>1500000</v>
      </c>
      <c r="V66" s="338">
        <f t="shared" si="11"/>
        <v>0.86439830632081327</v>
      </c>
      <c r="W66" s="338">
        <f t="shared" si="10"/>
        <v>1.6541350045730274E-2</v>
      </c>
      <c r="X66" s="338">
        <f t="shared" si="12"/>
        <v>6.9092037321717523E-2</v>
      </c>
    </row>
    <row r="67" spans="2:24" ht="13.8" x14ac:dyDescent="0.3">
      <c r="B67" s="296"/>
      <c r="C67" s="4643" t="s">
        <v>537</v>
      </c>
      <c r="D67" s="4643">
        <v>0.57999999999999996</v>
      </c>
      <c r="E67" s="4643" t="s">
        <v>206</v>
      </c>
      <c r="F67" s="4643" t="s">
        <v>295</v>
      </c>
      <c r="G67" s="4645">
        <v>0.53</v>
      </c>
      <c r="H67" s="4645">
        <v>0.5</v>
      </c>
      <c r="I67" s="4651">
        <v>3.4555141575691814E-4</v>
      </c>
      <c r="J67" s="4644">
        <v>30</v>
      </c>
      <c r="K67" s="4644" t="s">
        <v>296</v>
      </c>
      <c r="L67" s="4647">
        <v>2.1897153574107127</v>
      </c>
      <c r="M67" s="4647">
        <v>2.2857593109801191</v>
      </c>
      <c r="N67" s="4649">
        <v>10320.642015800662</v>
      </c>
      <c r="O67" s="4649">
        <v>10875.68364392277</v>
      </c>
      <c r="P67" s="4649">
        <v>22599.268320336963</v>
      </c>
      <c r="Q67" s="4649">
        <v>24859.195152370659</v>
      </c>
      <c r="R67" s="4646">
        <v>1.081</v>
      </c>
      <c r="S67" s="3509">
        <v>5000</v>
      </c>
      <c r="T67" s="3509">
        <v>5000</v>
      </c>
      <c r="U67" s="3509">
        <v>10000</v>
      </c>
      <c r="V67" s="338">
        <f t="shared" si="11"/>
        <v>0.89632929694417818</v>
      </c>
      <c r="W67" s="338">
        <f t="shared" si="10"/>
        <v>1.2646253466349712E-2</v>
      </c>
      <c r="X67" s="338">
        <f t="shared" si="12"/>
        <v>5.2822497200128569E-2</v>
      </c>
    </row>
    <row r="68" spans="2:24" ht="13.8" x14ac:dyDescent="0.3">
      <c r="B68" s="296"/>
      <c r="C68" s="4643" t="s">
        <v>538</v>
      </c>
      <c r="D68" s="4643">
        <v>1.3</v>
      </c>
      <c r="E68" s="4643" t="s">
        <v>206</v>
      </c>
      <c r="F68" s="4643" t="s">
        <v>295</v>
      </c>
      <c r="G68" s="4645">
        <v>1.59</v>
      </c>
      <c r="H68" s="4645">
        <v>0.75</v>
      </c>
      <c r="I68" s="4651">
        <v>7.822569118772992E-4</v>
      </c>
      <c r="J68" s="4644">
        <v>30</v>
      </c>
      <c r="K68" s="4644" t="s">
        <v>296</v>
      </c>
      <c r="L68" s="4647">
        <v>3.1125051252375733</v>
      </c>
      <c r="M68" s="4647">
        <v>1.7513199611262256</v>
      </c>
      <c r="N68" s="4649">
        <v>16436.942497452415</v>
      </c>
      <c r="O68" s="4649">
        <v>32133.519740745669</v>
      </c>
      <c r="P68" s="4649">
        <v>51160.06776655592</v>
      </c>
      <c r="Q68" s="4649">
        <v>56276.074543211507</v>
      </c>
      <c r="R68" s="4646">
        <v>1.081</v>
      </c>
      <c r="S68" s="3509">
        <v>7575</v>
      </c>
      <c r="T68" s="3509">
        <v>7575</v>
      </c>
      <c r="U68" s="3509">
        <v>15150</v>
      </c>
      <c r="V68" s="338">
        <f t="shared" si="11"/>
        <v>0.85264039295966565</v>
      </c>
      <c r="W68" s="338">
        <f t="shared" si="10"/>
        <v>1.7975637151127714E-2</v>
      </c>
      <c r="X68" s="338">
        <f t="shared" si="12"/>
        <v>7.5082952086365631E-2</v>
      </c>
    </row>
    <row r="69" spans="2:24" s="366" customFormat="1" ht="13.8" x14ac:dyDescent="0.3">
      <c r="B69" s="364"/>
      <c r="C69" s="4663" t="s">
        <v>539</v>
      </c>
      <c r="D69" s="4663">
        <v>1.04</v>
      </c>
      <c r="E69" s="4663" t="s">
        <v>206</v>
      </c>
      <c r="F69" s="4663" t="s">
        <v>295</v>
      </c>
      <c r="G69" s="4665">
        <v>1.01</v>
      </c>
      <c r="H69" s="4665">
        <v>0.75</v>
      </c>
      <c r="I69" s="4666">
        <v>0</v>
      </c>
      <c r="J69" s="4667">
        <v>30</v>
      </c>
      <c r="K69" s="4667" t="s">
        <v>296</v>
      </c>
      <c r="L69" s="4671" t="e">
        <v>#DIV/0!</v>
      </c>
      <c r="M69" s="4671" t="e">
        <v>#DIV/0!</v>
      </c>
      <c r="N69" s="4672">
        <v>0</v>
      </c>
      <c r="O69" s="4672">
        <v>0</v>
      </c>
      <c r="P69" s="4672">
        <v>0</v>
      </c>
      <c r="Q69" s="4672">
        <v>0</v>
      </c>
      <c r="R69" s="4673">
        <v>1.081</v>
      </c>
      <c r="S69" s="3510">
        <v>0</v>
      </c>
      <c r="T69" s="3510">
        <v>0</v>
      </c>
      <c r="U69" s="3510">
        <v>0</v>
      </c>
      <c r="V69" s="365" t="e">
        <f t="shared" si="11"/>
        <v>#DIV/0!</v>
      </c>
      <c r="W69" s="365" t="e">
        <f t="shared" si="10"/>
        <v>#DIV/0!</v>
      </c>
      <c r="X69" s="365" t="e">
        <f t="shared" si="12"/>
        <v>#DIV/0!</v>
      </c>
    </row>
    <row r="70" spans="2:24" ht="13.8" x14ac:dyDescent="0.3">
      <c r="B70" s="296"/>
      <c r="C70" s="4643" t="s">
        <v>540</v>
      </c>
      <c r="D70" s="4643">
        <v>0.76</v>
      </c>
      <c r="E70" s="4643" t="s">
        <v>206</v>
      </c>
      <c r="F70" s="4643" t="s">
        <v>295</v>
      </c>
      <c r="G70" s="4645">
        <v>1.27</v>
      </c>
      <c r="H70" s="4645">
        <v>0.75</v>
      </c>
      <c r="I70" s="4651">
        <v>9.9614132266477094E-5</v>
      </c>
      <c r="J70" s="4644">
        <v>30</v>
      </c>
      <c r="K70" s="4644" t="s">
        <v>296</v>
      </c>
      <c r="L70" s="4647">
        <v>1.938261114716864</v>
      </c>
      <c r="M70" s="4647">
        <v>1.3082624750687297</v>
      </c>
      <c r="N70" s="4649">
        <v>3361.1691983640026</v>
      </c>
      <c r="O70" s="4649">
        <v>5477.7279402696449</v>
      </c>
      <c r="P70" s="4649">
        <v>6514.8235571730002</v>
      </c>
      <c r="Q70" s="4649">
        <v>7166.3059128903005</v>
      </c>
      <c r="R70" s="4646">
        <v>1.081</v>
      </c>
      <c r="S70" s="3509">
        <v>1650</v>
      </c>
      <c r="T70" s="3509">
        <v>1650</v>
      </c>
      <c r="U70" s="3509">
        <v>3300</v>
      </c>
      <c r="V70" s="338">
        <f t="shared" si="11"/>
        <v>0.90823424067954373</v>
      </c>
      <c r="W70" s="338">
        <f t="shared" si="10"/>
        <v>1.1194030885212208E-2</v>
      </c>
      <c r="X70" s="338">
        <f t="shared" si="12"/>
        <v>4.6756667234738716E-2</v>
      </c>
    </row>
    <row r="71" spans="2:24" ht="13.8" x14ac:dyDescent="0.3">
      <c r="B71" s="296"/>
      <c r="C71" s="4643" t="s">
        <v>541</v>
      </c>
      <c r="D71" s="4643">
        <v>1.3</v>
      </c>
      <c r="E71" s="4643" t="s">
        <v>206</v>
      </c>
      <c r="F71" s="4643" t="s">
        <v>295</v>
      </c>
      <c r="G71" s="4645">
        <v>0.76</v>
      </c>
      <c r="H71" s="4645">
        <v>0.75</v>
      </c>
      <c r="I71" s="4651">
        <v>5.5377593266561281E-3</v>
      </c>
      <c r="J71" s="4644">
        <v>30</v>
      </c>
      <c r="K71" s="4644" t="s">
        <v>296</v>
      </c>
      <c r="L71" s="4647">
        <v>3.1125051252375728</v>
      </c>
      <c r="M71" s="4647">
        <v>3.3852700644542519</v>
      </c>
      <c r="N71" s="4649">
        <v>116360.53352156909</v>
      </c>
      <c r="O71" s="4649">
        <v>117683.38273526012</v>
      </c>
      <c r="P71" s="4649">
        <v>362172.7569612622</v>
      </c>
      <c r="Q71" s="4649">
        <v>398390.03265738842</v>
      </c>
      <c r="R71" s="4646">
        <v>1.081</v>
      </c>
      <c r="S71" s="3509">
        <v>53625</v>
      </c>
      <c r="T71" s="3509">
        <v>53625</v>
      </c>
      <c r="U71" s="3509">
        <v>107250</v>
      </c>
      <c r="V71" s="338">
        <f t="shared" si="11"/>
        <v>0.85264039295966565</v>
      </c>
      <c r="W71" s="338">
        <f t="shared" si="10"/>
        <v>1.7975637151127714E-2</v>
      </c>
      <c r="X71" s="338">
        <f t="shared" si="12"/>
        <v>7.5082952086365631E-2</v>
      </c>
    </row>
    <row r="72" spans="2:24" ht="13.8" x14ac:dyDescent="0.3">
      <c r="B72" s="296"/>
      <c r="C72" s="4643" t="s">
        <v>542</v>
      </c>
      <c r="D72" s="4643">
        <v>21.65</v>
      </c>
      <c r="E72" s="4643" t="s">
        <v>206</v>
      </c>
      <c r="F72" s="4643" t="s">
        <v>295</v>
      </c>
      <c r="G72" s="4645">
        <v>20.61</v>
      </c>
      <c r="H72" s="4645">
        <v>6</v>
      </c>
      <c r="I72" s="4651">
        <v>9.996415201950673E-2</v>
      </c>
      <c r="J72" s="4644">
        <v>30</v>
      </c>
      <c r="K72" s="4644" t="s">
        <v>296</v>
      </c>
      <c r="L72" s="4647">
        <v>5.5885618161925477</v>
      </c>
      <c r="M72" s="4647">
        <v>2.2027986754231343</v>
      </c>
      <c r="N72" s="4649">
        <v>1169838.5510326836</v>
      </c>
      <c r="O72" s="4649">
        <v>3264704.4159725541</v>
      </c>
      <c r="P72" s="4649">
        <v>6537715.057411273</v>
      </c>
      <c r="Q72" s="4649">
        <v>7191486.5631523998</v>
      </c>
      <c r="R72" s="4646">
        <v>1.081</v>
      </c>
      <c r="S72" s="3509">
        <v>480000</v>
      </c>
      <c r="T72" s="3509">
        <v>450000</v>
      </c>
      <c r="U72" s="3509">
        <v>930000</v>
      </c>
      <c r="V72" s="338">
        <f t="shared" si="11"/>
        <v>0.73541303868796282</v>
      </c>
      <c r="W72" s="338">
        <f t="shared" si="10"/>
        <v>3.2275596460859396E-2</v>
      </c>
      <c r="X72" s="338">
        <f t="shared" si="12"/>
        <v>0.13481286044303292</v>
      </c>
    </row>
    <row r="73" spans="2:24" ht="13.8" x14ac:dyDescent="0.3">
      <c r="B73" s="296"/>
      <c r="C73" s="4643" t="s">
        <v>543</v>
      </c>
      <c r="D73" s="4643">
        <v>23.58</v>
      </c>
      <c r="E73" s="4643" t="s">
        <v>206</v>
      </c>
      <c r="F73" s="4643" t="s">
        <v>295</v>
      </c>
      <c r="G73" s="4645">
        <v>21.97</v>
      </c>
      <c r="H73" s="4645">
        <v>8</v>
      </c>
      <c r="I73" s="4651">
        <v>2.4725276198352943E-2</v>
      </c>
      <c r="J73" s="4644">
        <v>30</v>
      </c>
      <c r="K73" s="4644" t="s">
        <v>296</v>
      </c>
      <c r="L73" s="4647">
        <v>4.7975406316367701</v>
      </c>
      <c r="M73" s="4647">
        <v>2.2460274002769096</v>
      </c>
      <c r="N73" s="4649">
        <v>337057.65268917131</v>
      </c>
      <c r="O73" s="4649">
        <v>791954.96998796868</v>
      </c>
      <c r="P73" s="4649">
        <v>1617047.783980414</v>
      </c>
      <c r="Q73" s="4649">
        <v>1778752.5623784554</v>
      </c>
      <c r="R73" s="4646">
        <v>1.081</v>
      </c>
      <c r="S73" s="3509">
        <v>140800</v>
      </c>
      <c r="T73" s="3509">
        <v>140800</v>
      </c>
      <c r="U73" s="3509">
        <v>281600</v>
      </c>
      <c r="V73" s="338">
        <f t="shared" si="11"/>
        <v>0.77286344157133868</v>
      </c>
      <c r="W73" s="338">
        <f t="shared" si="10"/>
        <v>2.7707215295111252E-2</v>
      </c>
      <c r="X73" s="338">
        <f t="shared" si="12"/>
        <v>0.11573105870792143</v>
      </c>
    </row>
    <row r="74" spans="2:24" ht="13.8" x14ac:dyDescent="0.3">
      <c r="B74" s="296"/>
      <c r="C74" s="4643" t="s">
        <v>544</v>
      </c>
      <c r="D74" s="4643">
        <v>13.02</v>
      </c>
      <c r="E74" s="4643" t="s">
        <v>206</v>
      </c>
      <c r="F74" s="4643" t="s">
        <v>295</v>
      </c>
      <c r="G74" s="4645">
        <v>20.61</v>
      </c>
      <c r="H74" s="4645">
        <v>6</v>
      </c>
      <c r="I74" s="4651">
        <v>9.8902177194357246E-2</v>
      </c>
      <c r="J74" s="4644">
        <v>30</v>
      </c>
      <c r="K74" s="4644" t="s">
        <v>296</v>
      </c>
      <c r="L74" s="4647">
        <v>3.7571396258812966</v>
      </c>
      <c r="M74" s="4647">
        <v>1.3767626167076574</v>
      </c>
      <c r="N74" s="4649">
        <v>1721591.9331357635</v>
      </c>
      <c r="O74" s="4649">
        <v>5167984.1625529695</v>
      </c>
      <c r="P74" s="4649">
        <v>6468261.2715819608</v>
      </c>
      <c r="Q74" s="4649">
        <v>7115087.3987401575</v>
      </c>
      <c r="R74" s="4646">
        <v>1.081</v>
      </c>
      <c r="S74" s="3509">
        <v>750000</v>
      </c>
      <c r="T74" s="3509">
        <v>780000</v>
      </c>
      <c r="U74" s="3509">
        <v>1530000</v>
      </c>
      <c r="V74" s="338">
        <f t="shared" si="11"/>
        <v>0.82212057600281774</v>
      </c>
      <c r="W74" s="338">
        <f t="shared" si="10"/>
        <v>2.1698591945550912E-2</v>
      </c>
      <c r="X74" s="338">
        <f t="shared" si="12"/>
        <v>9.0633468271092116E-2</v>
      </c>
    </row>
    <row r="75" spans="2:24" ht="13.8" x14ac:dyDescent="0.3">
      <c r="B75" s="296"/>
      <c r="C75" s="4643" t="s">
        <v>545</v>
      </c>
      <c r="D75" s="4643">
        <v>13.87</v>
      </c>
      <c r="E75" s="4643" t="s">
        <v>206</v>
      </c>
      <c r="F75" s="4643" t="s">
        <v>295</v>
      </c>
      <c r="G75" s="4645">
        <v>21.97</v>
      </c>
      <c r="H75" s="4645">
        <v>8</v>
      </c>
      <c r="I75" s="4651">
        <v>1.8179579138632069E-3</v>
      </c>
      <c r="J75" s="4644">
        <v>30</v>
      </c>
      <c r="K75" s="4644" t="s">
        <v>296</v>
      </c>
      <c r="L75" s="4647">
        <v>3.1131430467734393</v>
      </c>
      <c r="M75" s="4647">
        <v>1.3759081833303453</v>
      </c>
      <c r="N75" s="4649">
        <v>38191.476630550067</v>
      </c>
      <c r="O75" s="4649">
        <v>95053.64129289976</v>
      </c>
      <c r="P75" s="4649">
        <v>118895.52991840725</v>
      </c>
      <c r="Q75" s="4649">
        <v>130785.08291024799</v>
      </c>
      <c r="R75" s="4646">
        <v>1.081</v>
      </c>
      <c r="S75" s="3509">
        <v>17600</v>
      </c>
      <c r="T75" s="3509">
        <v>17600</v>
      </c>
      <c r="U75" s="3509">
        <v>35200</v>
      </c>
      <c r="V75" s="338">
        <f t="shared" si="11"/>
        <v>0.85261019096382462</v>
      </c>
      <c r="W75" s="338">
        <f t="shared" si="10"/>
        <v>1.7979321336566205E-2</v>
      </c>
      <c r="X75" s="338">
        <f t="shared" si="12"/>
        <v>7.5098340665720548E-2</v>
      </c>
    </row>
    <row r="76" spans="2:24" ht="13.8" x14ac:dyDescent="0.3">
      <c r="B76" s="296"/>
      <c r="C76" s="4643" t="s">
        <v>546</v>
      </c>
      <c r="D76" s="4643">
        <v>54135</v>
      </c>
      <c r="E76" s="4643" t="s">
        <v>206</v>
      </c>
      <c r="F76" s="4643" t="s">
        <v>341</v>
      </c>
      <c r="G76" s="4645">
        <v>16055</v>
      </c>
      <c r="H76" s="4645">
        <v>8000</v>
      </c>
      <c r="I76" s="4651">
        <v>0.14513606295517834</v>
      </c>
      <c r="J76" s="4644">
        <v>15</v>
      </c>
      <c r="K76" s="4644" t="s">
        <v>208</v>
      </c>
      <c r="L76" s="4647">
        <v>4.1689067085882776</v>
      </c>
      <c r="M76" s="4647">
        <v>2.8639348226772849</v>
      </c>
      <c r="N76" s="4649">
        <v>1115442.0390652919</v>
      </c>
      <c r="O76" s="4649">
        <v>1786071.0862438302</v>
      </c>
      <c r="P76" s="4649">
        <v>4650173.799700683</v>
      </c>
      <c r="Q76" s="4649">
        <v>5115191.1796707492</v>
      </c>
      <c r="R76" s="4646">
        <v>1.081</v>
      </c>
      <c r="S76" s="3509">
        <v>360000</v>
      </c>
      <c r="T76" s="3509">
        <v>360000</v>
      </c>
      <c r="U76" s="3509">
        <v>720000</v>
      </c>
      <c r="V76" s="338">
        <f t="shared" si="11"/>
        <v>0.59711749281447346</v>
      </c>
      <c r="W76" s="338">
        <f t="shared" si="10"/>
        <v>4.9145555618381707E-2</v>
      </c>
      <c r="X76" s="338">
        <f t="shared" si="12"/>
        <v>0.20527747454677994</v>
      </c>
    </row>
    <row r="77" spans="2:24" ht="13.8" x14ac:dyDescent="0.3">
      <c r="B77" s="296"/>
      <c r="C77" s="4643" t="s">
        <v>547</v>
      </c>
      <c r="D77" s="4643">
        <v>149</v>
      </c>
      <c r="E77" s="4643" t="s">
        <v>206</v>
      </c>
      <c r="F77" s="4643" t="s">
        <v>211</v>
      </c>
      <c r="G77" s="4645">
        <v>107</v>
      </c>
      <c r="H77" s="4645">
        <v>50</v>
      </c>
      <c r="I77" s="4651">
        <v>4.4385483575673111E-4</v>
      </c>
      <c r="J77" s="4644">
        <v>14</v>
      </c>
      <c r="K77" s="4644" t="s">
        <v>259</v>
      </c>
      <c r="L77" s="4647">
        <v>2.2144761014363068</v>
      </c>
      <c r="M77" s="4647">
        <v>1.2964880406616319</v>
      </c>
      <c r="N77" s="4649">
        <v>5999.6769342163761</v>
      </c>
      <c r="O77" s="4649">
        <v>11272.572401376414</v>
      </c>
      <c r="P77" s="4649">
        <v>13286.141187160814</v>
      </c>
      <c r="Q77" s="4649">
        <v>14614.755305876894</v>
      </c>
      <c r="R77" s="4646">
        <v>1.081</v>
      </c>
      <c r="S77" s="3509">
        <v>2500</v>
      </c>
      <c r="T77" s="3509">
        <v>2500</v>
      </c>
      <c r="U77" s="3509">
        <v>5000</v>
      </c>
      <c r="V77" s="338">
        <f t="shared" si="11"/>
        <v>0.77093266049694353</v>
      </c>
      <c r="W77" s="338">
        <f t="shared" si="10"/>
        <v>2.7942741303280453E-2</v>
      </c>
      <c r="X77" s="338">
        <f t="shared" si="12"/>
        <v>0.11671483401656754</v>
      </c>
    </row>
    <row r="78" spans="2:24" ht="13.8" x14ac:dyDescent="0.3">
      <c r="B78" s="296"/>
      <c r="C78" s="4643" t="s">
        <v>548</v>
      </c>
      <c r="D78" s="4643">
        <v>219</v>
      </c>
      <c r="E78" s="4643" t="s">
        <v>206</v>
      </c>
      <c r="F78" s="4643" t="s">
        <v>211</v>
      </c>
      <c r="G78" s="4645">
        <v>246</v>
      </c>
      <c r="H78" s="4645">
        <v>100</v>
      </c>
      <c r="I78" s="4651">
        <v>6.5237724181694038E-4</v>
      </c>
      <c r="J78" s="4644">
        <v>14</v>
      </c>
      <c r="K78" s="4644" t="s">
        <v>259</v>
      </c>
      <c r="L78" s="4647">
        <v>1.7326326895879394</v>
      </c>
      <c r="M78" s="4647">
        <v>0.86697388678390486</v>
      </c>
      <c r="N78" s="4649">
        <v>11270.68224009245</v>
      </c>
      <c r="O78" s="4649">
        <v>24776.695191063773</v>
      </c>
      <c r="P78" s="4649">
        <v>19527.952483142402</v>
      </c>
      <c r="Q78" s="4649">
        <v>21480.747731456642</v>
      </c>
      <c r="R78" s="4646">
        <v>1.081</v>
      </c>
      <c r="S78" s="3509">
        <v>5000</v>
      </c>
      <c r="T78" s="3509">
        <v>5000</v>
      </c>
      <c r="U78" s="3509">
        <v>10000</v>
      </c>
      <c r="V78" s="338">
        <f t="shared" si="11"/>
        <v>0.82077496330508493</v>
      </c>
      <c r="W78" s="338">
        <f t="shared" si="10"/>
        <v>2.1862736286637378E-2</v>
      </c>
      <c r="X78" s="338">
        <f t="shared" si="12"/>
        <v>9.1319087456294121E-2</v>
      </c>
    </row>
    <row r="79" spans="2:24" ht="13.8" x14ac:dyDescent="0.3">
      <c r="B79" s="296"/>
      <c r="C79" s="4643" t="s">
        <v>549</v>
      </c>
      <c r="D79" s="4643">
        <v>49</v>
      </c>
      <c r="E79" s="4643" t="s">
        <v>206</v>
      </c>
      <c r="F79" s="4643" t="s">
        <v>211</v>
      </c>
      <c r="G79" s="4645">
        <v>25</v>
      </c>
      <c r="H79" s="4645">
        <v>25</v>
      </c>
      <c r="I79" s="4651">
        <v>2.3354509478743433E-2</v>
      </c>
      <c r="J79" s="4644">
        <v>15</v>
      </c>
      <c r="K79" s="4644" t="s">
        <v>208</v>
      </c>
      <c r="L79" s="4647">
        <v>1.6916359933597496</v>
      </c>
      <c r="M79" s="4647">
        <v>1.8607995926957241</v>
      </c>
      <c r="N79" s="4649">
        <v>442341.49342555774</v>
      </c>
      <c r="O79" s="4649">
        <v>442341.49342555774</v>
      </c>
      <c r="P79" s="4649">
        <v>748280.7916351785</v>
      </c>
      <c r="Q79" s="4649">
        <v>823108.87079869618</v>
      </c>
      <c r="R79" s="4646">
        <v>1.081</v>
      </c>
      <c r="S79" s="3509">
        <v>200000</v>
      </c>
      <c r="T79" s="3509">
        <v>200000</v>
      </c>
      <c r="U79" s="3509">
        <v>400000</v>
      </c>
      <c r="V79" s="338">
        <f t="shared" si="11"/>
        <v>0.8365205561338066</v>
      </c>
      <c r="W79" s="338">
        <f t="shared" si="10"/>
        <v>1.9942012764749672E-2</v>
      </c>
      <c r="X79" s="338">
        <f t="shared" si="12"/>
        <v>8.3296362534078905E-2</v>
      </c>
    </row>
    <row r="80" spans="2:24" ht="13.8" x14ac:dyDescent="0.3">
      <c r="B80" s="296"/>
      <c r="C80" s="4643" t="s">
        <v>550</v>
      </c>
      <c r="D80" s="4643">
        <v>23</v>
      </c>
      <c r="E80" s="4643" t="s">
        <v>206</v>
      </c>
      <c r="F80" s="4643" t="s">
        <v>211</v>
      </c>
      <c r="G80" s="4645">
        <v>8.93</v>
      </c>
      <c r="H80" s="4645">
        <v>8.93</v>
      </c>
      <c r="I80" s="4651">
        <v>0.20554351454506339</v>
      </c>
      <c r="J80" s="4644">
        <v>5</v>
      </c>
      <c r="K80" s="4644" t="s">
        <v>208</v>
      </c>
      <c r="L80" s="4647">
        <v>0.89770071331030032</v>
      </c>
      <c r="M80" s="4647">
        <v>0.9874707846413302</v>
      </c>
      <c r="N80" s="4649">
        <v>3114695.582925736</v>
      </c>
      <c r="O80" s="4649">
        <v>3114695.582925736</v>
      </c>
      <c r="P80" s="4649">
        <v>2796064.4465368749</v>
      </c>
      <c r="Q80" s="4649">
        <v>3075670.8911905619</v>
      </c>
      <c r="R80" s="4646">
        <v>1.081</v>
      </c>
      <c r="S80" s="3509">
        <v>1339500</v>
      </c>
      <c r="T80" s="3509">
        <v>1339500</v>
      </c>
      <c r="U80" s="3509">
        <v>2679000</v>
      </c>
      <c r="V80" s="338">
        <f t="shared" si="11"/>
        <v>0.79566712174077237</v>
      </c>
      <c r="W80" s="338">
        <f t="shared" si="10"/>
        <v>2.4925512163099569E-2</v>
      </c>
      <c r="X80" s="338">
        <f t="shared" si="12"/>
        <v>0.10411208346808001</v>
      </c>
    </row>
    <row r="81" spans="2:21" ht="13.8" x14ac:dyDescent="0.3">
      <c r="B81" s="296"/>
      <c r="C81" s="4643" t="s">
        <v>551</v>
      </c>
      <c r="D81" s="4643">
        <v>131</v>
      </c>
      <c r="E81" s="4643" t="s">
        <v>206</v>
      </c>
      <c r="F81" s="4643" t="s">
        <v>211</v>
      </c>
      <c r="G81" s="4645">
        <v>67</v>
      </c>
      <c r="H81" s="4645">
        <v>50</v>
      </c>
      <c r="I81" s="4651">
        <v>1.5609391539364234E-4</v>
      </c>
      <c r="J81" s="4644">
        <v>15</v>
      </c>
      <c r="K81" s="4644" t="s">
        <v>259</v>
      </c>
      <c r="L81" s="4647">
        <v>2.0925888133807948</v>
      </c>
      <c r="M81" s="4647">
        <v>1.8130823971976391</v>
      </c>
      <c r="N81" s="4649">
        <v>2333.4601949011053</v>
      </c>
      <c r="O81" s="4649">
        <v>2962.507373439496</v>
      </c>
      <c r="P81" s="4649">
        <v>4882.9727003194221</v>
      </c>
      <c r="Q81" s="4649">
        <v>5371.2699703513626</v>
      </c>
      <c r="R81" s="4646">
        <v>1.081</v>
      </c>
      <c r="S81" s="3509">
        <v>1000</v>
      </c>
      <c r="T81" s="3509">
        <v>1000</v>
      </c>
      <c r="U81" s="3509">
        <v>2000</v>
      </c>
    </row>
    <row r="82" spans="2:21" ht="13.8" x14ac:dyDescent="0.3">
      <c r="B82" s="296"/>
      <c r="C82" s="4643" t="s">
        <v>552</v>
      </c>
      <c r="D82" s="4648">
        <v>44</v>
      </c>
      <c r="E82" s="4643" t="s">
        <v>206</v>
      </c>
      <c r="F82" s="4643" t="s">
        <v>211</v>
      </c>
      <c r="G82" s="4645">
        <v>19</v>
      </c>
      <c r="H82" s="4654">
        <v>20</v>
      </c>
      <c r="I82" s="4651">
        <v>1.3107122666641724E-4</v>
      </c>
      <c r="J82" s="4644">
        <v>20</v>
      </c>
      <c r="K82" s="4644" t="s">
        <v>291</v>
      </c>
      <c r="L82" s="4647">
        <v>1.8898456078112484</v>
      </c>
      <c r="M82" s="4647">
        <v>2.1677178517770108</v>
      </c>
      <c r="N82" s="4649">
        <v>2255.9811863180857</v>
      </c>
      <c r="O82" s="4649">
        <v>2163.4742482977344</v>
      </c>
      <c r="P82" s="4649">
        <v>4263.4561362680442</v>
      </c>
      <c r="Q82" s="4649">
        <v>4689.8017498948484</v>
      </c>
      <c r="R82" s="4646">
        <v>1.081</v>
      </c>
      <c r="S82" s="3509">
        <v>1000</v>
      </c>
      <c r="T82" s="3509">
        <v>1000</v>
      </c>
      <c r="U82" s="3509">
        <v>2000</v>
      </c>
    </row>
    <row r="83" spans="2:21" s="367" customFormat="1" ht="13.8" x14ac:dyDescent="0.3">
      <c r="B83" s="327"/>
      <c r="C83" s="4650" t="s">
        <v>446</v>
      </c>
      <c r="D83" s="4668">
        <v>755</v>
      </c>
      <c r="E83" s="4650" t="s">
        <v>206</v>
      </c>
      <c r="F83" s="4650" t="s">
        <v>211</v>
      </c>
      <c r="G83" s="4669">
        <v>417</v>
      </c>
      <c r="H83" s="4669">
        <v>417</v>
      </c>
      <c r="I83" s="4676">
        <v>2.249063093935114E-2</v>
      </c>
      <c r="J83" s="4670">
        <v>20</v>
      </c>
      <c r="K83" s="4670" t="s">
        <v>296</v>
      </c>
      <c r="L83" s="4647">
        <v>2.6861541432993357</v>
      </c>
      <c r="M83" s="4647">
        <v>2.9547695576292696</v>
      </c>
      <c r="N83" s="4674">
        <v>455392.80235460371</v>
      </c>
      <c r="O83" s="4674">
        <v>455392.80235460371</v>
      </c>
      <c r="P83" s="4674">
        <v>1223255.2628735143</v>
      </c>
      <c r="Q83" s="4674">
        <v>1345580.7891608658</v>
      </c>
      <c r="R83" s="4675">
        <v>1.081</v>
      </c>
      <c r="S83" s="3511">
        <v>208500</v>
      </c>
      <c r="T83" s="3511">
        <v>208500</v>
      </c>
      <c r="U83" s="3511">
        <v>417000</v>
      </c>
    </row>
    <row r="84" spans="2:21" ht="13.8" x14ac:dyDescent="0.3">
      <c r="B84" s="296"/>
      <c r="C84" s="4663" t="s">
        <v>553</v>
      </c>
      <c r="D84" s="4664">
        <v>49</v>
      </c>
      <c r="E84" s="4663" t="s">
        <v>206</v>
      </c>
      <c r="F84" s="4663" t="s">
        <v>211</v>
      </c>
      <c r="G84" s="4665">
        <v>25</v>
      </c>
      <c r="H84" s="4665">
        <v>20</v>
      </c>
      <c r="I84" s="4666">
        <v>0</v>
      </c>
      <c r="J84" s="4667">
        <v>15</v>
      </c>
      <c r="K84" s="4667" t="s">
        <v>208</v>
      </c>
      <c r="L84" s="4647" t="e">
        <v>#DIV/0!</v>
      </c>
      <c r="M84" s="4647" t="e">
        <v>#DIV/0!</v>
      </c>
      <c r="N84" s="4649">
        <v>0</v>
      </c>
      <c r="O84" s="4649">
        <v>0</v>
      </c>
      <c r="P84" s="4649">
        <v>0</v>
      </c>
      <c r="Q84" s="4649">
        <v>0</v>
      </c>
      <c r="R84" s="4646">
        <v>1.081</v>
      </c>
      <c r="S84" s="3509">
        <v>0</v>
      </c>
      <c r="T84" s="3509">
        <v>0</v>
      </c>
      <c r="U84" s="3509">
        <v>0</v>
      </c>
    </row>
    <row r="85" spans="2:21" s="367" customFormat="1" ht="13.8" x14ac:dyDescent="0.3">
      <c r="B85" s="327"/>
      <c r="C85" s="4650" t="s">
        <v>554</v>
      </c>
      <c r="D85" s="4655">
        <v>61</v>
      </c>
      <c r="E85" s="4650" t="s">
        <v>206</v>
      </c>
      <c r="F85" s="4650" t="s">
        <v>211</v>
      </c>
      <c r="G85" s="4654">
        <v>50</v>
      </c>
      <c r="H85" s="4654">
        <v>30</v>
      </c>
      <c r="I85" s="4676">
        <v>7.2684952969558644E-4</v>
      </c>
      <c r="J85" s="4656">
        <v>29</v>
      </c>
      <c r="K85" s="4670" t="s">
        <v>208</v>
      </c>
      <c r="L85" s="4647">
        <v>2.4827852232562586</v>
      </c>
      <c r="M85" s="4647">
        <v>1.7571133592675794</v>
      </c>
      <c r="N85" s="4674">
        <v>13351.413287948943</v>
      </c>
      <c r="O85" s="4674">
        <v>20751.968329577066</v>
      </c>
      <c r="P85" s="4674">
        <v>33148.691620906895</v>
      </c>
      <c r="Q85" s="4674">
        <v>36463.560782997578</v>
      </c>
      <c r="R85" s="4675">
        <v>1.081</v>
      </c>
      <c r="S85" s="3511">
        <v>6000</v>
      </c>
      <c r="T85" s="3511">
        <v>6000</v>
      </c>
      <c r="U85" s="3511">
        <v>12000</v>
      </c>
    </row>
    <row r="86" spans="2:21" ht="13.8" x14ac:dyDescent="0.3">
      <c r="B86" s="296"/>
      <c r="C86" s="4643" t="s">
        <v>555</v>
      </c>
      <c r="D86" s="4648">
        <v>100</v>
      </c>
      <c r="E86" s="4643" t="s">
        <v>206</v>
      </c>
      <c r="F86" s="4643" t="s">
        <v>211</v>
      </c>
      <c r="G86" s="4645">
        <v>21</v>
      </c>
      <c r="H86" s="4654">
        <v>21</v>
      </c>
      <c r="I86" s="4651">
        <v>1.1915566060583384E-2</v>
      </c>
      <c r="J86" s="4644">
        <v>4</v>
      </c>
      <c r="K86" s="4644" t="s">
        <v>348</v>
      </c>
      <c r="L86" s="4647">
        <v>1.1569745806608283</v>
      </c>
      <c r="M86" s="4647">
        <v>1.2726720387269108</v>
      </c>
      <c r="N86" s="4649">
        <v>114600.59392900938</v>
      </c>
      <c r="O86" s="4649">
        <v>114600.59392900938</v>
      </c>
      <c r="P86" s="4649">
        <v>132589.97410449749</v>
      </c>
      <c r="Q86" s="4649">
        <v>145848.97151494722</v>
      </c>
      <c r="R86" s="4646">
        <v>1.081</v>
      </c>
      <c r="S86" s="3509">
        <v>42000</v>
      </c>
      <c r="T86" s="3509">
        <v>42000</v>
      </c>
      <c r="U86" s="3509">
        <v>84000</v>
      </c>
    </row>
    <row r="87" spans="2:21" ht="13.8" x14ac:dyDescent="0.3">
      <c r="B87" s="296"/>
      <c r="C87" s="4643" t="s">
        <v>556</v>
      </c>
      <c r="D87" s="4648">
        <v>34.1</v>
      </c>
      <c r="E87" s="4643" t="s">
        <v>206</v>
      </c>
      <c r="F87" s="4643" t="s">
        <v>211</v>
      </c>
      <c r="G87" s="4654">
        <v>40</v>
      </c>
      <c r="H87" s="4654">
        <v>20</v>
      </c>
      <c r="I87" s="4651">
        <v>4.0632080266589344E-4</v>
      </c>
      <c r="J87" s="4656">
        <v>22.8</v>
      </c>
      <c r="K87" s="4644" t="s">
        <v>208</v>
      </c>
      <c r="L87" s="4647">
        <v>1.8817748409218735</v>
      </c>
      <c r="M87" s="4647">
        <v>1.1160582638350784</v>
      </c>
      <c r="N87" s="4649">
        <v>8658.6665619523919</v>
      </c>
      <c r="O87" s="4649">
        <v>16059.221603580516</v>
      </c>
      <c r="P87" s="4649">
        <v>16293.660892213507</v>
      </c>
      <c r="Q87" s="4649">
        <v>17923.026981434854</v>
      </c>
      <c r="R87" s="4646">
        <v>1.081</v>
      </c>
      <c r="S87" s="3509">
        <v>4000</v>
      </c>
      <c r="T87" s="3509">
        <v>4000</v>
      </c>
      <c r="U87" s="3509">
        <v>8000</v>
      </c>
    </row>
    <row r="88" spans="2:21" ht="13.8" x14ac:dyDescent="0.3">
      <c r="B88" s="296"/>
      <c r="C88" s="4650" t="s">
        <v>557</v>
      </c>
      <c r="D88" s="4655">
        <v>128</v>
      </c>
      <c r="E88" s="4643" t="s">
        <v>206</v>
      </c>
      <c r="F88" s="4643" t="s">
        <v>211</v>
      </c>
      <c r="G88" s="4654">
        <v>40</v>
      </c>
      <c r="H88" s="4654">
        <v>40</v>
      </c>
      <c r="I88" s="4651">
        <v>1.5251924557546732E-3</v>
      </c>
      <c r="J88" s="4656">
        <v>10</v>
      </c>
      <c r="K88" s="4644" t="s">
        <v>348</v>
      </c>
      <c r="L88" s="4647">
        <v>1.881065608861481</v>
      </c>
      <c r="M88" s="4647">
        <v>2.0691721697476284</v>
      </c>
      <c r="N88" s="4649">
        <v>19523.640130221251</v>
      </c>
      <c r="O88" s="4649">
        <v>19523.640130221251</v>
      </c>
      <c r="P88" s="4649">
        <v>36725.248008747083</v>
      </c>
      <c r="Q88" s="4649">
        <v>40397.772809621776</v>
      </c>
      <c r="R88" s="4646">
        <v>1.081</v>
      </c>
      <c r="S88" s="3509">
        <v>8000</v>
      </c>
      <c r="T88" s="3509">
        <v>8000</v>
      </c>
      <c r="U88" s="3509">
        <v>16000</v>
      </c>
    </row>
    <row r="89" spans="2:21" ht="13.8" x14ac:dyDescent="0.3">
      <c r="B89" s="296"/>
      <c r="C89" s="4643" t="s">
        <v>558</v>
      </c>
      <c r="D89" s="4668">
        <v>10095</v>
      </c>
      <c r="E89" s="4643" t="s">
        <v>206</v>
      </c>
      <c r="F89" s="4643" t="s">
        <v>341</v>
      </c>
      <c r="G89" s="4669">
        <v>9376</v>
      </c>
      <c r="H89" s="4669">
        <v>3028</v>
      </c>
      <c r="I89" s="4651">
        <v>3.0071909845397317E-3</v>
      </c>
      <c r="J89" s="4670">
        <v>15</v>
      </c>
      <c r="K89" s="4644" t="s">
        <v>348</v>
      </c>
      <c r="L89" s="4647">
        <v>2.5708682048508962</v>
      </c>
      <c r="M89" s="4647">
        <v>1.0989142059963553</v>
      </c>
      <c r="N89" s="4649">
        <v>37322.417399771766</v>
      </c>
      <c r="O89" s="4649">
        <v>96045.821655090913</v>
      </c>
      <c r="P89" s="4649">
        <v>95951.01622124709</v>
      </c>
      <c r="Q89" s="4649">
        <v>105546.11784337177</v>
      </c>
      <c r="R89" s="4646">
        <v>1.081</v>
      </c>
      <c r="S89" s="3509">
        <v>15140</v>
      </c>
      <c r="T89" s="3509">
        <v>15140</v>
      </c>
      <c r="U89" s="3509">
        <v>30280</v>
      </c>
    </row>
    <row r="90" spans="2:21" ht="13.8" x14ac:dyDescent="0.3">
      <c r="B90" s="296"/>
      <c r="C90" s="4658" t="s">
        <v>559</v>
      </c>
      <c r="D90" s="4659">
        <v>1</v>
      </c>
      <c r="E90" s="4658" t="s">
        <v>206</v>
      </c>
      <c r="F90" s="4658" t="s">
        <v>341</v>
      </c>
      <c r="G90" s="4660"/>
      <c r="H90" s="4660"/>
      <c r="I90" s="4661">
        <v>0</v>
      </c>
      <c r="J90" s="4662"/>
      <c r="K90" s="4662"/>
      <c r="L90" s="4647" t="e">
        <v>#DIV/0!</v>
      </c>
      <c r="M90" s="4647" t="e">
        <v>#DIV/0!</v>
      </c>
      <c r="N90" s="4649">
        <v>0</v>
      </c>
      <c r="O90" s="4649">
        <v>0</v>
      </c>
      <c r="P90" s="4649">
        <v>0</v>
      </c>
      <c r="Q90" s="4649">
        <v>0</v>
      </c>
      <c r="R90" s="4646">
        <v>1.081</v>
      </c>
      <c r="S90" s="3509">
        <v>0</v>
      </c>
      <c r="T90" s="3509">
        <v>0</v>
      </c>
      <c r="U90" s="3509">
        <v>0</v>
      </c>
    </row>
    <row r="91" spans="2:21" ht="13.8" x14ac:dyDescent="0.3">
      <c r="B91" s="296"/>
      <c r="C91" s="4658" t="s">
        <v>560</v>
      </c>
      <c r="D91" s="4659">
        <v>1</v>
      </c>
      <c r="E91" s="4658" t="s">
        <v>206</v>
      </c>
      <c r="F91" s="4658" t="s">
        <v>211</v>
      </c>
      <c r="G91" s="4660"/>
      <c r="H91" s="4660"/>
      <c r="I91" s="4661">
        <v>0</v>
      </c>
      <c r="J91" s="4662"/>
      <c r="K91" s="4662"/>
      <c r="L91" s="4647" t="e">
        <v>#DIV/0!</v>
      </c>
      <c r="M91" s="4647" t="e">
        <v>#DIV/0!</v>
      </c>
      <c r="N91" s="4649">
        <v>0</v>
      </c>
      <c r="O91" s="4649">
        <v>0</v>
      </c>
      <c r="P91" s="4649">
        <v>0</v>
      </c>
      <c r="Q91" s="4649">
        <v>0</v>
      </c>
      <c r="R91" s="4646">
        <v>1.081</v>
      </c>
      <c r="S91" s="3509">
        <v>0</v>
      </c>
      <c r="T91" s="3509">
        <v>0</v>
      </c>
      <c r="U91" s="3509">
        <v>0</v>
      </c>
    </row>
    <row r="92" spans="2:21" ht="13.8" x14ac:dyDescent="0.3">
      <c r="B92" s="296"/>
      <c r="C92" s="4658" t="s">
        <v>563</v>
      </c>
      <c r="D92" s="4677">
        <v>1</v>
      </c>
      <c r="E92" s="4680" t="s">
        <v>206</v>
      </c>
      <c r="F92" s="4680" t="s">
        <v>295</v>
      </c>
      <c r="G92" s="4678"/>
      <c r="H92" s="4678"/>
      <c r="I92" s="4681">
        <v>0</v>
      </c>
      <c r="J92" s="4682"/>
      <c r="K92" s="4670"/>
      <c r="L92" s="4647" t="e">
        <v>#DIV/0!</v>
      </c>
      <c r="M92" s="4647" t="e">
        <v>#DIV/0!</v>
      </c>
      <c r="N92" s="4649">
        <v>0</v>
      </c>
      <c r="O92" s="4649">
        <v>0</v>
      </c>
      <c r="P92" s="4649">
        <v>0</v>
      </c>
      <c r="Q92" s="4649">
        <v>0</v>
      </c>
      <c r="R92" s="4646">
        <v>1.081</v>
      </c>
      <c r="S92" s="3509">
        <v>0</v>
      </c>
      <c r="T92" s="3509">
        <v>0</v>
      </c>
      <c r="U92" s="3509">
        <v>0</v>
      </c>
    </row>
    <row r="93" spans="2:21" ht="13.8" x14ac:dyDescent="0.3">
      <c r="B93" s="296"/>
      <c r="C93" s="4658" t="s">
        <v>561</v>
      </c>
      <c r="D93" s="4659">
        <v>300</v>
      </c>
      <c r="E93" s="4658" t="s">
        <v>206</v>
      </c>
      <c r="F93" s="4658" t="s">
        <v>562</v>
      </c>
      <c r="G93" s="4660"/>
      <c r="H93" s="4660"/>
      <c r="I93" s="4661">
        <v>0</v>
      </c>
      <c r="J93" s="4662"/>
      <c r="K93" s="4662"/>
      <c r="L93" s="4647" t="e">
        <v>#DIV/0!</v>
      </c>
      <c r="M93" s="4647" t="e">
        <v>#DIV/0!</v>
      </c>
      <c r="N93" s="4649">
        <v>0</v>
      </c>
      <c r="O93" s="4649">
        <v>0</v>
      </c>
      <c r="P93" s="4649">
        <v>0</v>
      </c>
      <c r="Q93" s="4649">
        <v>0</v>
      </c>
      <c r="R93" s="4646">
        <v>1.081</v>
      </c>
      <c r="S93" s="3509">
        <v>0</v>
      </c>
      <c r="T93" s="3509">
        <v>0</v>
      </c>
      <c r="U93" s="3509">
        <v>0</v>
      </c>
    </row>
    <row r="94" spans="2:21" ht="13.8" x14ac:dyDescent="0.3">
      <c r="B94" s="296"/>
      <c r="C94" s="4680" t="s">
        <v>1058</v>
      </c>
      <c r="D94" s="4655">
        <v>1.1000000000000001</v>
      </c>
      <c r="E94" s="4657" t="s">
        <v>206</v>
      </c>
      <c r="F94" s="4680" t="s">
        <v>295</v>
      </c>
      <c r="G94" s="4654">
        <v>1.1299999999999999</v>
      </c>
      <c r="H94" s="4654">
        <v>1.1299999999999999</v>
      </c>
      <c r="I94" s="4679">
        <v>9.1749858666492056E-3</v>
      </c>
      <c r="J94" s="4656">
        <v>30</v>
      </c>
      <c r="K94" s="4670" t="s">
        <v>296</v>
      </c>
      <c r="L94" s="4647">
        <v>1.8687256796549818</v>
      </c>
      <c r="M94" s="4647">
        <v>2.0555982476204799</v>
      </c>
      <c r="N94" s="4649">
        <v>321100.92171016603</v>
      </c>
      <c r="O94" s="4649">
        <v>321100.92171016603</v>
      </c>
      <c r="P94" s="4649">
        <v>600049.53816067113</v>
      </c>
      <c r="Q94" s="4649">
        <v>660054.49197673821</v>
      </c>
      <c r="R94" s="4646">
        <v>1.081</v>
      </c>
      <c r="S94" s="3509">
        <v>79099.999999999985</v>
      </c>
      <c r="T94" s="3509">
        <v>237299.99999999997</v>
      </c>
      <c r="U94" s="3509">
        <v>316399.99999999994</v>
      </c>
    </row>
    <row r="95" spans="2:21" ht="13.8" x14ac:dyDescent="0.3">
      <c r="B95" s="296"/>
      <c r="C95" s="4680" t="s">
        <v>1089</v>
      </c>
      <c r="D95" s="4655">
        <v>2</v>
      </c>
      <c r="E95" s="4657" t="s">
        <v>206</v>
      </c>
      <c r="F95" s="4680" t="s">
        <v>295</v>
      </c>
      <c r="G95" s="4654">
        <v>1.68</v>
      </c>
      <c r="H95" s="4654">
        <v>1.68</v>
      </c>
      <c r="I95" s="4679">
        <v>1.3107122666641723E-2</v>
      </c>
      <c r="J95" s="4656">
        <v>30</v>
      </c>
      <c r="K95" s="4670" t="s">
        <v>296</v>
      </c>
      <c r="L95" s="4647">
        <v>2.2411406377220713</v>
      </c>
      <c r="M95" s="4647">
        <v>2.4652547014942785</v>
      </c>
      <c r="N95" s="4649">
        <v>382489.88551432476</v>
      </c>
      <c r="O95" s="4649">
        <v>382489.88551432476</v>
      </c>
      <c r="P95" s="4649">
        <v>857213.6259438158</v>
      </c>
      <c r="Q95" s="4649">
        <v>942934.98853819747</v>
      </c>
      <c r="R95" s="4646">
        <v>1.081</v>
      </c>
      <c r="S95" s="3509">
        <v>201600</v>
      </c>
      <c r="T95" s="3509">
        <v>168000</v>
      </c>
      <c r="U95" s="3509">
        <v>369600</v>
      </c>
    </row>
    <row r="96" spans="2:21" ht="13.8" x14ac:dyDescent="0.3">
      <c r="B96" s="296"/>
      <c r="C96" s="4680" t="s">
        <v>1060</v>
      </c>
      <c r="D96" s="4655">
        <v>2.1</v>
      </c>
      <c r="E96" s="4657" t="s">
        <v>206</v>
      </c>
      <c r="F96" s="4680" t="s">
        <v>295</v>
      </c>
      <c r="G96" s="4654">
        <v>3.75</v>
      </c>
      <c r="H96" s="4654">
        <v>3.75</v>
      </c>
      <c r="I96" s="4683">
        <v>0</v>
      </c>
      <c r="J96" s="4656">
        <v>30</v>
      </c>
      <c r="K96" s="4670" t="s">
        <v>296</v>
      </c>
      <c r="L96" s="4647">
        <v>1.1793700922757917</v>
      </c>
      <c r="M96" s="4647">
        <v>1.2973071015033708</v>
      </c>
      <c r="N96" s="4649">
        <v>242830.71230342277</v>
      </c>
      <c r="O96" s="4649">
        <v>242830.71230342277</v>
      </c>
      <c r="P96" s="4649">
        <v>286387.27957668394</v>
      </c>
      <c r="Q96" s="4649">
        <v>315026.00753435231</v>
      </c>
      <c r="R96" s="4646">
        <v>1.081</v>
      </c>
      <c r="S96" s="3509">
        <v>262500</v>
      </c>
      <c r="T96" s="3509">
        <v>0</v>
      </c>
      <c r="U96" s="3509">
        <v>262500</v>
      </c>
    </row>
    <row r="97" spans="2:21" ht="13.8" x14ac:dyDescent="0.3">
      <c r="B97" s="296"/>
      <c r="C97" s="3852" t="s">
        <v>245</v>
      </c>
      <c r="D97" s="3857">
        <v>0</v>
      </c>
      <c r="E97" s="3856" t="s">
        <v>206</v>
      </c>
      <c r="F97" s="3859" t="s">
        <v>295</v>
      </c>
      <c r="G97" s="3853"/>
      <c r="H97" s="3853"/>
      <c r="I97" s="3854">
        <v>0</v>
      </c>
      <c r="J97" s="3858"/>
      <c r="K97" s="3858"/>
      <c r="L97" s="3864" t="e">
        <v>#DIV/0!</v>
      </c>
      <c r="M97" s="3864" t="e">
        <v>#DIV/0!</v>
      </c>
      <c r="N97" s="3485">
        <v>0</v>
      </c>
      <c r="O97" s="3485">
        <v>0</v>
      </c>
      <c r="P97" s="3485">
        <v>0</v>
      </c>
      <c r="Q97" s="3485">
        <v>0</v>
      </c>
      <c r="R97" s="3484">
        <v>1.081</v>
      </c>
      <c r="S97" s="3483">
        <v>0</v>
      </c>
      <c r="T97" s="3483">
        <v>0</v>
      </c>
      <c r="U97" s="3483">
        <v>0</v>
      </c>
    </row>
    <row r="98" spans="2:21" ht="13.8" x14ac:dyDescent="0.3">
      <c r="B98" s="296"/>
      <c r="C98" s="3860" t="s">
        <v>246</v>
      </c>
      <c r="D98" s="3861">
        <v>0</v>
      </c>
      <c r="E98" s="3860" t="s">
        <v>206</v>
      </c>
      <c r="F98" s="3860" t="s">
        <v>211</v>
      </c>
      <c r="G98" s="3862"/>
      <c r="H98" s="3862"/>
      <c r="I98" s="3854">
        <v>0</v>
      </c>
      <c r="J98" s="3863"/>
      <c r="K98" s="3863"/>
      <c r="L98" s="3865" t="e">
        <f t="shared" ref="L98:M103" si="13">P98/N98</f>
        <v>#DIV/0!</v>
      </c>
      <c r="M98" s="3865" t="e">
        <f t="shared" si="13"/>
        <v>#DIV/0!</v>
      </c>
      <c r="N98" s="218">
        <f t="shared" ref="N98:N103" si="14">(($I98*$F$56)+$U98)/$R98</f>
        <v>0</v>
      </c>
      <c r="O98" s="218">
        <f t="shared" ref="O98:O103" si="15">(($I98*$F$56)+($G98*$O48))/$R98</f>
        <v>0</v>
      </c>
      <c r="P98" s="218">
        <f>IF(K98=0, 0, (HLOOKUP(K98,'[1]E-CESTDWO'!$A$5:$O$35,J98+1,FALSE)*R48))</f>
        <v>0</v>
      </c>
      <c r="Q98" s="218">
        <f>IF(K98=0, 0, (HLOOKUP(K98,'[1]E-CESTD'!$A$5:$O$35,J98+1,FALSE)*R48))</f>
        <v>0</v>
      </c>
      <c r="R98" s="292">
        <v>1.081</v>
      </c>
      <c r="S98" s="293">
        <f t="shared" ref="S98:U103" si="16">M48*$H98</f>
        <v>0</v>
      </c>
      <c r="T98" s="293">
        <f t="shared" si="16"/>
        <v>0</v>
      </c>
      <c r="U98" s="293">
        <f t="shared" si="16"/>
        <v>0</v>
      </c>
    </row>
    <row r="99" spans="2:21" ht="13.8" x14ac:dyDescent="0.3">
      <c r="B99" s="296"/>
      <c r="C99" s="296" t="s">
        <v>247</v>
      </c>
      <c r="D99" s="299">
        <v>0</v>
      </c>
      <c r="E99" s="296" t="s">
        <v>206</v>
      </c>
      <c r="F99" s="296" t="s">
        <v>211</v>
      </c>
      <c r="G99" s="297"/>
      <c r="H99" s="297"/>
      <c r="I99" s="326">
        <v>0</v>
      </c>
      <c r="J99" s="267"/>
      <c r="K99" s="267"/>
      <c r="L99" s="3865" t="e">
        <f t="shared" si="13"/>
        <v>#DIV/0!</v>
      </c>
      <c r="M99" s="3865" t="e">
        <f t="shared" si="13"/>
        <v>#DIV/0!</v>
      </c>
      <c r="N99" s="218">
        <f t="shared" si="14"/>
        <v>0</v>
      </c>
      <c r="O99" s="218">
        <f t="shared" si="15"/>
        <v>0</v>
      </c>
      <c r="P99" s="218">
        <f>IF(K99=0, 0, (HLOOKUP(K99,'[1]E-CESTDWO'!$A$5:$O$35,J99+1,FALSE)*R49))</f>
        <v>0</v>
      </c>
      <c r="Q99" s="218">
        <f>IF(K99=0, 0, (HLOOKUP(K99,'[1]E-CESTD'!$A$5:$O$35,J99+1,FALSE)*R49))</f>
        <v>0</v>
      </c>
      <c r="R99" s="292">
        <v>1.081</v>
      </c>
      <c r="S99" s="293">
        <f t="shared" si="16"/>
        <v>0</v>
      </c>
      <c r="T99" s="293">
        <f t="shared" si="16"/>
        <v>0</v>
      </c>
      <c r="U99" s="293">
        <f t="shared" si="16"/>
        <v>0</v>
      </c>
    </row>
    <row r="100" spans="2:21" ht="13.8" x14ac:dyDescent="0.3">
      <c r="B100" s="296"/>
      <c r="C100" s="296" t="s">
        <v>248</v>
      </c>
      <c r="D100" s="299">
        <v>0</v>
      </c>
      <c r="E100" s="296" t="s">
        <v>206</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(HLOOKUP(K100,'[1]E-CESTDWO'!$A$5:$O$35,J100+1,FALSE)*R50))</f>
        <v>0</v>
      </c>
      <c r="Q100" s="218">
        <f>IF(K100=0, 0, (HLOOKUP(K100,'[1]E-CESTD'!$A$5:$O$35,J100+1,FALSE)*R50))</f>
        <v>0</v>
      </c>
      <c r="R100" s="292">
        <v>1.081</v>
      </c>
      <c r="S100" s="293">
        <f t="shared" si="16"/>
        <v>0</v>
      </c>
      <c r="T100" s="293">
        <f t="shared" si="16"/>
        <v>0</v>
      </c>
      <c r="U100" s="293">
        <f t="shared" si="16"/>
        <v>0</v>
      </c>
    </row>
    <row r="101" spans="2:21" ht="13.8" x14ac:dyDescent="0.3">
      <c r="B101" s="296"/>
      <c r="C101" s="296" t="s">
        <v>249</v>
      </c>
      <c r="D101" s="299">
        <v>0</v>
      </c>
      <c r="E101" s="296" t="s">
        <v>206</v>
      </c>
      <c r="F101" s="296" t="s">
        <v>211</v>
      </c>
      <c r="G101" s="297"/>
      <c r="H101" s="297"/>
      <c r="I101" s="326">
        <v>0</v>
      </c>
      <c r="J101" s="267"/>
      <c r="K101" s="267"/>
      <c r="L101" s="3865" t="e">
        <f t="shared" si="13"/>
        <v>#DIV/0!</v>
      </c>
      <c r="M101" s="3865" t="e">
        <f t="shared" si="13"/>
        <v>#DIV/0!</v>
      </c>
      <c r="N101" s="218">
        <f t="shared" si="14"/>
        <v>0</v>
      </c>
      <c r="O101" s="218">
        <f t="shared" si="15"/>
        <v>0</v>
      </c>
      <c r="P101" s="218">
        <f>IF(K101=0, 0, (HLOOKUP(K101,'[1]E-CESTDWO'!$A$5:$O$35,J101+1,FALSE)*R51))</f>
        <v>0</v>
      </c>
      <c r="Q101" s="218">
        <f>IF(K101=0, 0, (HLOOKUP(K101,'[1]E-CESTD'!$A$5:$O$35,J101+1,FALSE)*R51))</f>
        <v>0</v>
      </c>
      <c r="R101" s="292">
        <v>1.081</v>
      </c>
      <c r="S101" s="293">
        <f t="shared" si="16"/>
        <v>0</v>
      </c>
      <c r="T101" s="293">
        <f t="shared" si="16"/>
        <v>0</v>
      </c>
      <c r="U101" s="293">
        <f t="shared" si="16"/>
        <v>0</v>
      </c>
    </row>
    <row r="102" spans="2:21" ht="13.8" x14ac:dyDescent="0.3">
      <c r="B102" s="296"/>
      <c r="C102" s="296" t="s">
        <v>250</v>
      </c>
      <c r="D102" s="299">
        <v>0</v>
      </c>
      <c r="E102" s="296" t="s">
        <v>206</v>
      </c>
      <c r="F102" s="296" t="s">
        <v>211</v>
      </c>
      <c r="G102" s="297"/>
      <c r="H102" s="297"/>
      <c r="I102" s="326">
        <v>0</v>
      </c>
      <c r="J102" s="267"/>
      <c r="K102" s="267"/>
      <c r="L102" s="3865" t="e">
        <f t="shared" si="13"/>
        <v>#DIV/0!</v>
      </c>
      <c r="M102" s="3865" t="e">
        <f t="shared" si="13"/>
        <v>#DIV/0!</v>
      </c>
      <c r="N102" s="218">
        <f t="shared" si="14"/>
        <v>0</v>
      </c>
      <c r="O102" s="218">
        <f t="shared" si="15"/>
        <v>0</v>
      </c>
      <c r="P102" s="218">
        <f>IF(K102=0, 0, (HLOOKUP(K102,'[1]E-CESTDWO'!$A$5:$O$35,J102+1,FALSE)*R52))</f>
        <v>0</v>
      </c>
      <c r="Q102" s="218">
        <f>IF(K102=0, 0, (HLOOKUP(K102,'[1]E-CESTD'!$A$5:$O$35,J102+1,FALSE)*R52))</f>
        <v>0</v>
      </c>
      <c r="R102" s="292">
        <v>1.081</v>
      </c>
      <c r="S102" s="293">
        <f t="shared" si="16"/>
        <v>0</v>
      </c>
      <c r="T102" s="293">
        <f t="shared" si="16"/>
        <v>0</v>
      </c>
      <c r="U102" s="293">
        <f t="shared" si="16"/>
        <v>0</v>
      </c>
    </row>
    <row r="103" spans="2:21" ht="14.4" thickBot="1" x14ac:dyDescent="0.35">
      <c r="B103" s="296"/>
      <c r="C103" s="296" t="s">
        <v>251</v>
      </c>
      <c r="D103" s="299">
        <v>0</v>
      </c>
      <c r="E103" s="296" t="s">
        <v>206</v>
      </c>
      <c r="F103" s="296" t="s">
        <v>211</v>
      </c>
      <c r="G103" s="297"/>
      <c r="H103" s="297"/>
      <c r="I103" s="326">
        <v>0</v>
      </c>
      <c r="J103" s="267"/>
      <c r="K103" s="267"/>
      <c r="L103" s="3865" t="e">
        <f t="shared" si="13"/>
        <v>#DIV/0!</v>
      </c>
      <c r="M103" s="3865" t="e">
        <f t="shared" si="13"/>
        <v>#DIV/0!</v>
      </c>
      <c r="N103" s="218">
        <f t="shared" si="14"/>
        <v>0</v>
      </c>
      <c r="O103" s="218">
        <f t="shared" si="15"/>
        <v>0</v>
      </c>
      <c r="P103" s="218">
        <f>IF(K103=0, 0, (HLOOKUP(K103,'[1]E-CESTDWO'!$A$5:$O$35,J103+1,FALSE)*R53))</f>
        <v>0</v>
      </c>
      <c r="Q103" s="218">
        <f>IF(K103=0, 0, (HLOOKUP(K103,'[1]E-CESTD'!$A$5:$O$35,J103+1,FALSE)*R53))</f>
        <v>0</v>
      </c>
      <c r="R103" s="292">
        <v>1.081</v>
      </c>
      <c r="S103" s="293">
        <f t="shared" si="16"/>
        <v>0</v>
      </c>
      <c r="T103" s="293">
        <f t="shared" si="16"/>
        <v>0</v>
      </c>
      <c r="U103" s="293">
        <f t="shared" si="16"/>
        <v>0</v>
      </c>
    </row>
    <row r="104" spans="2:21" ht="14.4" thickBot="1" x14ac:dyDescent="0.35">
      <c r="G104" s="300">
        <f>SUMPRODUCT(G62:G103,O12:O53)</f>
        <v>18223330</v>
      </c>
      <c r="H104" s="301">
        <f>U104</f>
        <v>10360610</v>
      </c>
      <c r="I104" s="302">
        <f>SUM(I62:I103)</f>
        <v>0.99562102947273556</v>
      </c>
      <c r="J104" s="303">
        <f>ROUND(SUMPRODUCT(J62:J103,R12:R53)/R54,0)</f>
        <v>17</v>
      </c>
      <c r="K104" s="274"/>
      <c r="L104" s="3866">
        <f>P104/N104</f>
        <v>2.957429389289123</v>
      </c>
      <c r="M104" s="3867">
        <f>Q104/O104</f>
        <v>2.0665427223771</v>
      </c>
      <c r="N104" s="306">
        <f>SUM(N62:N103)</f>
        <v>12667074.498197321</v>
      </c>
      <c r="O104" s="306">
        <f>SUM(O62:O103)</f>
        <v>19940636.015311111</v>
      </c>
      <c r="P104" s="306">
        <f>SUM(P62:P103)</f>
        <v>37461978.397283524</v>
      </c>
      <c r="Q104" s="306">
        <f>SUM(Q62:Q103)</f>
        <v>41208176.237011872</v>
      </c>
      <c r="R104" s="307"/>
      <c r="S104" s="308">
        <f>SUM(S62:S103)</f>
        <v>5249255</v>
      </c>
      <c r="T104" s="308">
        <f>SUM(T62:T103)</f>
        <v>5111355</v>
      </c>
      <c r="U104" s="308">
        <f>SUM(U62:U103)</f>
        <v>10360610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3" right="0.17" top="0.4" bottom="0.33" header="0.3" footer="0.3"/>
  <pageSetup paperSize="17" scale="53" orientation="landscape"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L102"/>
  <sheetViews>
    <sheetView showGridLines="0" topLeftCell="B1" zoomScaleNormal="100" workbookViewId="0">
      <pane xSplit="5" ySplit="3" topLeftCell="G4" activePane="bottomRight" state="frozen"/>
      <selection activeCell="B1" sqref="B1"/>
      <selection pane="topRight" activeCell="G1" sqref="G1"/>
      <selection pane="bottomLeft" activeCell="B4" sqref="B4"/>
      <selection pane="bottomRight"/>
    </sheetView>
  </sheetViews>
  <sheetFormatPr defaultRowHeight="13.2" x14ac:dyDescent="0.25"/>
  <cols>
    <col min="1" max="1" width="5.88671875" customWidth="1"/>
    <col min="2" max="3" width="7" customWidth="1"/>
    <col min="4" max="4" width="6.33203125" customWidth="1"/>
    <col min="5" max="5" width="6.109375" customWidth="1"/>
    <col min="6" max="6" width="32" customWidth="1"/>
    <col min="7" max="7" width="14.6640625" customWidth="1"/>
    <col min="8" max="8" width="18.5546875" customWidth="1"/>
    <col min="9" max="9" width="19.109375" customWidth="1"/>
    <col min="10" max="10" width="16.88671875" customWidth="1"/>
    <col min="11" max="11" width="19.5546875" customWidth="1"/>
    <col min="12" max="12" width="9.109375" style="3956"/>
  </cols>
  <sheetData>
    <row r="1" spans="2:11" ht="15.6" x14ac:dyDescent="0.3">
      <c r="B1" s="2295"/>
      <c r="C1" s="2295"/>
      <c r="D1" s="2296" t="s">
        <v>953</v>
      </c>
      <c r="E1" s="2297"/>
      <c r="F1" s="2297"/>
      <c r="G1" s="2295"/>
      <c r="H1" s="2295"/>
      <c r="I1" s="2404"/>
      <c r="J1" s="2362"/>
      <c r="K1" s="2362"/>
    </row>
    <row r="2" spans="2:11" ht="19.5" customHeight="1" thickBot="1" x14ac:dyDescent="0.3">
      <c r="B2" s="2295"/>
      <c r="C2" s="2295"/>
      <c r="D2" s="2295"/>
      <c r="E2" s="2298" t="s">
        <v>954</v>
      </c>
      <c r="F2" s="2401">
        <f ca="1">NOW()</f>
        <v>41247.513262731482</v>
      </c>
      <c r="G2" s="4754"/>
      <c r="H2" s="4754"/>
      <c r="I2" s="4754"/>
      <c r="J2" s="4754"/>
      <c r="K2" s="2402"/>
    </row>
    <row r="3" spans="2:11" ht="31.8" thickBot="1" x14ac:dyDescent="0.3">
      <c r="B3" s="4752" t="s">
        <v>955</v>
      </c>
      <c r="C3" s="4753"/>
      <c r="D3" s="2299" t="s">
        <v>956</v>
      </c>
      <c r="E3" s="2300"/>
      <c r="F3" s="2300"/>
      <c r="G3" s="3382" t="s">
        <v>957</v>
      </c>
      <c r="H3" s="3382" t="s">
        <v>958</v>
      </c>
      <c r="I3" s="3382" t="s">
        <v>959</v>
      </c>
      <c r="J3" s="3382" t="s">
        <v>960</v>
      </c>
      <c r="K3" s="3639" t="s">
        <v>961</v>
      </c>
    </row>
    <row r="4" spans="2:11" ht="15.6" x14ac:dyDescent="0.3">
      <c r="B4" s="2363"/>
      <c r="C4" s="2364"/>
      <c r="D4" s="2365" t="s">
        <v>608</v>
      </c>
      <c r="E4" s="2365"/>
      <c r="F4" s="2365"/>
      <c r="G4" s="2364"/>
      <c r="H4" s="2366"/>
      <c r="I4" s="2364"/>
      <c r="J4" s="2364"/>
      <c r="K4" s="3640"/>
    </row>
    <row r="5" spans="2:11" x14ac:dyDescent="0.25">
      <c r="B5" s="2301" t="s">
        <v>380</v>
      </c>
      <c r="C5" s="2302" t="s">
        <v>630</v>
      </c>
      <c r="D5" s="2303" t="s">
        <v>937</v>
      </c>
      <c r="E5" s="2302"/>
      <c r="F5" s="2339"/>
      <c r="G5" s="2431">
        <f>ROUND('2) Sector View Electric'!Q7/1000,-2)</f>
        <v>3900</v>
      </c>
      <c r="H5" s="2430">
        <f>ROUND('2) Sector View Electric'!P7,-3)</f>
        <v>5374000</v>
      </c>
      <c r="I5" s="2429">
        <f>ROUND('3) Sector View Gas'!Q7,-2)</f>
        <v>78000</v>
      </c>
      <c r="J5" s="2430">
        <f>ROUND('3) Sector View Gas'!P7,-3)</f>
        <v>1121000</v>
      </c>
      <c r="K5" s="3641">
        <f>H5+J5</f>
        <v>6495000</v>
      </c>
    </row>
    <row r="6" spans="2:11" x14ac:dyDescent="0.25">
      <c r="B6" s="2301" t="s">
        <v>252</v>
      </c>
      <c r="C6" s="2302" t="s">
        <v>632</v>
      </c>
      <c r="D6" s="2399" t="s">
        <v>962</v>
      </c>
      <c r="E6" s="2397"/>
      <c r="F6" s="2398"/>
      <c r="G6" s="2432">
        <f>ROUND(SUM(G7:G14),-2)</f>
        <v>251200</v>
      </c>
      <c r="H6" s="2433">
        <f>ROUND(SUM(H7:H14),-3)</f>
        <v>60819000</v>
      </c>
      <c r="I6" s="2434">
        <f>ROUND(SUM(I7:I14),-2)</f>
        <v>3498600</v>
      </c>
      <c r="J6" s="2433">
        <f>ROUND(SUM(J7:J14),-3)</f>
        <v>10980000</v>
      </c>
      <c r="K6" s="3642">
        <f>H6+J6</f>
        <v>71799000</v>
      </c>
    </row>
    <row r="7" spans="2:11" x14ac:dyDescent="0.25">
      <c r="B7" s="2301"/>
      <c r="C7" s="2302"/>
      <c r="D7" s="2303"/>
      <c r="E7" s="3753" t="s">
        <v>963</v>
      </c>
      <c r="F7" s="3754"/>
      <c r="G7" s="3755">
        <f>ROUND('2) Sector View Electric'!Q15/1000,-2)</f>
        <v>143100</v>
      </c>
      <c r="H7" s="3772">
        <f>ROUND('2) Sector View Electric'!P15,-3)</f>
        <v>25281000</v>
      </c>
      <c r="I7" s="3752"/>
      <c r="J7" s="3772"/>
      <c r="K7" s="3751">
        <f>H7+J7</f>
        <v>25281000</v>
      </c>
    </row>
    <row r="8" spans="2:11" x14ac:dyDescent="0.25">
      <c r="B8" s="2301"/>
      <c r="C8" s="2302"/>
      <c r="D8" s="2303"/>
      <c r="E8" s="3753" t="s">
        <v>964</v>
      </c>
      <c r="F8" s="3754"/>
      <c r="G8" s="3755">
        <f>ROUND('2) Sector View Electric'!Q11/1000,-2)</f>
        <v>12000</v>
      </c>
      <c r="H8" s="3772">
        <f>ROUND('2) Sector View Electric'!P11,-3)</f>
        <v>5351000</v>
      </c>
      <c r="I8" s="3752">
        <f>ROUND('3) Sector View Gas'!Q11,-2)</f>
        <v>1490600</v>
      </c>
      <c r="J8" s="3772">
        <f>ROUND('3) Sector View Gas'!P11,-3)</f>
        <v>4258000</v>
      </c>
      <c r="K8" s="3751">
        <f>H8+J8</f>
        <v>9609000</v>
      </c>
    </row>
    <row r="9" spans="2:11" x14ac:dyDescent="0.25">
      <c r="B9" s="2301"/>
      <c r="C9" s="2302"/>
      <c r="D9" s="2303"/>
      <c r="E9" s="3753" t="s">
        <v>965</v>
      </c>
      <c r="F9" s="3754"/>
      <c r="G9" s="3755">
        <f>ROUND('2) Sector View Electric'!Q9/1000,-2)</f>
        <v>1700</v>
      </c>
      <c r="H9" s="3772">
        <f>ROUND('2) Sector View Electric'!P9,-3)</f>
        <v>639000</v>
      </c>
      <c r="I9" s="3763" t="s">
        <v>966</v>
      </c>
      <c r="J9" s="3773">
        <v>0</v>
      </c>
      <c r="K9" s="3751">
        <f t="shared" ref="K9:K10" si="0">H9+J9</f>
        <v>639000</v>
      </c>
    </row>
    <row r="10" spans="2:11" x14ac:dyDescent="0.25">
      <c r="B10" s="2301"/>
      <c r="C10" s="2302"/>
      <c r="D10" s="2303"/>
      <c r="E10" s="3753" t="s">
        <v>967</v>
      </c>
      <c r="F10" s="3754"/>
      <c r="G10" s="3755">
        <f>ROUND('2) Sector View Electric'!Q8/1000,-2)</f>
        <v>8100</v>
      </c>
      <c r="H10" s="3772">
        <f>ROUND('2) Sector View Electric'!P8,-3)</f>
        <v>3591000</v>
      </c>
      <c r="I10" s="3763" t="s">
        <v>966</v>
      </c>
      <c r="J10" s="3773">
        <v>0</v>
      </c>
      <c r="K10" s="3751">
        <f t="shared" si="0"/>
        <v>3591000</v>
      </c>
    </row>
    <row r="11" spans="2:11" x14ac:dyDescent="0.25">
      <c r="B11" s="2301"/>
      <c r="C11" s="2302"/>
      <c r="D11" s="2303"/>
      <c r="E11" s="3753" t="s">
        <v>416</v>
      </c>
      <c r="F11" s="3754"/>
      <c r="G11" s="3755">
        <f>ROUND('2) Sector View Electric'!Q13/1000,-2)</f>
        <v>51700</v>
      </c>
      <c r="H11" s="3772">
        <f>ROUND('2) Sector View Electric'!P13,-3)</f>
        <v>16479000</v>
      </c>
      <c r="I11" s="3752">
        <f>ROUND('3) Sector View Gas'!Q13,-2)</f>
        <v>79800</v>
      </c>
      <c r="J11" s="3772">
        <f>'3) Sector View Gas'!P13</f>
        <v>0</v>
      </c>
      <c r="K11" s="3751">
        <f t="shared" ref="K11:K20" si="1">H11+J11</f>
        <v>16479000</v>
      </c>
    </row>
    <row r="12" spans="2:11" x14ac:dyDescent="0.25">
      <c r="B12" s="2301"/>
      <c r="C12" s="2302"/>
      <c r="D12" s="2303"/>
      <c r="E12" s="3753" t="s">
        <v>969</v>
      </c>
      <c r="F12" s="3754"/>
      <c r="G12" s="3755">
        <f>ROUND('2) Sector View Electric'!Q14/1000,-2)</f>
        <v>3100</v>
      </c>
      <c r="H12" s="3772">
        <f>ROUND('2) Sector View Electric'!P14,-3)</f>
        <v>392000</v>
      </c>
      <c r="I12" s="3752">
        <f>ROUND('3) Sector View Gas'!Q12,-3)</f>
        <v>145000</v>
      </c>
      <c r="J12" s="3772">
        <f>ROUND('3) Sector View Gas'!P12,-3)</f>
        <v>452000</v>
      </c>
      <c r="K12" s="3751">
        <f t="shared" si="1"/>
        <v>844000</v>
      </c>
    </row>
    <row r="13" spans="2:11" x14ac:dyDescent="0.25">
      <c r="B13" s="2301"/>
      <c r="C13" s="2302"/>
      <c r="D13" s="2303"/>
      <c r="E13" s="3753" t="s">
        <v>970</v>
      </c>
      <c r="F13" s="3754"/>
      <c r="G13" s="3755">
        <f>ROUND('2) Sector View Electric'!Q10/1000,-2)</f>
        <v>20500</v>
      </c>
      <c r="H13" s="3772">
        <f>ROUND('2) Sector View Electric'!P10,-3)</f>
        <v>8655000</v>
      </c>
      <c r="I13" s="3752">
        <f>ROUND('3) Sector View Gas'!Q10,-2)</f>
        <v>1089800</v>
      </c>
      <c r="J13" s="3772">
        <f>ROUND('3) Sector View Gas'!P10,-3)</f>
        <v>6074000</v>
      </c>
      <c r="K13" s="3751">
        <f t="shared" si="1"/>
        <v>14729000</v>
      </c>
    </row>
    <row r="14" spans="2:11" x14ac:dyDescent="0.25">
      <c r="B14" s="2301"/>
      <c r="C14" s="2306"/>
      <c r="D14" s="2303"/>
      <c r="E14" s="3753" t="s">
        <v>976</v>
      </c>
      <c r="F14" s="3754"/>
      <c r="G14" s="3755">
        <f>ROUND('2) Sector View Electric'!Q22/1000,-2)</f>
        <v>11000</v>
      </c>
      <c r="H14" s="3772">
        <f>ROUND('2) Sector View Electric'!P22,-3)</f>
        <v>431000</v>
      </c>
      <c r="I14" s="3752">
        <f>ROUND('3) Sector View Gas'!Q19,-2)</f>
        <v>693400</v>
      </c>
      <c r="J14" s="3772">
        <f>ROUND('3) Sector View Gas'!P19,-3)</f>
        <v>196000</v>
      </c>
      <c r="K14" s="3751">
        <f t="shared" si="1"/>
        <v>627000</v>
      </c>
    </row>
    <row r="15" spans="2:11" x14ac:dyDescent="0.25">
      <c r="B15" s="2336" t="s">
        <v>487</v>
      </c>
      <c r="C15" s="2302" t="s">
        <v>657</v>
      </c>
      <c r="D15" s="3708" t="s">
        <v>971</v>
      </c>
      <c r="E15" s="2314"/>
      <c r="F15" s="2337"/>
      <c r="G15" s="3709">
        <f>ROUND(('2) Sector View Electric'!Q16/1000)+('2) Sector View Electric'!Q17/1000),-2)</f>
        <v>3100</v>
      </c>
      <c r="H15" s="2799">
        <f>ROUND('2) Sector View Electric'!P16+'2) Sector View Electric'!P17,-3)</f>
        <v>2232000</v>
      </c>
      <c r="I15" s="3710">
        <f>ROUND('3) Sector View Gas'!Q15+'3) Sector View Gas'!Q14,-2)</f>
        <v>63800</v>
      </c>
      <c r="J15" s="2430">
        <f>ROUND('3) Sector View Gas'!P15+'3) Sector View Gas'!P14,-3)</f>
        <v>479000</v>
      </c>
      <c r="K15" s="3643">
        <f t="shared" si="1"/>
        <v>2711000</v>
      </c>
    </row>
    <row r="16" spans="2:11" x14ac:dyDescent="0.25">
      <c r="B16" s="2301" t="s">
        <v>519</v>
      </c>
      <c r="C16" s="2302"/>
      <c r="D16" s="2303" t="s">
        <v>972</v>
      </c>
      <c r="E16" s="2302"/>
      <c r="F16" s="2339"/>
      <c r="G16" s="2431">
        <f>ROUND('2) Sector View Electric'!Q18/1000,-2)</f>
        <v>5200</v>
      </c>
      <c r="H16" s="2430">
        <f>ROUND('2) Sector View Electric'!P18,-3)</f>
        <v>1642000</v>
      </c>
      <c r="I16" s="2429"/>
      <c r="J16" s="2430"/>
      <c r="K16" s="3643">
        <f t="shared" si="1"/>
        <v>1642000</v>
      </c>
    </row>
    <row r="17" spans="2:11" x14ac:dyDescent="0.25">
      <c r="B17" s="2301" t="s">
        <v>564</v>
      </c>
      <c r="C17" s="2302" t="s">
        <v>685</v>
      </c>
      <c r="D17" s="2303" t="s">
        <v>973</v>
      </c>
      <c r="E17" s="2302"/>
      <c r="F17" s="2339"/>
      <c r="G17" s="2431">
        <f>ROUND('2) Sector View Electric'!Q19/1000,-2)</f>
        <v>33600</v>
      </c>
      <c r="H17" s="2430">
        <f>ROUND('2) Sector View Electric'!P19,-3)</f>
        <v>13708000</v>
      </c>
      <c r="I17" s="2429">
        <f>ROUND('3) Sector View Gas'!Q16,-2)</f>
        <v>49900</v>
      </c>
      <c r="J17" s="2430">
        <f>ROUND('3) Sector View Gas'!P16,-3)</f>
        <v>455000</v>
      </c>
      <c r="K17" s="3643">
        <f t="shared" si="1"/>
        <v>14163000</v>
      </c>
    </row>
    <row r="18" spans="2:11" x14ac:dyDescent="0.25">
      <c r="B18" s="2301" t="s">
        <v>595</v>
      </c>
      <c r="C18" s="2302" t="s">
        <v>695</v>
      </c>
      <c r="D18" s="2303" t="s">
        <v>974</v>
      </c>
      <c r="E18" s="2302"/>
      <c r="F18" s="2339"/>
      <c r="G18" s="2431">
        <f>ROUND('2) Sector View Electric'!Q20/1000,-2)</f>
        <v>1900</v>
      </c>
      <c r="H18" s="2430">
        <f>ROUND('2) Sector View Electric'!P20,-3)</f>
        <v>1278000</v>
      </c>
      <c r="I18" s="3491">
        <f>ROUND('3) Sector View Gas'!Q17,-2)</f>
        <v>100300</v>
      </c>
      <c r="J18" s="2430">
        <f>ROUND('3) Sector View Gas'!P17,-3)</f>
        <v>666000</v>
      </c>
      <c r="K18" s="3643">
        <f t="shared" si="1"/>
        <v>1944000</v>
      </c>
    </row>
    <row r="19" spans="2:11" x14ac:dyDescent="0.25">
      <c r="B19" s="2301" t="s">
        <v>602</v>
      </c>
      <c r="C19" s="2302" t="s">
        <v>697</v>
      </c>
      <c r="D19" s="2303" t="s">
        <v>604</v>
      </c>
      <c r="E19" s="2302"/>
      <c r="F19" s="2339"/>
      <c r="G19" s="2431">
        <f>'2) Sector View Electric'!Q21/1000</f>
        <v>0</v>
      </c>
      <c r="H19" s="2436">
        <f>'2) Sector View Electric'!P21</f>
        <v>0</v>
      </c>
      <c r="I19" s="2429"/>
      <c r="J19" s="2436"/>
      <c r="K19" s="3643">
        <f t="shared" si="1"/>
        <v>0</v>
      </c>
    </row>
    <row r="20" spans="2:11" x14ac:dyDescent="0.25">
      <c r="B20" s="2307"/>
      <c r="C20" s="2308"/>
      <c r="D20" s="2309" t="s">
        <v>977</v>
      </c>
      <c r="E20" s="2309"/>
      <c r="F20" s="2309"/>
      <c r="G20" s="2454">
        <f>G5+G6+SUM(G15:G19)</f>
        <v>298900</v>
      </c>
      <c r="H20" s="2438">
        <f>H5+H6+SUM(H15:H19)</f>
        <v>85053000</v>
      </c>
      <c r="I20" s="2437">
        <f>I5+I6+SUM(I15:I19)</f>
        <v>3790600</v>
      </c>
      <c r="J20" s="2438">
        <f>J5+J6+SUM(J15:J19)</f>
        <v>13701000</v>
      </c>
      <c r="K20" s="3644">
        <f t="shared" si="1"/>
        <v>98754000</v>
      </c>
    </row>
    <row r="21" spans="2:11" x14ac:dyDescent="0.25">
      <c r="B21" s="2304"/>
      <c r="C21" s="2310"/>
      <c r="D21" s="2311"/>
      <c r="E21" s="2310"/>
      <c r="F21" s="2310"/>
      <c r="G21" s="2439"/>
      <c r="H21" s="2440"/>
      <c r="I21" s="2441"/>
      <c r="J21" s="2440"/>
      <c r="K21" s="3645"/>
    </row>
    <row r="22" spans="2:11" ht="15.6" x14ac:dyDescent="0.3">
      <c r="B22" s="2367"/>
      <c r="C22" s="2368"/>
      <c r="D22" s="2369" t="s">
        <v>843</v>
      </c>
      <c r="E22" s="2369"/>
      <c r="F22" s="2369"/>
      <c r="G22" s="2442"/>
      <c r="H22" s="2442"/>
      <c r="I22" s="2442"/>
      <c r="J22" s="2442"/>
      <c r="K22" s="3646"/>
    </row>
    <row r="23" spans="2:11" x14ac:dyDescent="0.25">
      <c r="B23" s="2312" t="s">
        <v>978</v>
      </c>
      <c r="C23" s="2338" t="s">
        <v>836</v>
      </c>
      <c r="D23" s="2314" t="s">
        <v>979</v>
      </c>
      <c r="E23" s="2314"/>
      <c r="F23" s="2337"/>
      <c r="G23" s="2443">
        <f>ROUND('2) Sector View Electric'!Q27/1000,-2)</f>
        <v>138300</v>
      </c>
      <c r="H23" s="2866">
        <f>ROUND('2) Sector View Electric'!P27, -3)</f>
        <v>39102000</v>
      </c>
      <c r="I23" s="2798">
        <f>ROUND('3) Sector View Gas'!Q24,-2)</f>
        <v>952000</v>
      </c>
      <c r="J23" s="2799">
        <f>ROUND('3) Sector View Gas'!P24,-3)</f>
        <v>5845000</v>
      </c>
      <c r="K23" s="3648">
        <f t="shared" ref="K23:K30" si="2">H23+J23</f>
        <v>44947000</v>
      </c>
    </row>
    <row r="24" spans="2:11" x14ac:dyDescent="0.25">
      <c r="B24" s="2315" t="s">
        <v>821</v>
      </c>
      <c r="C24" s="2316" t="s">
        <v>838</v>
      </c>
      <c r="D24" s="2302" t="s">
        <v>829</v>
      </c>
      <c r="E24" s="2302"/>
      <c r="F24" s="2339"/>
      <c r="G24" s="2445">
        <f>ROUND('2) Sector View Electric'!Q28/1000,-2)</f>
        <v>7000</v>
      </c>
      <c r="H24" s="2446">
        <f>ROUND('2) Sector View Electric'!P28,-3)</f>
        <v>4428000</v>
      </c>
      <c r="I24" s="2447">
        <f>ROUND('3) Sector View Gas'!Q26,-2)</f>
        <v>200000</v>
      </c>
      <c r="J24" s="2430">
        <f>ROUND('3) Sector View Gas'!P26,-3)</f>
        <v>1219000</v>
      </c>
      <c r="K24" s="3649">
        <f t="shared" si="2"/>
        <v>5647000</v>
      </c>
    </row>
    <row r="25" spans="2:11" x14ac:dyDescent="0.25">
      <c r="B25" s="2315" t="s">
        <v>822</v>
      </c>
      <c r="C25" s="2316" t="s">
        <v>837</v>
      </c>
      <c r="D25" s="2302" t="s">
        <v>830</v>
      </c>
      <c r="E25" s="2302"/>
      <c r="F25" s="2339"/>
      <c r="G25" s="2445">
        <f>ROUND('2) Sector View Electric'!Q29/1000,-2)</f>
        <v>38800</v>
      </c>
      <c r="H25" s="2446">
        <f>ROUND('2) Sector View Electric'!P29,-3)</f>
        <v>3933000</v>
      </c>
      <c r="I25" s="2447">
        <f>ROUND('3) Sector View Gas'!Q25,-2)</f>
        <v>1800000</v>
      </c>
      <c r="J25" s="2430">
        <f>ROUND('3) Sector View Gas'!P25,-3)</f>
        <v>2133000</v>
      </c>
      <c r="K25" s="3649">
        <f t="shared" si="2"/>
        <v>6066000</v>
      </c>
    </row>
    <row r="26" spans="2:11" x14ac:dyDescent="0.25">
      <c r="B26" s="2315" t="s">
        <v>823</v>
      </c>
      <c r="C26" s="2316"/>
      <c r="D26" s="2302" t="s">
        <v>981</v>
      </c>
      <c r="E26" s="2302"/>
      <c r="F26" s="2339"/>
      <c r="G26" s="2445">
        <f>ROUND('2) Sector View Electric'!Q30/1000,-2)</f>
        <v>40100</v>
      </c>
      <c r="H26" s="2446">
        <f>ROUND('2) Sector View Electric'!P30,-3)</f>
        <v>12891000</v>
      </c>
      <c r="I26" s="2447"/>
      <c r="J26" s="2430"/>
      <c r="K26" s="3649">
        <f t="shared" si="2"/>
        <v>12891000</v>
      </c>
    </row>
    <row r="27" spans="2:11" x14ac:dyDescent="0.25">
      <c r="B27" s="2315" t="s">
        <v>825</v>
      </c>
      <c r="C27" s="2316"/>
      <c r="D27" s="2302" t="s">
        <v>982</v>
      </c>
      <c r="E27" s="2302"/>
      <c r="F27" s="2339"/>
      <c r="G27" s="2445">
        <f>ROUND('2) Sector View Electric'!Q32/1000,-2)</f>
        <v>33000</v>
      </c>
      <c r="H27" s="2446">
        <f>ROUND('2) Sector View Electric'!P32,-3)</f>
        <v>10337000</v>
      </c>
      <c r="I27" s="2447"/>
      <c r="J27" s="2430"/>
      <c r="K27" s="3649">
        <f t="shared" si="2"/>
        <v>10337000</v>
      </c>
    </row>
    <row r="28" spans="2:11" x14ac:dyDescent="0.25">
      <c r="B28" s="3746" t="s">
        <v>826</v>
      </c>
      <c r="C28" s="3746" t="s">
        <v>839</v>
      </c>
      <c r="D28" s="3747" t="s">
        <v>983</v>
      </c>
      <c r="E28" s="2317"/>
      <c r="F28" s="2339"/>
      <c r="G28" s="2448"/>
      <c r="H28" s="3032">
        <f>ROUND('2) Sector View Electric'!P33,-3)</f>
        <v>60000</v>
      </c>
      <c r="I28" s="2449"/>
      <c r="J28" s="3032">
        <f>ROUND('3) Sector View Gas'!P27,-3)</f>
        <v>55000</v>
      </c>
      <c r="K28" s="3650">
        <f t="shared" si="2"/>
        <v>115000</v>
      </c>
    </row>
    <row r="29" spans="2:11" x14ac:dyDescent="0.25">
      <c r="B29" s="2318" t="s">
        <v>827</v>
      </c>
      <c r="C29" s="2319" t="s">
        <v>840</v>
      </c>
      <c r="D29" s="2306" t="s">
        <v>984</v>
      </c>
      <c r="E29" s="2306"/>
      <c r="F29" s="2350"/>
      <c r="G29" s="2450">
        <f>ROUND('2) Sector View Electric'!Q34/1000,-2)</f>
        <v>54900</v>
      </c>
      <c r="H29" s="2451">
        <f>ROUND('2) Sector View Electric'!P34,-3)</f>
        <v>9760000</v>
      </c>
      <c r="I29" s="2452">
        <f>ROUND('3) Sector View Gas'!Q28,-2)</f>
        <v>2806000</v>
      </c>
      <c r="J29" s="2453">
        <f>ROUND('3) Sector View Gas'!P28,-3)</f>
        <v>1312000</v>
      </c>
      <c r="K29" s="3649">
        <f t="shared" si="2"/>
        <v>11072000</v>
      </c>
    </row>
    <row r="30" spans="2:11" x14ac:dyDescent="0.25">
      <c r="B30" s="2307"/>
      <c r="C30" s="2308"/>
      <c r="D30" s="2309" t="s">
        <v>985</v>
      </c>
      <c r="E30" s="2309"/>
      <c r="F30" s="2309"/>
      <c r="G30" s="2454">
        <f>SUM(G23:G29)</f>
        <v>312100</v>
      </c>
      <c r="H30" s="2455">
        <f>SUM(H23:H29)</f>
        <v>80511000</v>
      </c>
      <c r="I30" s="2456">
        <f>SUM(I23:I29)</f>
        <v>5758000</v>
      </c>
      <c r="J30" s="2455">
        <f>SUM(J23:J29)</f>
        <v>10564000</v>
      </c>
      <c r="K30" s="3651">
        <f t="shared" si="2"/>
        <v>91075000</v>
      </c>
    </row>
    <row r="31" spans="2:11" x14ac:dyDescent="0.25">
      <c r="B31" s="2304"/>
      <c r="C31" s="2310"/>
      <c r="D31" s="2311"/>
      <c r="E31" s="2310"/>
      <c r="F31" s="2310"/>
      <c r="G31" s="2439"/>
      <c r="H31" s="2440"/>
      <c r="I31" s="2441"/>
      <c r="J31" s="2440"/>
      <c r="K31" s="3645"/>
    </row>
    <row r="32" spans="2:11" ht="15.6" x14ac:dyDescent="0.3">
      <c r="B32" s="2370"/>
      <c r="C32" s="2371"/>
      <c r="D32" s="2371" t="s">
        <v>844</v>
      </c>
      <c r="E32" s="2371"/>
      <c r="F32" s="2371"/>
      <c r="G32" s="2457"/>
      <c r="H32" s="2457"/>
      <c r="I32" s="2457"/>
      <c r="J32" s="2457"/>
      <c r="K32" s="3652"/>
    </row>
    <row r="33" spans="2:12" ht="15" x14ac:dyDescent="0.4">
      <c r="B33" s="2347" t="s">
        <v>847</v>
      </c>
      <c r="C33" s="2348"/>
      <c r="D33" s="2313" t="s">
        <v>986</v>
      </c>
      <c r="E33" s="2313"/>
      <c r="F33" s="2313"/>
      <c r="G33" s="2500">
        <f>ROUND('2) Sector View Electric'!Q38/1000,-2)</f>
        <v>38800</v>
      </c>
      <c r="H33" s="3723">
        <f>ROUND('2) Sector View Electric'!P38,-3)</f>
        <v>10521000</v>
      </c>
      <c r="I33" s="2502"/>
      <c r="J33" s="3743"/>
      <c r="K33" s="3648">
        <f>H33+J33</f>
        <v>10521000</v>
      </c>
    </row>
    <row r="34" spans="2:12" ht="15" x14ac:dyDescent="0.4">
      <c r="B34" s="3733"/>
      <c r="C34" s="2324"/>
      <c r="D34" s="3732" t="s">
        <v>1118</v>
      </c>
      <c r="E34" s="2324"/>
      <c r="F34" s="2324"/>
      <c r="G34" s="2466">
        <f>ROUND('2) Sector View Electric'!Q39/1000,-2)</f>
        <v>16200</v>
      </c>
      <c r="H34" s="3722">
        <f>ROUND('2) Sector View Electric'!P39,-3)</f>
        <v>623000</v>
      </c>
      <c r="I34" s="2466"/>
      <c r="J34" s="3724"/>
      <c r="K34" s="3725">
        <f>H34+J34</f>
        <v>623000</v>
      </c>
    </row>
    <row r="35" spans="2:12" x14ac:dyDescent="0.25">
      <c r="B35" s="2307"/>
      <c r="C35" s="2308"/>
      <c r="D35" s="2309" t="s">
        <v>987</v>
      </c>
      <c r="E35" s="2309"/>
      <c r="F35" s="2309"/>
      <c r="G35" s="2437">
        <f>SUM(G33:G34)</f>
        <v>55000</v>
      </c>
      <c r="H35" s="2462">
        <f>SUM(H33:H34)</f>
        <v>11144000</v>
      </c>
      <c r="I35" s="2463"/>
      <c r="J35" s="2462">
        <v>0</v>
      </c>
      <c r="K35" s="3644">
        <f>H35+J35</f>
        <v>11144000</v>
      </c>
    </row>
    <row r="36" spans="2:12" x14ac:dyDescent="0.25">
      <c r="B36" s="2304"/>
      <c r="C36" s="2310"/>
      <c r="D36" s="2310"/>
      <c r="E36" s="2310"/>
      <c r="F36" s="2310"/>
      <c r="G36" s="2439"/>
      <c r="H36" s="2464"/>
      <c r="I36" s="2465"/>
      <c r="J36" s="2464"/>
      <c r="K36" s="3654"/>
    </row>
    <row r="37" spans="2:12" x14ac:dyDescent="0.25">
      <c r="B37" s="2323"/>
      <c r="C37" s="2324"/>
      <c r="D37" s="2324"/>
      <c r="E37" s="2324"/>
      <c r="F37" s="2324"/>
      <c r="G37" s="2466"/>
      <c r="H37" s="2467"/>
      <c r="I37" s="2466"/>
      <c r="J37" s="2467"/>
      <c r="K37" s="3655"/>
    </row>
    <row r="38" spans="2:12" ht="15.6" x14ac:dyDescent="0.3">
      <c r="B38" s="2372"/>
      <c r="C38" s="2373"/>
      <c r="D38" s="2374" t="s">
        <v>988</v>
      </c>
      <c r="E38" s="2374"/>
      <c r="F38" s="2374"/>
      <c r="G38" s="2468"/>
      <c r="H38" s="2468"/>
      <c r="I38" s="2468"/>
      <c r="J38" s="2468"/>
      <c r="K38" s="3656"/>
    </row>
    <row r="39" spans="2:12" ht="15.6" x14ac:dyDescent="0.3">
      <c r="B39" s="2325"/>
      <c r="C39" s="2326"/>
      <c r="D39" s="2383" t="s">
        <v>989</v>
      </c>
      <c r="E39" s="2384"/>
      <c r="F39" s="2385"/>
      <c r="G39" s="2469"/>
      <c r="H39" s="2470">
        <f>ROUND(H40+H41+H42+H43,-3)</f>
        <v>3285000</v>
      </c>
      <c r="I39" s="2471"/>
      <c r="J39" s="2470">
        <f>ROUND(J40+J41+J42+J43,-3)</f>
        <v>489000</v>
      </c>
      <c r="K39" s="3657">
        <f>H39+J39</f>
        <v>3774000</v>
      </c>
    </row>
    <row r="40" spans="2:12" x14ac:dyDescent="0.25">
      <c r="B40" s="2315"/>
      <c r="C40" s="2316"/>
      <c r="D40" s="2327"/>
      <c r="E40" s="2381" t="s">
        <v>991</v>
      </c>
      <c r="F40" s="2328"/>
      <c r="G40" s="2473"/>
      <c r="H40" s="2435">
        <f>ROUND('2) Sector View Electric'!P44,-3)</f>
        <v>2074000</v>
      </c>
      <c r="I40" s="2472"/>
      <c r="J40" s="2435">
        <f>ROUND('3) Sector View Gas'!P33,-3)</f>
        <v>310000</v>
      </c>
      <c r="K40" s="3641">
        <f t="shared" ref="K40:K54" si="3">H40+J40</f>
        <v>2384000</v>
      </c>
    </row>
    <row r="41" spans="2:12" x14ac:dyDescent="0.25">
      <c r="B41" s="2315"/>
      <c r="C41" s="2316"/>
      <c r="D41" s="2327"/>
      <c r="E41" s="2382" t="s">
        <v>993</v>
      </c>
      <c r="F41" s="2340"/>
      <c r="G41" s="2473"/>
      <c r="H41" s="2435">
        <f>ROUND('2) Sector View Electric'!P45,-3)</f>
        <v>841000</v>
      </c>
      <c r="I41" s="2472"/>
      <c r="J41" s="2435">
        <f>ROUND('3) Sector View Gas'!P34,-3)</f>
        <v>125000</v>
      </c>
      <c r="K41" s="3641">
        <f t="shared" si="3"/>
        <v>966000</v>
      </c>
    </row>
    <row r="42" spans="2:12" x14ac:dyDescent="0.25">
      <c r="B42" s="2315"/>
      <c r="C42" s="2316"/>
      <c r="D42" s="2327"/>
      <c r="E42" s="2381" t="s">
        <v>63</v>
      </c>
      <c r="F42" s="2328"/>
      <c r="G42" s="2473"/>
      <c r="H42" s="2435">
        <f>ROUND('2) Sector View Electric'!P46,-3)</f>
        <v>109000</v>
      </c>
      <c r="I42" s="2472"/>
      <c r="J42" s="2435">
        <f>ROUND('3) Sector View Gas'!P35,-3)</f>
        <v>16000</v>
      </c>
      <c r="K42" s="3641">
        <f t="shared" si="3"/>
        <v>125000</v>
      </c>
    </row>
    <row r="43" spans="2:12" x14ac:dyDescent="0.25">
      <c r="B43" s="3744"/>
      <c r="C43" s="3745"/>
      <c r="D43" s="2327"/>
      <c r="E43" s="2381" t="s">
        <v>994</v>
      </c>
      <c r="F43" s="2328"/>
      <c r="G43" s="2473"/>
      <c r="H43" s="2435">
        <f>ROUND('2) Sector View Electric'!P47,-3)</f>
        <v>261000</v>
      </c>
      <c r="I43" s="2475"/>
      <c r="J43" s="2435">
        <f>ROUND('3) Sector View Gas'!P36,-3)</f>
        <v>38000</v>
      </c>
      <c r="K43" s="3641">
        <f t="shared" si="3"/>
        <v>299000</v>
      </c>
    </row>
    <row r="44" spans="2:12" x14ac:dyDescent="0.25">
      <c r="B44" s="2315"/>
      <c r="C44" s="2316"/>
      <c r="D44" s="2386" t="s">
        <v>855</v>
      </c>
      <c r="E44" s="2387"/>
      <c r="F44" s="2388"/>
      <c r="G44" s="2476"/>
      <c r="H44" s="2477">
        <f>ROUND(H45+H51,-3)</f>
        <v>1969000</v>
      </c>
      <c r="I44" s="2471"/>
      <c r="J44" s="2477">
        <f>ROUND(J45+J51,-3)</f>
        <v>296000</v>
      </c>
      <c r="K44" s="3657">
        <f>H44+J44</f>
        <v>2265000</v>
      </c>
    </row>
    <row r="45" spans="2:12" x14ac:dyDescent="0.25">
      <c r="B45" s="2315"/>
      <c r="C45" s="2316"/>
      <c r="D45" s="2327"/>
      <c r="E45" s="2328" t="s">
        <v>1172</v>
      </c>
      <c r="F45" s="2328"/>
      <c r="G45" s="2478"/>
      <c r="H45" s="2435">
        <f>ROUND(SUM(H46:H50),-3)</f>
        <v>1268000</v>
      </c>
      <c r="I45" s="2479"/>
      <c r="J45" s="2480">
        <f>ROUND(SUM(J46:J50),-3)</f>
        <v>191000</v>
      </c>
      <c r="K45" s="3643">
        <f t="shared" si="3"/>
        <v>1459000</v>
      </c>
    </row>
    <row r="46" spans="2:12" s="2295" customFormat="1" x14ac:dyDescent="0.25">
      <c r="B46" s="2315"/>
      <c r="C46" s="2316"/>
      <c r="D46" s="2327"/>
      <c r="E46" s="2380"/>
      <c r="F46" s="2417" t="s">
        <v>1013</v>
      </c>
      <c r="G46" s="3750"/>
      <c r="H46" s="3774">
        <f>ROUND('33a) Detail_PSWE_Main Grn Elec'!B68+'33a) Detail_PSWE_Main Grn Elec'!C68,-3)</f>
        <v>256000</v>
      </c>
      <c r="I46" s="3757"/>
      <c r="J46" s="3775">
        <f>ROUND('38a) Detail_PSWE_Main Grn Gas'!B68+'38a) Detail_PSWE_Main Grn Gas'!C68,-3)</f>
        <v>38000</v>
      </c>
      <c r="K46" s="3776">
        <f t="shared" si="3"/>
        <v>294000</v>
      </c>
      <c r="L46" s="3956"/>
    </row>
    <row r="47" spans="2:12" s="2295" customFormat="1" x14ac:dyDescent="0.25">
      <c r="B47" s="2315"/>
      <c r="C47" s="2316"/>
      <c r="D47" s="2327"/>
      <c r="E47" s="2380"/>
      <c r="F47" s="2417" t="s">
        <v>1017</v>
      </c>
      <c r="G47" s="3750"/>
      <c r="H47" s="3774">
        <f>ROUND('33a) Detail_PSWE_Main Grn Elec'!B70+'33a) Detail_PSWE_Main Grn Elec'!C70,-3)</f>
        <v>513000</v>
      </c>
      <c r="I47" s="3757"/>
      <c r="J47" s="3775">
        <f>ROUND('38a) Detail_PSWE_Main Grn Gas'!B70+'38a) Detail_PSWE_Main Grn Gas'!C70,-3)</f>
        <v>77000</v>
      </c>
      <c r="K47" s="3776">
        <f t="shared" si="3"/>
        <v>590000</v>
      </c>
      <c r="L47" s="3956"/>
    </row>
    <row r="48" spans="2:12" s="2295" customFormat="1" x14ac:dyDescent="0.25">
      <c r="B48" s="2315"/>
      <c r="C48" s="2316"/>
      <c r="D48" s="2327"/>
      <c r="E48" s="2380"/>
      <c r="F48" s="2417" t="s">
        <v>1014</v>
      </c>
      <c r="G48" s="3750"/>
      <c r="H48" s="3774">
        <f>ROUND('33a) Detail_PSWE_Main Grn Elec'!B71+'33a) Detail_PSWE_Main Grn Elec'!C71,-3)</f>
        <v>470000</v>
      </c>
      <c r="I48" s="3756"/>
      <c r="J48" s="3774">
        <f>ROUND('38a) Detail_PSWE_Main Grn Gas'!B71+'38a) Detail_PSWE_Main Grn Gas'!C71,-3)</f>
        <v>70000</v>
      </c>
      <c r="K48" s="3776">
        <f t="shared" si="3"/>
        <v>540000</v>
      </c>
      <c r="L48" s="3956"/>
    </row>
    <row r="49" spans="2:12" s="2295" customFormat="1" x14ac:dyDescent="0.25">
      <c r="B49" s="2315"/>
      <c r="C49" s="2316"/>
      <c r="D49" s="2327"/>
      <c r="E49" s="2380"/>
      <c r="F49" s="2417" t="s">
        <v>1015</v>
      </c>
      <c r="G49" s="3750"/>
      <c r="H49" s="3774">
        <f>ROUND('33a) Detail_PSWE_Main Grn Elec'!B72+'33a) Detail_PSWE_Main Grn Elec'!C72,-3)</f>
        <v>19000</v>
      </c>
      <c r="I49" s="3756"/>
      <c r="J49" s="3774">
        <f>ROUND('38a) Detail_PSWE_Main Grn Gas'!B72+'38a) Detail_PSWE_Main Grn Gas'!C72,-3)</f>
        <v>4000</v>
      </c>
      <c r="K49" s="3776">
        <f t="shared" si="3"/>
        <v>23000</v>
      </c>
      <c r="L49" s="3956"/>
    </row>
    <row r="50" spans="2:12" s="2295" customFormat="1" x14ac:dyDescent="0.25">
      <c r="B50" s="2315"/>
      <c r="C50" s="2316"/>
      <c r="D50" s="2327"/>
      <c r="E50" s="2380"/>
      <c r="F50" s="2417" t="s">
        <v>1016</v>
      </c>
      <c r="G50" s="3750"/>
      <c r="H50" s="3774">
        <f>ROUND('33a) Detail_PSWE_Main Grn Elec'!B73+'33a) Detail_PSWE_Main Grn Elec'!C73,-3)</f>
        <v>10000</v>
      </c>
      <c r="I50" s="3757"/>
      <c r="J50" s="3775">
        <f>ROUND('38a) Detail_PSWE_Main Grn Gas'!B73+'38a) Detail_PSWE_Main Grn Gas'!C73,-3)</f>
        <v>2000</v>
      </c>
      <c r="K50" s="3776">
        <f t="shared" si="3"/>
        <v>12000</v>
      </c>
      <c r="L50" s="3956"/>
    </row>
    <row r="51" spans="2:12" x14ac:dyDescent="0.25">
      <c r="B51" s="2315"/>
      <c r="C51" s="2316"/>
      <c r="D51" s="2327"/>
      <c r="E51" s="2328" t="s">
        <v>995</v>
      </c>
      <c r="F51" s="2328"/>
      <c r="G51" s="2478"/>
      <c r="H51" s="2480">
        <f>ROUND('2) Sector View Electric'!P50,-3)</f>
        <v>701000</v>
      </c>
      <c r="I51" s="2479"/>
      <c r="J51" s="2480">
        <f>ROUND('3) Sector View Gas'!P39,-3)</f>
        <v>105000</v>
      </c>
      <c r="K51" s="3643">
        <f t="shared" si="3"/>
        <v>806000</v>
      </c>
    </row>
    <row r="52" spans="2:12" x14ac:dyDescent="0.25">
      <c r="B52" s="2315"/>
      <c r="C52" s="2316"/>
      <c r="D52" s="2386" t="s">
        <v>80</v>
      </c>
      <c r="E52" s="2386"/>
      <c r="F52" s="2386"/>
      <c r="G52" s="2476"/>
      <c r="H52" s="2470">
        <f>ROUND('2) Sector View Electric'!P51,-3)</f>
        <v>577000</v>
      </c>
      <c r="I52" s="2471"/>
      <c r="J52" s="2470">
        <f>ROUND('3) Sector View Gas'!P40,-3)</f>
        <v>86000</v>
      </c>
      <c r="K52" s="3657">
        <f t="shared" si="3"/>
        <v>663000</v>
      </c>
    </row>
    <row r="53" spans="2:12" x14ac:dyDescent="0.25">
      <c r="B53" s="2329"/>
      <c r="C53" s="2330"/>
      <c r="D53" s="2389" t="s">
        <v>997</v>
      </c>
      <c r="E53" s="2389"/>
      <c r="F53" s="2389"/>
      <c r="G53" s="2482"/>
      <c r="H53" s="2483">
        <f>ROUND('2) Sector View Electric'!P52,-3)</f>
        <v>93000</v>
      </c>
      <c r="I53" s="2484"/>
      <c r="J53" s="2470">
        <f>ROUND('3) Sector View Gas'!P41,-3)</f>
        <v>36000</v>
      </c>
      <c r="K53" s="3657">
        <f t="shared" si="3"/>
        <v>129000</v>
      </c>
    </row>
    <row r="54" spans="2:12" s="2410" customFormat="1" x14ac:dyDescent="0.25">
      <c r="B54" s="2413"/>
      <c r="C54" s="2420"/>
      <c r="D54" s="2415" t="s">
        <v>119</v>
      </c>
      <c r="E54" s="2415"/>
      <c r="F54" s="2415"/>
      <c r="G54" s="2482"/>
      <c r="H54" s="2483">
        <f>ROUND('2) Sector View Electric'!P53,-3)</f>
        <v>1226000</v>
      </c>
      <c r="I54" s="2484"/>
      <c r="J54" s="2470">
        <f>ROUND('3) Sector View Gas'!P42,-3)</f>
        <v>183000</v>
      </c>
      <c r="K54" s="3657">
        <f t="shared" si="3"/>
        <v>1409000</v>
      </c>
      <c r="L54" s="3956"/>
    </row>
    <row r="55" spans="2:12" x14ac:dyDescent="0.25">
      <c r="B55" s="2307"/>
      <c r="C55" s="2308"/>
      <c r="D55" s="2309" t="s">
        <v>998</v>
      </c>
      <c r="E55" s="2309"/>
      <c r="F55" s="2309"/>
      <c r="G55" s="2437"/>
      <c r="H55" s="2485">
        <f>H39+H44+H52+H53+H54</f>
        <v>7150000</v>
      </c>
      <c r="I55" s="2463"/>
      <c r="J55" s="2485">
        <f>J39+J44+J52+J53+J54</f>
        <v>1090000</v>
      </c>
      <c r="K55" s="3644">
        <f>H55+J55</f>
        <v>8240000</v>
      </c>
    </row>
    <row r="56" spans="2:12" x14ac:dyDescent="0.25">
      <c r="B56" s="2304"/>
      <c r="C56" s="2310"/>
      <c r="D56" s="2310"/>
      <c r="E56" s="2332"/>
      <c r="F56" s="2310"/>
      <c r="G56" s="2465"/>
      <c r="H56" s="2464"/>
      <c r="I56" s="2465"/>
      <c r="J56" s="2464"/>
      <c r="K56" s="3654"/>
    </row>
    <row r="57" spans="2:12" ht="15.6" x14ac:dyDescent="0.3">
      <c r="B57" s="2333"/>
      <c r="C57" s="2334"/>
      <c r="D57" s="2335" t="s">
        <v>999</v>
      </c>
      <c r="E57" s="2335"/>
      <c r="F57" s="2335"/>
      <c r="G57" s="2486"/>
      <c r="H57" s="2486"/>
      <c r="I57" s="2486"/>
      <c r="J57" s="2486"/>
      <c r="K57" s="3658"/>
    </row>
    <row r="58" spans="2:12" x14ac:dyDescent="0.25">
      <c r="B58" s="2336"/>
      <c r="C58" s="2337"/>
      <c r="D58" s="2338" t="s">
        <v>85</v>
      </c>
      <c r="E58" s="2338"/>
      <c r="F58" s="2338"/>
      <c r="G58" s="2487"/>
      <c r="H58" s="2488">
        <f>ROUND('2) Sector View Electric'!P57,-3)</f>
        <v>670000</v>
      </c>
      <c r="I58" s="2489"/>
      <c r="J58" s="2488">
        <f>ROUND('3) Sector View Gas'!P46,-3)</f>
        <v>100000</v>
      </c>
      <c r="K58" s="3647">
        <f>H58+J58</f>
        <v>770000</v>
      </c>
    </row>
    <row r="59" spans="2:12" ht="15" x14ac:dyDescent="0.4">
      <c r="B59" s="2301"/>
      <c r="C59" s="2339"/>
      <c r="D59" s="3736" t="s">
        <v>1134</v>
      </c>
      <c r="E59" s="3736"/>
      <c r="F59" s="3736"/>
      <c r="G59" s="2490"/>
      <c r="H59" s="2480">
        <f>ROUND('2) Sector View Electric'!P58,-3)</f>
        <v>594000</v>
      </c>
      <c r="I59" s="2479"/>
      <c r="J59" s="2488">
        <f>ROUND('3) Sector View Gas'!P47,-3)</f>
        <v>89000</v>
      </c>
      <c r="K59" s="3647">
        <f>H59+J59</f>
        <v>683000</v>
      </c>
    </row>
    <row r="60" spans="2:12" x14ac:dyDescent="0.25">
      <c r="B60" s="2301"/>
      <c r="C60" s="2339"/>
      <c r="D60" s="2316" t="s">
        <v>88</v>
      </c>
      <c r="E60" s="2316"/>
      <c r="F60" s="2316"/>
      <c r="G60" s="2478"/>
      <c r="H60" s="2491">
        <f>ROUND('2) Sector View Electric'!P59,-3)</f>
        <v>3776000</v>
      </c>
      <c r="I60" s="2479"/>
      <c r="J60" s="2492">
        <f>ROUND('3) Sector View Gas'!P48,-3)</f>
        <v>949000</v>
      </c>
      <c r="K60" s="3647">
        <f>H60+J60</f>
        <v>4725000</v>
      </c>
    </row>
    <row r="61" spans="2:12" x14ac:dyDescent="0.25">
      <c r="B61" s="2341"/>
      <c r="C61" s="2342"/>
      <c r="D61" s="2331" t="s">
        <v>861</v>
      </c>
      <c r="E61" s="2343"/>
      <c r="F61" s="2342"/>
      <c r="G61" s="2493"/>
      <c r="H61" s="2494">
        <f>ROUND('2) Sector View Electric'!P60,-3)</f>
        <v>764000</v>
      </c>
      <c r="I61" s="2495"/>
      <c r="J61" s="2488">
        <f>ROUND('3) Sector View Gas'!P49,-3)</f>
        <v>123000</v>
      </c>
      <c r="K61" s="3647">
        <f>H61+J61</f>
        <v>887000</v>
      </c>
    </row>
    <row r="62" spans="2:12" x14ac:dyDescent="0.25">
      <c r="B62" s="2307"/>
      <c r="C62" s="2308"/>
      <c r="D62" s="2309" t="s">
        <v>1000</v>
      </c>
      <c r="E62" s="2309"/>
      <c r="F62" s="2309"/>
      <c r="G62" s="2437"/>
      <c r="H62" s="2462">
        <f>SUM(H58:H61)</f>
        <v>5804000</v>
      </c>
      <c r="I62" s="2463"/>
      <c r="J62" s="2462">
        <f>SUM(J58:J61)</f>
        <v>1261000</v>
      </c>
      <c r="K62" s="3644">
        <f>H62+J62</f>
        <v>7065000</v>
      </c>
    </row>
    <row r="63" spans="2:12" x14ac:dyDescent="0.25">
      <c r="B63" s="2323"/>
      <c r="C63" s="2324"/>
      <c r="D63" s="2324"/>
      <c r="E63" s="2324"/>
      <c r="F63" s="2324"/>
      <c r="G63" s="2466"/>
      <c r="H63" s="2467"/>
      <c r="I63" s="2466"/>
      <c r="J63" s="2467"/>
      <c r="K63" s="3655"/>
    </row>
    <row r="64" spans="2:12" ht="13.8" x14ac:dyDescent="0.25">
      <c r="B64" s="2344" t="s">
        <v>1001</v>
      </c>
      <c r="C64" s="2345"/>
      <c r="D64" s="2345"/>
      <c r="E64" s="2346"/>
      <c r="F64" s="2346"/>
      <c r="G64" s="2496">
        <f>G20+G30+G35</f>
        <v>666000</v>
      </c>
      <c r="H64" s="2497">
        <f>H20+H30+H35+H55+H62</f>
        <v>189662000</v>
      </c>
      <c r="I64" s="2496">
        <f>I20+I30</f>
        <v>9548600</v>
      </c>
      <c r="J64" s="2497">
        <f>J20+J30+J55+J62</f>
        <v>26616000</v>
      </c>
      <c r="K64" s="3659">
        <f>H64+J64</f>
        <v>216278000</v>
      </c>
    </row>
    <row r="65" spans="2:12" x14ac:dyDescent="0.25">
      <c r="B65" s="2323"/>
      <c r="C65" s="2324"/>
      <c r="D65" s="2324"/>
      <c r="E65" s="2324"/>
      <c r="F65" s="2324"/>
      <c r="G65" s="2498"/>
      <c r="H65" s="2467"/>
      <c r="I65" s="2466"/>
      <c r="J65" s="2467"/>
      <c r="K65" s="3655"/>
    </row>
    <row r="66" spans="2:12" ht="15.6" x14ac:dyDescent="0.3">
      <c r="B66" s="2375"/>
      <c r="C66" s="2376"/>
      <c r="D66" s="2377" t="s">
        <v>863</v>
      </c>
      <c r="E66" s="2377"/>
      <c r="F66" s="2377"/>
      <c r="G66" s="2499"/>
      <c r="H66" s="2499"/>
      <c r="I66" s="2499"/>
      <c r="J66" s="2499"/>
      <c r="K66" s="3660"/>
    </row>
    <row r="67" spans="2:12" x14ac:dyDescent="0.25">
      <c r="B67" s="2347" t="s">
        <v>1002</v>
      </c>
      <c r="C67" s="2348"/>
      <c r="D67" s="2313" t="s">
        <v>3</v>
      </c>
      <c r="E67" s="2349"/>
      <c r="F67" s="2348"/>
      <c r="G67" s="2500"/>
      <c r="H67" s="2501">
        <f>ROUND('2) Sector View Electric'!P64,-3)</f>
        <v>676000</v>
      </c>
      <c r="I67" s="2502"/>
      <c r="J67" s="2444"/>
      <c r="K67" s="3648">
        <f>H67+J67</f>
        <v>676000</v>
      </c>
    </row>
    <row r="68" spans="2:12" x14ac:dyDescent="0.25">
      <c r="B68" s="2301" t="s">
        <v>1003</v>
      </c>
      <c r="C68" s="2339"/>
      <c r="D68" s="2327" t="s">
        <v>1004</v>
      </c>
      <c r="E68" s="2316"/>
      <c r="F68" s="2316"/>
      <c r="G68" s="2478"/>
      <c r="H68" s="2503">
        <f>ROUND('2) Sector View Electric'!P65,-3)</f>
        <v>258000</v>
      </c>
      <c r="I68" s="2448"/>
      <c r="J68" s="2430"/>
      <c r="K68" s="3649">
        <f>H68+J68</f>
        <v>258000</v>
      </c>
    </row>
    <row r="69" spans="2:12" x14ac:dyDescent="0.25">
      <c r="B69" s="2301" t="s">
        <v>1304</v>
      </c>
      <c r="C69" s="2339"/>
      <c r="D69" s="2412" t="s">
        <v>1305</v>
      </c>
      <c r="E69" s="2316"/>
      <c r="F69" s="2316"/>
      <c r="G69" s="2478"/>
      <c r="H69" s="2503">
        <f>ROUND('2) Sector View Electric'!P66,-3)</f>
        <v>2756000</v>
      </c>
      <c r="I69" s="2448"/>
      <c r="J69" s="2430"/>
      <c r="K69" s="3735">
        <f>H69+J69</f>
        <v>2756000</v>
      </c>
    </row>
    <row r="70" spans="2:12" x14ac:dyDescent="0.25">
      <c r="B70" s="2305" t="s">
        <v>1005</v>
      </c>
      <c r="C70" s="2350"/>
      <c r="D70" s="2319" t="s">
        <v>1006</v>
      </c>
      <c r="E70" s="2319"/>
      <c r="F70" s="2319"/>
      <c r="G70" s="2504"/>
      <c r="H70" s="2505">
        <f>ROUND('2) Sector View Electric'!P67,-3)</f>
        <v>77000</v>
      </c>
      <c r="I70" s="2506"/>
      <c r="J70" s="2453"/>
      <c r="K70" s="3734">
        <f>H70+J70</f>
        <v>77000</v>
      </c>
    </row>
    <row r="71" spans="2:12" x14ac:dyDescent="0.25">
      <c r="B71" s="2307"/>
      <c r="C71" s="2308"/>
      <c r="D71" s="2351" t="s">
        <v>1007</v>
      </c>
      <c r="E71" s="2352"/>
      <c r="F71" s="2353"/>
      <c r="G71" s="2463"/>
      <c r="H71" s="2462">
        <f>SUM(H67:H70)</f>
        <v>3767000</v>
      </c>
      <c r="I71" s="2463"/>
      <c r="J71" s="2462">
        <v>0</v>
      </c>
      <c r="K71" s="3644">
        <f>H71+J71</f>
        <v>3767000</v>
      </c>
    </row>
    <row r="72" spans="2:12" ht="13.8" thickBot="1" x14ac:dyDescent="0.3">
      <c r="B72" s="2354"/>
      <c r="C72" s="2355"/>
      <c r="D72" s="2356"/>
      <c r="E72" s="2356"/>
      <c r="F72" s="2356"/>
      <c r="G72" s="2507"/>
      <c r="H72" s="2508"/>
      <c r="I72" s="2507"/>
      <c r="J72" s="2508"/>
      <c r="K72" s="3661"/>
    </row>
    <row r="73" spans="2:12" x14ac:dyDescent="0.25">
      <c r="B73" s="2310"/>
      <c r="C73" s="2310"/>
      <c r="D73" s="2310"/>
      <c r="E73" s="2310"/>
      <c r="F73" s="2310"/>
      <c r="G73" s="2509" t="s">
        <v>7</v>
      </c>
      <c r="H73" s="2464"/>
      <c r="I73" s="2465"/>
      <c r="J73" s="2464"/>
      <c r="K73" s="2464"/>
    </row>
    <row r="74" spans="2:12" x14ac:dyDescent="0.25">
      <c r="B74" s="2310"/>
      <c r="C74" s="2310"/>
      <c r="D74" s="2324"/>
      <c r="E74" s="2324"/>
      <c r="F74" s="2324"/>
      <c r="G74" s="2466"/>
      <c r="H74" s="2467"/>
      <c r="I74" s="2466"/>
      <c r="J74" s="2467"/>
      <c r="K74" s="2467"/>
    </row>
    <row r="75" spans="2:12" ht="14.4" thickBot="1" x14ac:dyDescent="0.3">
      <c r="B75" s="2357"/>
      <c r="C75" s="2378"/>
      <c r="D75" s="2393" t="s">
        <v>1008</v>
      </c>
      <c r="E75" s="2393"/>
      <c r="F75" s="2393"/>
      <c r="G75" s="2510">
        <f>G64/8760</f>
        <v>76.027397260273972</v>
      </c>
      <c r="H75" s="2511">
        <f>H64+H71</f>
        <v>193429000</v>
      </c>
      <c r="I75" s="2512">
        <f>I64</f>
        <v>9548600</v>
      </c>
      <c r="J75" s="2511">
        <f>J64+J71</f>
        <v>26616000</v>
      </c>
      <c r="K75" s="2511">
        <f>H75+J75</f>
        <v>220045000</v>
      </c>
    </row>
    <row r="76" spans="2:12" s="55" customFormat="1" ht="13.8" x14ac:dyDescent="0.25">
      <c r="B76" s="2358"/>
      <c r="C76" s="2358"/>
      <c r="D76" s="2359"/>
      <c r="E76" s="2359"/>
      <c r="F76" s="2359"/>
      <c r="G76" s="3759"/>
      <c r="H76" s="3760"/>
      <c r="I76" s="3761"/>
      <c r="J76" s="3760"/>
      <c r="K76" s="3760"/>
      <c r="L76" s="3955"/>
    </row>
    <row r="77" spans="2:12" ht="13.8" x14ac:dyDescent="0.25">
      <c r="B77" s="2358" t="s">
        <v>1174</v>
      </c>
      <c r="C77" s="2358"/>
      <c r="D77" s="2359"/>
      <c r="E77" s="2359"/>
      <c r="F77" s="2359"/>
      <c r="G77" s="2513"/>
      <c r="H77" s="2514"/>
      <c r="I77" s="2515"/>
      <c r="J77" s="2514"/>
      <c r="K77" s="2516"/>
    </row>
    <row r="78" spans="2:12" ht="15.6" x14ac:dyDescent="0.3">
      <c r="B78" s="2360" t="s">
        <v>1009</v>
      </c>
      <c r="C78" s="2295"/>
      <c r="D78" s="2361"/>
      <c r="E78" s="2361"/>
      <c r="F78" s="2361"/>
      <c r="G78" s="2517"/>
      <c r="H78" s="2518"/>
      <c r="I78" s="2519"/>
      <c r="J78" s="2520"/>
      <c r="K78" s="2521"/>
    </row>
    <row r="79" spans="2:12" s="3369" customFormat="1" ht="15.6" x14ac:dyDescent="0.3">
      <c r="B79" s="2360"/>
      <c r="D79" s="2361"/>
      <c r="E79" s="2361"/>
      <c r="F79" s="2361"/>
      <c r="G79" s="2517"/>
      <c r="H79" s="2518"/>
      <c r="I79" s="2519"/>
      <c r="J79" s="2520"/>
      <c r="K79" s="2521"/>
      <c r="L79" s="3956"/>
    </row>
    <row r="80" spans="2:12" x14ac:dyDescent="0.25">
      <c r="B80" s="2390"/>
      <c r="C80" s="2390"/>
      <c r="D80" s="2391"/>
      <c r="E80" s="2391"/>
      <c r="F80" s="2394" t="s">
        <v>1010</v>
      </c>
      <c r="G80" s="2522" t="s">
        <v>1175</v>
      </c>
      <c r="H80" s="2523">
        <v>166810000</v>
      </c>
      <c r="I80" s="2524">
        <v>9054000</v>
      </c>
      <c r="J80" s="2523">
        <v>33350000</v>
      </c>
      <c r="K80" s="2525">
        <v>200160000</v>
      </c>
    </row>
    <row r="81" spans="2:12" x14ac:dyDescent="0.25">
      <c r="B81" s="2295"/>
      <c r="C81" s="2295"/>
      <c r="D81" s="2295"/>
      <c r="E81" s="2295"/>
      <c r="F81" s="2295"/>
      <c r="G81" s="2526"/>
      <c r="H81" s="2526"/>
      <c r="I81" s="2526"/>
      <c r="J81" s="2527"/>
      <c r="K81" s="2526"/>
    </row>
    <row r="82" spans="2:12" x14ac:dyDescent="0.25">
      <c r="F82" s="2295"/>
      <c r="G82" s="2530"/>
      <c r="H82" s="2528"/>
      <c r="I82" s="2529"/>
      <c r="J82" s="2528"/>
      <c r="K82" s="2528"/>
    </row>
    <row r="83" spans="2:12" x14ac:dyDescent="0.25">
      <c r="F83" s="2395" t="s">
        <v>1011</v>
      </c>
      <c r="G83" s="3375"/>
      <c r="H83" s="2532">
        <f>(H19+H28+H55)/H64</f>
        <v>3.8014995096540161E-2</v>
      </c>
      <c r="I83" s="2531"/>
      <c r="J83" s="2532">
        <f>(J19+J28+J55)/J64</f>
        <v>4.3019236549443944E-2</v>
      </c>
      <c r="K83" s="2526"/>
    </row>
    <row r="84" spans="2:12" x14ac:dyDescent="0.25">
      <c r="F84" s="3369" t="s">
        <v>1173</v>
      </c>
      <c r="G84" s="2526"/>
      <c r="H84" s="2533"/>
      <c r="I84" s="2526"/>
      <c r="J84" s="2533"/>
      <c r="K84" s="2526"/>
    </row>
    <row r="85" spans="2:12" s="3369" customFormat="1" x14ac:dyDescent="0.25">
      <c r="G85" s="2526"/>
      <c r="H85" s="2533"/>
      <c r="I85" s="2526"/>
      <c r="J85" s="2533"/>
      <c r="K85" s="2526"/>
      <c r="L85" s="3956"/>
    </row>
    <row r="86" spans="2:12" s="3369" customFormat="1" x14ac:dyDescent="0.25">
      <c r="G86" s="2526"/>
      <c r="H86" s="2533"/>
      <c r="I86" s="2526"/>
      <c r="J86" s="2533"/>
      <c r="K86" s="2526"/>
      <c r="L86" s="3956"/>
    </row>
    <row r="87" spans="2:12" x14ac:dyDescent="0.25">
      <c r="F87" s="2396" t="s">
        <v>1012</v>
      </c>
      <c r="G87" s="3376"/>
      <c r="H87" s="2534">
        <f>H60/(H20+H30)</f>
        <v>2.2806890386799061E-2</v>
      </c>
      <c r="I87" s="2531"/>
      <c r="J87" s="2534">
        <f>J60/(J20+J30)</f>
        <v>3.9109828971770039E-2</v>
      </c>
      <c r="K87" s="2526"/>
    </row>
    <row r="102" spans="8:8" x14ac:dyDescent="0.25">
      <c r="H102" s="3490"/>
    </row>
  </sheetData>
  <customSheetViews>
    <customSheetView guid="{074EB09C-6289-46D7-9513-012B68BCA7BF}" showPageBreaks="1" fitToPage="1" topLeftCell="C1">
      <pane xSplit="4" ySplit="3" topLeftCell="L4" activePane="bottomRight" state="frozen"/>
      <selection pane="bottomRight" activeCell="M9" sqref="M9"/>
      <pageMargins left="0.21" right="0.3" top="0.38" bottom="0.22" header="0.3" footer="0.19"/>
      <pageSetup paperSize="3" scale="39" orientation="landscape" r:id="rId1"/>
    </customSheetView>
  </customSheetViews>
  <mergeCells count="2">
    <mergeCell ref="B3:C3"/>
    <mergeCell ref="G2:J2"/>
  </mergeCells>
  <hyperlinks>
    <hyperlink ref="G3" location="'2) Sector View Electric'!A1" display="MWH Savings"/>
    <hyperlink ref="H3" location="'2) Sector View Electric'!A1" display="Electric Rider Budget"/>
    <hyperlink ref="I3" location="'3) Sector View Gas'!A1" display="Therm Savings"/>
    <hyperlink ref="J3" location="'3) Sector View Gas'!A1" display="Gas Tracker Budget"/>
  </hyperlinks>
  <pageMargins left="0.21" right="0.3" top="0.38" bottom="0.22" header="0.3" footer="0.19"/>
  <pageSetup paperSize="17" scale="85"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6" style="3369" customWidth="1"/>
    <col min="2" max="2" width="19.109375" customWidth="1"/>
    <col min="3" max="3" width="33.88671875" customWidth="1"/>
    <col min="4" max="4" width="15.44140625" style="19" customWidth="1"/>
    <col min="5" max="5" width="15.44140625" customWidth="1"/>
    <col min="6" max="6" width="16.109375" customWidth="1"/>
    <col min="7" max="7" width="13.44140625" customWidth="1"/>
    <col min="8" max="8" width="15.44140625" bestFit="1" customWidth="1"/>
    <col min="9" max="9" width="14.33203125" bestFit="1" customWidth="1"/>
    <col min="10" max="10" width="15.33203125" customWidth="1"/>
    <col min="11" max="11" width="15.88671875" customWidth="1"/>
    <col min="12" max="12" width="17.109375" bestFit="1" customWidth="1"/>
    <col min="13" max="13" width="12.6640625" customWidth="1"/>
    <col min="14" max="14" width="13.6640625" customWidth="1"/>
    <col min="15" max="15" width="17" bestFit="1" customWidth="1"/>
    <col min="16" max="16" width="16.33203125" bestFit="1" customWidth="1"/>
    <col min="17" max="17" width="16.109375" customWidth="1"/>
    <col min="18" max="18" width="17.6640625" bestFit="1" customWidth="1"/>
    <col min="19" max="19" width="16.33203125" bestFit="1" customWidth="1"/>
    <col min="20"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88671875" bestFit="1" customWidth="1"/>
    <col min="261" max="261" width="16.33203125" bestFit="1" customWidth="1"/>
    <col min="262" max="262" width="20" bestFit="1" customWidth="1"/>
    <col min="263" max="263" width="13.44140625" customWidth="1"/>
    <col min="264" max="264" width="15.44140625" bestFit="1" customWidth="1"/>
    <col min="265" max="265" width="14.33203125" bestFit="1" customWidth="1"/>
    <col min="266" max="266" width="15.33203125" customWidth="1"/>
    <col min="267" max="267" width="15.88671875" customWidth="1"/>
    <col min="268" max="268" width="17.109375" bestFit="1" customWidth="1"/>
    <col min="269" max="269" width="12.6640625" customWidth="1"/>
    <col min="270" max="270" width="13.6640625" customWidth="1"/>
    <col min="271" max="271" width="17" bestFit="1" customWidth="1"/>
    <col min="272" max="272" width="16.33203125" bestFit="1" customWidth="1"/>
    <col min="273" max="273" width="16.109375" customWidth="1"/>
    <col min="274" max="274" width="17.6640625" bestFit="1" customWidth="1"/>
    <col min="275" max="275" width="16.33203125" bestFit="1" customWidth="1"/>
    <col min="276"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88671875" bestFit="1" customWidth="1"/>
    <col min="517" max="517" width="16.33203125" bestFit="1" customWidth="1"/>
    <col min="518" max="518" width="20" bestFit="1" customWidth="1"/>
    <col min="519" max="519" width="13.44140625" customWidth="1"/>
    <col min="520" max="520" width="15.44140625" bestFit="1" customWidth="1"/>
    <col min="521" max="521" width="14.33203125" bestFit="1" customWidth="1"/>
    <col min="522" max="522" width="15.33203125" customWidth="1"/>
    <col min="523" max="523" width="15.88671875" customWidth="1"/>
    <col min="524" max="524" width="17.109375" bestFit="1" customWidth="1"/>
    <col min="525" max="525" width="12.6640625" customWidth="1"/>
    <col min="526" max="526" width="13.6640625" customWidth="1"/>
    <col min="527" max="527" width="17" bestFit="1" customWidth="1"/>
    <col min="528" max="528" width="16.33203125" bestFit="1" customWidth="1"/>
    <col min="529" max="529" width="16.109375" customWidth="1"/>
    <col min="530" max="530" width="17.6640625" bestFit="1" customWidth="1"/>
    <col min="531" max="531" width="16.33203125" bestFit="1" customWidth="1"/>
    <col min="532"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88671875" bestFit="1" customWidth="1"/>
    <col min="773" max="773" width="16.33203125" bestFit="1" customWidth="1"/>
    <col min="774" max="774" width="20" bestFit="1" customWidth="1"/>
    <col min="775" max="775" width="13.44140625" customWidth="1"/>
    <col min="776" max="776" width="15.44140625" bestFit="1" customWidth="1"/>
    <col min="777" max="777" width="14.33203125" bestFit="1" customWidth="1"/>
    <col min="778" max="778" width="15.33203125" customWidth="1"/>
    <col min="779" max="779" width="15.88671875" customWidth="1"/>
    <col min="780" max="780" width="17.109375" bestFit="1" customWidth="1"/>
    <col min="781" max="781" width="12.6640625" customWidth="1"/>
    <col min="782" max="782" width="13.6640625" customWidth="1"/>
    <col min="783" max="783" width="17" bestFit="1" customWidth="1"/>
    <col min="784" max="784" width="16.33203125" bestFit="1" customWidth="1"/>
    <col min="785" max="785" width="16.109375" customWidth="1"/>
    <col min="786" max="786" width="17.6640625" bestFit="1" customWidth="1"/>
    <col min="787" max="787" width="16.33203125" bestFit="1" customWidth="1"/>
    <col min="788"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88671875" bestFit="1" customWidth="1"/>
    <col min="1029" max="1029" width="16.33203125" bestFit="1" customWidth="1"/>
    <col min="1030" max="1030" width="20" bestFit="1" customWidth="1"/>
    <col min="1031" max="1031" width="13.44140625" customWidth="1"/>
    <col min="1032" max="1032" width="15.44140625" bestFit="1" customWidth="1"/>
    <col min="1033" max="1033" width="14.33203125" bestFit="1" customWidth="1"/>
    <col min="1034" max="1034" width="15.33203125" customWidth="1"/>
    <col min="1035" max="1035" width="15.88671875" customWidth="1"/>
    <col min="1036" max="1036" width="17.109375" bestFit="1" customWidth="1"/>
    <col min="1037" max="1037" width="12.6640625" customWidth="1"/>
    <col min="1038" max="1038" width="13.6640625" customWidth="1"/>
    <col min="1039" max="1039" width="17" bestFit="1" customWidth="1"/>
    <col min="1040" max="1040" width="16.33203125" bestFit="1" customWidth="1"/>
    <col min="1041" max="1041" width="16.109375" customWidth="1"/>
    <col min="1042" max="1042" width="17.6640625" bestFit="1" customWidth="1"/>
    <col min="1043" max="1043" width="16.33203125" bestFit="1" customWidth="1"/>
    <col min="1044"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88671875" bestFit="1" customWidth="1"/>
    <col min="1285" max="1285" width="16.33203125" bestFit="1" customWidth="1"/>
    <col min="1286" max="1286" width="20" bestFit="1" customWidth="1"/>
    <col min="1287" max="1287" width="13.44140625" customWidth="1"/>
    <col min="1288" max="1288" width="15.44140625" bestFit="1" customWidth="1"/>
    <col min="1289" max="1289" width="14.33203125" bestFit="1" customWidth="1"/>
    <col min="1290" max="1290" width="15.33203125" customWidth="1"/>
    <col min="1291" max="1291" width="15.88671875" customWidth="1"/>
    <col min="1292" max="1292" width="17.109375" bestFit="1" customWidth="1"/>
    <col min="1293" max="1293" width="12.6640625" customWidth="1"/>
    <col min="1294" max="1294" width="13.6640625" customWidth="1"/>
    <col min="1295" max="1295" width="17" bestFit="1" customWidth="1"/>
    <col min="1296" max="1296" width="16.33203125" bestFit="1" customWidth="1"/>
    <col min="1297" max="1297" width="16.109375" customWidth="1"/>
    <col min="1298" max="1298" width="17.6640625" bestFit="1" customWidth="1"/>
    <col min="1299" max="1299" width="16.33203125" bestFit="1" customWidth="1"/>
    <col min="1300"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88671875" bestFit="1" customWidth="1"/>
    <col min="1541" max="1541" width="16.33203125" bestFit="1" customWidth="1"/>
    <col min="1542" max="1542" width="20" bestFit="1" customWidth="1"/>
    <col min="1543" max="1543" width="13.44140625" customWidth="1"/>
    <col min="1544" max="1544" width="15.44140625" bestFit="1" customWidth="1"/>
    <col min="1545" max="1545" width="14.33203125" bestFit="1" customWidth="1"/>
    <col min="1546" max="1546" width="15.33203125" customWidth="1"/>
    <col min="1547" max="1547" width="15.88671875" customWidth="1"/>
    <col min="1548" max="1548" width="17.109375" bestFit="1" customWidth="1"/>
    <col min="1549" max="1549" width="12.6640625" customWidth="1"/>
    <col min="1550" max="1550" width="13.6640625" customWidth="1"/>
    <col min="1551" max="1551" width="17" bestFit="1" customWidth="1"/>
    <col min="1552" max="1552" width="16.33203125" bestFit="1" customWidth="1"/>
    <col min="1553" max="1553" width="16.109375" customWidth="1"/>
    <col min="1554" max="1554" width="17.6640625" bestFit="1" customWidth="1"/>
    <col min="1555" max="1555" width="16.33203125" bestFit="1" customWidth="1"/>
    <col min="1556"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88671875" bestFit="1" customWidth="1"/>
    <col min="1797" max="1797" width="16.33203125" bestFit="1" customWidth="1"/>
    <col min="1798" max="1798" width="20" bestFit="1" customWidth="1"/>
    <col min="1799" max="1799" width="13.44140625" customWidth="1"/>
    <col min="1800" max="1800" width="15.44140625" bestFit="1" customWidth="1"/>
    <col min="1801" max="1801" width="14.33203125" bestFit="1" customWidth="1"/>
    <col min="1802" max="1802" width="15.33203125" customWidth="1"/>
    <col min="1803" max="1803" width="15.88671875" customWidth="1"/>
    <col min="1804" max="1804" width="17.109375" bestFit="1" customWidth="1"/>
    <col min="1805" max="1805" width="12.6640625" customWidth="1"/>
    <col min="1806" max="1806" width="13.6640625" customWidth="1"/>
    <col min="1807" max="1807" width="17" bestFit="1" customWidth="1"/>
    <col min="1808" max="1808" width="16.33203125" bestFit="1" customWidth="1"/>
    <col min="1809" max="1809" width="16.109375" customWidth="1"/>
    <col min="1810" max="1810" width="17.6640625" bestFit="1" customWidth="1"/>
    <col min="1811" max="1811" width="16.33203125" bestFit="1" customWidth="1"/>
    <col min="1812"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88671875" bestFit="1" customWidth="1"/>
    <col min="2053" max="2053" width="16.33203125" bestFit="1" customWidth="1"/>
    <col min="2054" max="2054" width="20" bestFit="1" customWidth="1"/>
    <col min="2055" max="2055" width="13.44140625" customWidth="1"/>
    <col min="2056" max="2056" width="15.44140625" bestFit="1" customWidth="1"/>
    <col min="2057" max="2057" width="14.33203125" bestFit="1" customWidth="1"/>
    <col min="2058" max="2058" width="15.33203125" customWidth="1"/>
    <col min="2059" max="2059" width="15.88671875" customWidth="1"/>
    <col min="2060" max="2060" width="17.109375" bestFit="1" customWidth="1"/>
    <col min="2061" max="2061" width="12.6640625" customWidth="1"/>
    <col min="2062" max="2062" width="13.6640625" customWidth="1"/>
    <col min="2063" max="2063" width="17" bestFit="1" customWidth="1"/>
    <col min="2064" max="2064" width="16.33203125" bestFit="1" customWidth="1"/>
    <col min="2065" max="2065" width="16.109375" customWidth="1"/>
    <col min="2066" max="2066" width="17.6640625" bestFit="1" customWidth="1"/>
    <col min="2067" max="2067" width="16.33203125" bestFit="1" customWidth="1"/>
    <col min="2068"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88671875" bestFit="1" customWidth="1"/>
    <col min="2309" max="2309" width="16.33203125" bestFit="1" customWidth="1"/>
    <col min="2310" max="2310" width="20" bestFit="1" customWidth="1"/>
    <col min="2311" max="2311" width="13.44140625" customWidth="1"/>
    <col min="2312" max="2312" width="15.44140625" bestFit="1" customWidth="1"/>
    <col min="2313" max="2313" width="14.33203125" bestFit="1" customWidth="1"/>
    <col min="2314" max="2314" width="15.33203125" customWidth="1"/>
    <col min="2315" max="2315" width="15.88671875" customWidth="1"/>
    <col min="2316" max="2316" width="17.109375" bestFit="1" customWidth="1"/>
    <col min="2317" max="2317" width="12.6640625" customWidth="1"/>
    <col min="2318" max="2318" width="13.6640625" customWidth="1"/>
    <col min="2319" max="2319" width="17" bestFit="1" customWidth="1"/>
    <col min="2320" max="2320" width="16.33203125" bestFit="1" customWidth="1"/>
    <col min="2321" max="2321" width="16.109375" customWidth="1"/>
    <col min="2322" max="2322" width="17.6640625" bestFit="1" customWidth="1"/>
    <col min="2323" max="2323" width="16.33203125" bestFit="1" customWidth="1"/>
    <col min="2324"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88671875" bestFit="1" customWidth="1"/>
    <col min="2565" max="2565" width="16.33203125" bestFit="1" customWidth="1"/>
    <col min="2566" max="2566" width="20" bestFit="1" customWidth="1"/>
    <col min="2567" max="2567" width="13.44140625" customWidth="1"/>
    <col min="2568" max="2568" width="15.44140625" bestFit="1" customWidth="1"/>
    <col min="2569" max="2569" width="14.33203125" bestFit="1" customWidth="1"/>
    <col min="2570" max="2570" width="15.33203125" customWidth="1"/>
    <col min="2571" max="2571" width="15.88671875" customWidth="1"/>
    <col min="2572" max="2572" width="17.109375" bestFit="1" customWidth="1"/>
    <col min="2573" max="2573" width="12.6640625" customWidth="1"/>
    <col min="2574" max="2574" width="13.6640625" customWidth="1"/>
    <col min="2575" max="2575" width="17" bestFit="1" customWidth="1"/>
    <col min="2576" max="2576" width="16.33203125" bestFit="1" customWidth="1"/>
    <col min="2577" max="2577" width="16.109375" customWidth="1"/>
    <col min="2578" max="2578" width="17.6640625" bestFit="1" customWidth="1"/>
    <col min="2579" max="2579" width="16.33203125" bestFit="1" customWidth="1"/>
    <col min="2580"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88671875" bestFit="1" customWidth="1"/>
    <col min="2821" max="2821" width="16.33203125" bestFit="1" customWidth="1"/>
    <col min="2822" max="2822" width="20" bestFit="1" customWidth="1"/>
    <col min="2823" max="2823" width="13.44140625" customWidth="1"/>
    <col min="2824" max="2824" width="15.44140625" bestFit="1" customWidth="1"/>
    <col min="2825" max="2825" width="14.33203125" bestFit="1" customWidth="1"/>
    <col min="2826" max="2826" width="15.33203125" customWidth="1"/>
    <col min="2827" max="2827" width="15.88671875" customWidth="1"/>
    <col min="2828" max="2828" width="17.109375" bestFit="1" customWidth="1"/>
    <col min="2829" max="2829" width="12.6640625" customWidth="1"/>
    <col min="2830" max="2830" width="13.6640625" customWidth="1"/>
    <col min="2831" max="2831" width="17" bestFit="1" customWidth="1"/>
    <col min="2832" max="2832" width="16.33203125" bestFit="1" customWidth="1"/>
    <col min="2833" max="2833" width="16.109375" customWidth="1"/>
    <col min="2834" max="2834" width="17.6640625" bestFit="1" customWidth="1"/>
    <col min="2835" max="2835" width="16.33203125" bestFit="1" customWidth="1"/>
    <col min="2836"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88671875" bestFit="1" customWidth="1"/>
    <col min="3077" max="3077" width="16.33203125" bestFit="1" customWidth="1"/>
    <col min="3078" max="3078" width="20" bestFit="1" customWidth="1"/>
    <col min="3079" max="3079" width="13.44140625" customWidth="1"/>
    <col min="3080" max="3080" width="15.44140625" bestFit="1" customWidth="1"/>
    <col min="3081" max="3081" width="14.33203125" bestFit="1" customWidth="1"/>
    <col min="3082" max="3082" width="15.33203125" customWidth="1"/>
    <col min="3083" max="3083" width="15.88671875" customWidth="1"/>
    <col min="3084" max="3084" width="17.109375" bestFit="1" customWidth="1"/>
    <col min="3085" max="3085" width="12.6640625" customWidth="1"/>
    <col min="3086" max="3086" width="13.6640625" customWidth="1"/>
    <col min="3087" max="3087" width="17" bestFit="1" customWidth="1"/>
    <col min="3088" max="3088" width="16.33203125" bestFit="1" customWidth="1"/>
    <col min="3089" max="3089" width="16.109375" customWidth="1"/>
    <col min="3090" max="3090" width="17.6640625" bestFit="1" customWidth="1"/>
    <col min="3091" max="3091" width="16.33203125" bestFit="1" customWidth="1"/>
    <col min="3092"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88671875" bestFit="1" customWidth="1"/>
    <col min="3333" max="3333" width="16.33203125" bestFit="1" customWidth="1"/>
    <col min="3334" max="3334" width="20" bestFit="1" customWidth="1"/>
    <col min="3335" max="3335" width="13.44140625" customWidth="1"/>
    <col min="3336" max="3336" width="15.44140625" bestFit="1" customWidth="1"/>
    <col min="3337" max="3337" width="14.33203125" bestFit="1" customWidth="1"/>
    <col min="3338" max="3338" width="15.33203125" customWidth="1"/>
    <col min="3339" max="3339" width="15.88671875" customWidth="1"/>
    <col min="3340" max="3340" width="17.109375" bestFit="1" customWidth="1"/>
    <col min="3341" max="3341" width="12.6640625" customWidth="1"/>
    <col min="3342" max="3342" width="13.6640625" customWidth="1"/>
    <col min="3343" max="3343" width="17" bestFit="1" customWidth="1"/>
    <col min="3344" max="3344" width="16.33203125" bestFit="1" customWidth="1"/>
    <col min="3345" max="3345" width="16.109375" customWidth="1"/>
    <col min="3346" max="3346" width="17.6640625" bestFit="1" customWidth="1"/>
    <col min="3347" max="3347" width="16.33203125" bestFit="1" customWidth="1"/>
    <col min="3348"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88671875" bestFit="1" customWidth="1"/>
    <col min="3589" max="3589" width="16.33203125" bestFit="1" customWidth="1"/>
    <col min="3590" max="3590" width="20" bestFit="1" customWidth="1"/>
    <col min="3591" max="3591" width="13.44140625" customWidth="1"/>
    <col min="3592" max="3592" width="15.44140625" bestFit="1" customWidth="1"/>
    <col min="3593" max="3593" width="14.33203125" bestFit="1" customWidth="1"/>
    <col min="3594" max="3594" width="15.33203125" customWidth="1"/>
    <col min="3595" max="3595" width="15.88671875" customWidth="1"/>
    <col min="3596" max="3596" width="17.109375" bestFit="1" customWidth="1"/>
    <col min="3597" max="3597" width="12.6640625" customWidth="1"/>
    <col min="3598" max="3598" width="13.6640625" customWidth="1"/>
    <col min="3599" max="3599" width="17" bestFit="1" customWidth="1"/>
    <col min="3600" max="3600" width="16.33203125" bestFit="1" customWidth="1"/>
    <col min="3601" max="3601" width="16.109375" customWidth="1"/>
    <col min="3602" max="3602" width="17.6640625" bestFit="1" customWidth="1"/>
    <col min="3603" max="3603" width="16.33203125" bestFit="1" customWidth="1"/>
    <col min="3604"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88671875" bestFit="1" customWidth="1"/>
    <col min="3845" max="3845" width="16.33203125" bestFit="1" customWidth="1"/>
    <col min="3846" max="3846" width="20" bestFit="1" customWidth="1"/>
    <col min="3847" max="3847" width="13.44140625" customWidth="1"/>
    <col min="3848" max="3848" width="15.44140625" bestFit="1" customWidth="1"/>
    <col min="3849" max="3849" width="14.33203125" bestFit="1" customWidth="1"/>
    <col min="3850" max="3850" width="15.33203125" customWidth="1"/>
    <col min="3851" max="3851" width="15.88671875" customWidth="1"/>
    <col min="3852" max="3852" width="17.109375" bestFit="1" customWidth="1"/>
    <col min="3853" max="3853" width="12.6640625" customWidth="1"/>
    <col min="3854" max="3854" width="13.6640625" customWidth="1"/>
    <col min="3855" max="3855" width="17" bestFit="1" customWidth="1"/>
    <col min="3856" max="3856" width="16.33203125" bestFit="1" customWidth="1"/>
    <col min="3857" max="3857" width="16.109375" customWidth="1"/>
    <col min="3858" max="3858" width="17.6640625" bestFit="1" customWidth="1"/>
    <col min="3859" max="3859" width="16.33203125" bestFit="1" customWidth="1"/>
    <col min="3860"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88671875" bestFit="1" customWidth="1"/>
    <col min="4101" max="4101" width="16.33203125" bestFit="1" customWidth="1"/>
    <col min="4102" max="4102" width="20" bestFit="1" customWidth="1"/>
    <col min="4103" max="4103" width="13.44140625" customWidth="1"/>
    <col min="4104" max="4104" width="15.44140625" bestFit="1" customWidth="1"/>
    <col min="4105" max="4105" width="14.33203125" bestFit="1" customWidth="1"/>
    <col min="4106" max="4106" width="15.33203125" customWidth="1"/>
    <col min="4107" max="4107" width="15.88671875" customWidth="1"/>
    <col min="4108" max="4108" width="17.109375" bestFit="1" customWidth="1"/>
    <col min="4109" max="4109" width="12.6640625" customWidth="1"/>
    <col min="4110" max="4110" width="13.6640625" customWidth="1"/>
    <col min="4111" max="4111" width="17" bestFit="1" customWidth="1"/>
    <col min="4112" max="4112" width="16.33203125" bestFit="1" customWidth="1"/>
    <col min="4113" max="4113" width="16.109375" customWidth="1"/>
    <col min="4114" max="4114" width="17.6640625" bestFit="1" customWidth="1"/>
    <col min="4115" max="4115" width="16.33203125" bestFit="1" customWidth="1"/>
    <col min="4116"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88671875" bestFit="1" customWidth="1"/>
    <col min="4357" max="4357" width="16.33203125" bestFit="1" customWidth="1"/>
    <col min="4358" max="4358" width="20" bestFit="1" customWidth="1"/>
    <col min="4359" max="4359" width="13.44140625" customWidth="1"/>
    <col min="4360" max="4360" width="15.44140625" bestFit="1" customWidth="1"/>
    <col min="4361" max="4361" width="14.33203125" bestFit="1" customWidth="1"/>
    <col min="4362" max="4362" width="15.33203125" customWidth="1"/>
    <col min="4363" max="4363" width="15.88671875" customWidth="1"/>
    <col min="4364" max="4364" width="17.109375" bestFit="1" customWidth="1"/>
    <col min="4365" max="4365" width="12.6640625" customWidth="1"/>
    <col min="4366" max="4366" width="13.6640625" customWidth="1"/>
    <col min="4367" max="4367" width="17" bestFit="1" customWidth="1"/>
    <col min="4368" max="4368" width="16.33203125" bestFit="1" customWidth="1"/>
    <col min="4369" max="4369" width="16.109375" customWidth="1"/>
    <col min="4370" max="4370" width="17.6640625" bestFit="1" customWidth="1"/>
    <col min="4371" max="4371" width="16.33203125" bestFit="1" customWidth="1"/>
    <col min="4372"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88671875" bestFit="1" customWidth="1"/>
    <col min="4613" max="4613" width="16.33203125" bestFit="1" customWidth="1"/>
    <col min="4614" max="4614" width="20" bestFit="1" customWidth="1"/>
    <col min="4615" max="4615" width="13.44140625" customWidth="1"/>
    <col min="4616" max="4616" width="15.44140625" bestFit="1" customWidth="1"/>
    <col min="4617" max="4617" width="14.33203125" bestFit="1" customWidth="1"/>
    <col min="4618" max="4618" width="15.33203125" customWidth="1"/>
    <col min="4619" max="4619" width="15.88671875" customWidth="1"/>
    <col min="4620" max="4620" width="17.109375" bestFit="1" customWidth="1"/>
    <col min="4621" max="4621" width="12.6640625" customWidth="1"/>
    <col min="4622" max="4622" width="13.6640625" customWidth="1"/>
    <col min="4623" max="4623" width="17" bestFit="1" customWidth="1"/>
    <col min="4624" max="4624" width="16.33203125" bestFit="1" customWidth="1"/>
    <col min="4625" max="4625" width="16.109375" customWidth="1"/>
    <col min="4626" max="4626" width="17.6640625" bestFit="1" customWidth="1"/>
    <col min="4627" max="4627" width="16.33203125" bestFit="1" customWidth="1"/>
    <col min="4628"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88671875" bestFit="1" customWidth="1"/>
    <col min="4869" max="4869" width="16.33203125" bestFit="1" customWidth="1"/>
    <col min="4870" max="4870" width="20" bestFit="1" customWidth="1"/>
    <col min="4871" max="4871" width="13.44140625" customWidth="1"/>
    <col min="4872" max="4872" width="15.44140625" bestFit="1" customWidth="1"/>
    <col min="4873" max="4873" width="14.33203125" bestFit="1" customWidth="1"/>
    <col min="4874" max="4874" width="15.33203125" customWidth="1"/>
    <col min="4875" max="4875" width="15.88671875" customWidth="1"/>
    <col min="4876" max="4876" width="17.109375" bestFit="1" customWidth="1"/>
    <col min="4877" max="4877" width="12.6640625" customWidth="1"/>
    <col min="4878" max="4878" width="13.6640625" customWidth="1"/>
    <col min="4879" max="4879" width="17" bestFit="1" customWidth="1"/>
    <col min="4880" max="4880" width="16.33203125" bestFit="1" customWidth="1"/>
    <col min="4881" max="4881" width="16.109375" customWidth="1"/>
    <col min="4882" max="4882" width="17.6640625" bestFit="1" customWidth="1"/>
    <col min="4883" max="4883" width="16.33203125" bestFit="1" customWidth="1"/>
    <col min="4884"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88671875" bestFit="1" customWidth="1"/>
    <col min="5125" max="5125" width="16.33203125" bestFit="1" customWidth="1"/>
    <col min="5126" max="5126" width="20" bestFit="1" customWidth="1"/>
    <col min="5127" max="5127" width="13.44140625" customWidth="1"/>
    <col min="5128" max="5128" width="15.44140625" bestFit="1" customWidth="1"/>
    <col min="5129" max="5129" width="14.33203125" bestFit="1" customWidth="1"/>
    <col min="5130" max="5130" width="15.33203125" customWidth="1"/>
    <col min="5131" max="5131" width="15.88671875" customWidth="1"/>
    <col min="5132" max="5132" width="17.109375" bestFit="1" customWidth="1"/>
    <col min="5133" max="5133" width="12.6640625" customWidth="1"/>
    <col min="5134" max="5134" width="13.6640625" customWidth="1"/>
    <col min="5135" max="5135" width="17" bestFit="1" customWidth="1"/>
    <col min="5136" max="5136" width="16.33203125" bestFit="1" customWidth="1"/>
    <col min="5137" max="5137" width="16.109375" customWidth="1"/>
    <col min="5138" max="5138" width="17.6640625" bestFit="1" customWidth="1"/>
    <col min="5139" max="5139" width="16.33203125" bestFit="1" customWidth="1"/>
    <col min="5140"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88671875" bestFit="1" customWidth="1"/>
    <col min="5381" max="5381" width="16.33203125" bestFit="1" customWidth="1"/>
    <col min="5382" max="5382" width="20" bestFit="1" customWidth="1"/>
    <col min="5383" max="5383" width="13.44140625" customWidth="1"/>
    <col min="5384" max="5384" width="15.44140625" bestFit="1" customWidth="1"/>
    <col min="5385" max="5385" width="14.33203125" bestFit="1" customWidth="1"/>
    <col min="5386" max="5386" width="15.33203125" customWidth="1"/>
    <col min="5387" max="5387" width="15.88671875" customWidth="1"/>
    <col min="5388" max="5388" width="17.109375" bestFit="1" customWidth="1"/>
    <col min="5389" max="5389" width="12.6640625" customWidth="1"/>
    <col min="5390" max="5390" width="13.6640625" customWidth="1"/>
    <col min="5391" max="5391" width="17" bestFit="1" customWidth="1"/>
    <col min="5392" max="5392" width="16.33203125" bestFit="1" customWidth="1"/>
    <col min="5393" max="5393" width="16.109375" customWidth="1"/>
    <col min="5394" max="5394" width="17.6640625" bestFit="1" customWidth="1"/>
    <col min="5395" max="5395" width="16.33203125" bestFit="1" customWidth="1"/>
    <col min="5396"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88671875" bestFit="1" customWidth="1"/>
    <col min="5637" max="5637" width="16.33203125" bestFit="1" customWidth="1"/>
    <col min="5638" max="5638" width="20" bestFit="1" customWidth="1"/>
    <col min="5639" max="5639" width="13.44140625" customWidth="1"/>
    <col min="5640" max="5640" width="15.44140625" bestFit="1" customWidth="1"/>
    <col min="5641" max="5641" width="14.33203125" bestFit="1" customWidth="1"/>
    <col min="5642" max="5642" width="15.33203125" customWidth="1"/>
    <col min="5643" max="5643" width="15.88671875" customWidth="1"/>
    <col min="5644" max="5644" width="17.109375" bestFit="1" customWidth="1"/>
    <col min="5645" max="5645" width="12.6640625" customWidth="1"/>
    <col min="5646" max="5646" width="13.6640625" customWidth="1"/>
    <col min="5647" max="5647" width="17" bestFit="1" customWidth="1"/>
    <col min="5648" max="5648" width="16.33203125" bestFit="1" customWidth="1"/>
    <col min="5649" max="5649" width="16.109375" customWidth="1"/>
    <col min="5650" max="5650" width="17.6640625" bestFit="1" customWidth="1"/>
    <col min="5651" max="5651" width="16.33203125" bestFit="1" customWidth="1"/>
    <col min="5652"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88671875" bestFit="1" customWidth="1"/>
    <col min="5893" max="5893" width="16.33203125" bestFit="1" customWidth="1"/>
    <col min="5894" max="5894" width="20" bestFit="1" customWidth="1"/>
    <col min="5895" max="5895" width="13.44140625" customWidth="1"/>
    <col min="5896" max="5896" width="15.44140625" bestFit="1" customWidth="1"/>
    <col min="5897" max="5897" width="14.33203125" bestFit="1" customWidth="1"/>
    <col min="5898" max="5898" width="15.33203125" customWidth="1"/>
    <col min="5899" max="5899" width="15.88671875" customWidth="1"/>
    <col min="5900" max="5900" width="17.109375" bestFit="1" customWidth="1"/>
    <col min="5901" max="5901" width="12.6640625" customWidth="1"/>
    <col min="5902" max="5902" width="13.6640625" customWidth="1"/>
    <col min="5903" max="5903" width="17" bestFit="1" customWidth="1"/>
    <col min="5904" max="5904" width="16.33203125" bestFit="1" customWidth="1"/>
    <col min="5905" max="5905" width="16.109375" customWidth="1"/>
    <col min="5906" max="5906" width="17.6640625" bestFit="1" customWidth="1"/>
    <col min="5907" max="5907" width="16.33203125" bestFit="1" customWidth="1"/>
    <col min="5908"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88671875" bestFit="1" customWidth="1"/>
    <col min="6149" max="6149" width="16.33203125" bestFit="1" customWidth="1"/>
    <col min="6150" max="6150" width="20" bestFit="1" customWidth="1"/>
    <col min="6151" max="6151" width="13.44140625" customWidth="1"/>
    <col min="6152" max="6152" width="15.44140625" bestFit="1" customWidth="1"/>
    <col min="6153" max="6153" width="14.33203125" bestFit="1" customWidth="1"/>
    <col min="6154" max="6154" width="15.33203125" customWidth="1"/>
    <col min="6155" max="6155" width="15.88671875" customWidth="1"/>
    <col min="6156" max="6156" width="17.109375" bestFit="1" customWidth="1"/>
    <col min="6157" max="6157" width="12.6640625" customWidth="1"/>
    <col min="6158" max="6158" width="13.6640625" customWidth="1"/>
    <col min="6159" max="6159" width="17" bestFit="1" customWidth="1"/>
    <col min="6160" max="6160" width="16.33203125" bestFit="1" customWidth="1"/>
    <col min="6161" max="6161" width="16.109375" customWidth="1"/>
    <col min="6162" max="6162" width="17.6640625" bestFit="1" customWidth="1"/>
    <col min="6163" max="6163" width="16.33203125" bestFit="1" customWidth="1"/>
    <col min="6164"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88671875" bestFit="1" customWidth="1"/>
    <col min="6405" max="6405" width="16.33203125" bestFit="1" customWidth="1"/>
    <col min="6406" max="6406" width="20" bestFit="1" customWidth="1"/>
    <col min="6407" max="6407" width="13.44140625" customWidth="1"/>
    <col min="6408" max="6408" width="15.44140625" bestFit="1" customWidth="1"/>
    <col min="6409" max="6409" width="14.33203125" bestFit="1" customWidth="1"/>
    <col min="6410" max="6410" width="15.33203125" customWidth="1"/>
    <col min="6411" max="6411" width="15.88671875" customWidth="1"/>
    <col min="6412" max="6412" width="17.109375" bestFit="1" customWidth="1"/>
    <col min="6413" max="6413" width="12.6640625" customWidth="1"/>
    <col min="6414" max="6414" width="13.6640625" customWidth="1"/>
    <col min="6415" max="6415" width="17" bestFit="1" customWidth="1"/>
    <col min="6416" max="6416" width="16.33203125" bestFit="1" customWidth="1"/>
    <col min="6417" max="6417" width="16.109375" customWidth="1"/>
    <col min="6418" max="6418" width="17.6640625" bestFit="1" customWidth="1"/>
    <col min="6419" max="6419" width="16.33203125" bestFit="1" customWidth="1"/>
    <col min="6420"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88671875" bestFit="1" customWidth="1"/>
    <col min="6661" max="6661" width="16.33203125" bestFit="1" customWidth="1"/>
    <col min="6662" max="6662" width="20" bestFit="1" customWidth="1"/>
    <col min="6663" max="6663" width="13.44140625" customWidth="1"/>
    <col min="6664" max="6664" width="15.44140625" bestFit="1" customWidth="1"/>
    <col min="6665" max="6665" width="14.33203125" bestFit="1" customWidth="1"/>
    <col min="6666" max="6666" width="15.33203125" customWidth="1"/>
    <col min="6667" max="6667" width="15.88671875" customWidth="1"/>
    <col min="6668" max="6668" width="17.109375" bestFit="1" customWidth="1"/>
    <col min="6669" max="6669" width="12.6640625" customWidth="1"/>
    <col min="6670" max="6670" width="13.6640625" customWidth="1"/>
    <col min="6671" max="6671" width="17" bestFit="1" customWidth="1"/>
    <col min="6672" max="6672" width="16.33203125" bestFit="1" customWidth="1"/>
    <col min="6673" max="6673" width="16.109375" customWidth="1"/>
    <col min="6674" max="6674" width="17.6640625" bestFit="1" customWidth="1"/>
    <col min="6675" max="6675" width="16.33203125" bestFit="1" customWidth="1"/>
    <col min="6676"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88671875" bestFit="1" customWidth="1"/>
    <col min="6917" max="6917" width="16.33203125" bestFit="1" customWidth="1"/>
    <col min="6918" max="6918" width="20" bestFit="1" customWidth="1"/>
    <col min="6919" max="6919" width="13.44140625" customWidth="1"/>
    <col min="6920" max="6920" width="15.44140625" bestFit="1" customWidth="1"/>
    <col min="6921" max="6921" width="14.33203125" bestFit="1" customWidth="1"/>
    <col min="6922" max="6922" width="15.33203125" customWidth="1"/>
    <col min="6923" max="6923" width="15.88671875" customWidth="1"/>
    <col min="6924" max="6924" width="17.109375" bestFit="1" customWidth="1"/>
    <col min="6925" max="6925" width="12.6640625" customWidth="1"/>
    <col min="6926" max="6926" width="13.6640625" customWidth="1"/>
    <col min="6927" max="6927" width="17" bestFit="1" customWidth="1"/>
    <col min="6928" max="6928" width="16.33203125" bestFit="1" customWidth="1"/>
    <col min="6929" max="6929" width="16.109375" customWidth="1"/>
    <col min="6930" max="6930" width="17.6640625" bestFit="1" customWidth="1"/>
    <col min="6931" max="6931" width="16.33203125" bestFit="1" customWidth="1"/>
    <col min="6932"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88671875" bestFit="1" customWidth="1"/>
    <col min="7173" max="7173" width="16.33203125" bestFit="1" customWidth="1"/>
    <col min="7174" max="7174" width="20" bestFit="1" customWidth="1"/>
    <col min="7175" max="7175" width="13.44140625" customWidth="1"/>
    <col min="7176" max="7176" width="15.44140625" bestFit="1" customWidth="1"/>
    <col min="7177" max="7177" width="14.33203125" bestFit="1" customWidth="1"/>
    <col min="7178" max="7178" width="15.33203125" customWidth="1"/>
    <col min="7179" max="7179" width="15.88671875" customWidth="1"/>
    <col min="7180" max="7180" width="17.109375" bestFit="1" customWidth="1"/>
    <col min="7181" max="7181" width="12.6640625" customWidth="1"/>
    <col min="7182" max="7182" width="13.6640625" customWidth="1"/>
    <col min="7183" max="7183" width="17" bestFit="1" customWidth="1"/>
    <col min="7184" max="7184" width="16.33203125" bestFit="1" customWidth="1"/>
    <col min="7185" max="7185" width="16.109375" customWidth="1"/>
    <col min="7186" max="7186" width="17.6640625" bestFit="1" customWidth="1"/>
    <col min="7187" max="7187" width="16.33203125" bestFit="1" customWidth="1"/>
    <col min="7188"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88671875" bestFit="1" customWidth="1"/>
    <col min="7429" max="7429" width="16.33203125" bestFit="1" customWidth="1"/>
    <col min="7430" max="7430" width="20" bestFit="1" customWidth="1"/>
    <col min="7431" max="7431" width="13.44140625" customWidth="1"/>
    <col min="7432" max="7432" width="15.44140625" bestFit="1" customWidth="1"/>
    <col min="7433" max="7433" width="14.33203125" bestFit="1" customWidth="1"/>
    <col min="7434" max="7434" width="15.33203125" customWidth="1"/>
    <col min="7435" max="7435" width="15.88671875" customWidth="1"/>
    <col min="7436" max="7436" width="17.109375" bestFit="1" customWidth="1"/>
    <col min="7437" max="7437" width="12.6640625" customWidth="1"/>
    <col min="7438" max="7438" width="13.6640625" customWidth="1"/>
    <col min="7439" max="7439" width="17" bestFit="1" customWidth="1"/>
    <col min="7440" max="7440" width="16.33203125" bestFit="1" customWidth="1"/>
    <col min="7441" max="7441" width="16.109375" customWidth="1"/>
    <col min="7442" max="7442" width="17.6640625" bestFit="1" customWidth="1"/>
    <col min="7443" max="7443" width="16.33203125" bestFit="1" customWidth="1"/>
    <col min="7444"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88671875" bestFit="1" customWidth="1"/>
    <col min="7685" max="7685" width="16.33203125" bestFit="1" customWidth="1"/>
    <col min="7686" max="7686" width="20" bestFit="1" customWidth="1"/>
    <col min="7687" max="7687" width="13.44140625" customWidth="1"/>
    <col min="7688" max="7688" width="15.44140625" bestFit="1" customWidth="1"/>
    <col min="7689" max="7689" width="14.33203125" bestFit="1" customWidth="1"/>
    <col min="7690" max="7690" width="15.33203125" customWidth="1"/>
    <col min="7691" max="7691" width="15.88671875" customWidth="1"/>
    <col min="7692" max="7692" width="17.109375" bestFit="1" customWidth="1"/>
    <col min="7693" max="7693" width="12.6640625" customWidth="1"/>
    <col min="7694" max="7694" width="13.6640625" customWidth="1"/>
    <col min="7695" max="7695" width="17" bestFit="1" customWidth="1"/>
    <col min="7696" max="7696" width="16.33203125" bestFit="1" customWidth="1"/>
    <col min="7697" max="7697" width="16.109375" customWidth="1"/>
    <col min="7698" max="7698" width="17.6640625" bestFit="1" customWidth="1"/>
    <col min="7699" max="7699" width="16.33203125" bestFit="1" customWidth="1"/>
    <col min="7700"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88671875" bestFit="1" customWidth="1"/>
    <col min="7941" max="7941" width="16.33203125" bestFit="1" customWidth="1"/>
    <col min="7942" max="7942" width="20" bestFit="1" customWidth="1"/>
    <col min="7943" max="7943" width="13.44140625" customWidth="1"/>
    <col min="7944" max="7944" width="15.44140625" bestFit="1" customWidth="1"/>
    <col min="7945" max="7945" width="14.33203125" bestFit="1" customWidth="1"/>
    <col min="7946" max="7946" width="15.33203125" customWidth="1"/>
    <col min="7947" max="7947" width="15.88671875" customWidth="1"/>
    <col min="7948" max="7948" width="17.109375" bestFit="1" customWidth="1"/>
    <col min="7949" max="7949" width="12.6640625" customWidth="1"/>
    <col min="7950" max="7950" width="13.6640625" customWidth="1"/>
    <col min="7951" max="7951" width="17" bestFit="1" customWidth="1"/>
    <col min="7952" max="7952" width="16.33203125" bestFit="1" customWidth="1"/>
    <col min="7953" max="7953" width="16.109375" customWidth="1"/>
    <col min="7954" max="7954" width="17.6640625" bestFit="1" customWidth="1"/>
    <col min="7955" max="7955" width="16.33203125" bestFit="1" customWidth="1"/>
    <col min="7956"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88671875" bestFit="1" customWidth="1"/>
    <col min="8197" max="8197" width="16.33203125" bestFit="1" customWidth="1"/>
    <col min="8198" max="8198" width="20" bestFit="1" customWidth="1"/>
    <col min="8199" max="8199" width="13.44140625" customWidth="1"/>
    <col min="8200" max="8200" width="15.44140625" bestFit="1" customWidth="1"/>
    <col min="8201" max="8201" width="14.33203125" bestFit="1" customWidth="1"/>
    <col min="8202" max="8202" width="15.33203125" customWidth="1"/>
    <col min="8203" max="8203" width="15.88671875" customWidth="1"/>
    <col min="8204" max="8204" width="17.109375" bestFit="1" customWidth="1"/>
    <col min="8205" max="8205" width="12.6640625" customWidth="1"/>
    <col min="8206" max="8206" width="13.6640625" customWidth="1"/>
    <col min="8207" max="8207" width="17" bestFit="1" customWidth="1"/>
    <col min="8208" max="8208" width="16.33203125" bestFit="1" customWidth="1"/>
    <col min="8209" max="8209" width="16.109375" customWidth="1"/>
    <col min="8210" max="8210" width="17.6640625" bestFit="1" customWidth="1"/>
    <col min="8211" max="8211" width="16.33203125" bestFit="1" customWidth="1"/>
    <col min="8212"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88671875" bestFit="1" customWidth="1"/>
    <col min="8453" max="8453" width="16.33203125" bestFit="1" customWidth="1"/>
    <col min="8454" max="8454" width="20" bestFit="1" customWidth="1"/>
    <col min="8455" max="8455" width="13.44140625" customWidth="1"/>
    <col min="8456" max="8456" width="15.44140625" bestFit="1" customWidth="1"/>
    <col min="8457" max="8457" width="14.33203125" bestFit="1" customWidth="1"/>
    <col min="8458" max="8458" width="15.33203125" customWidth="1"/>
    <col min="8459" max="8459" width="15.88671875" customWidth="1"/>
    <col min="8460" max="8460" width="17.109375" bestFit="1" customWidth="1"/>
    <col min="8461" max="8461" width="12.6640625" customWidth="1"/>
    <col min="8462" max="8462" width="13.6640625" customWidth="1"/>
    <col min="8463" max="8463" width="17" bestFit="1" customWidth="1"/>
    <col min="8464" max="8464" width="16.33203125" bestFit="1" customWidth="1"/>
    <col min="8465" max="8465" width="16.109375" customWidth="1"/>
    <col min="8466" max="8466" width="17.6640625" bestFit="1" customWidth="1"/>
    <col min="8467" max="8467" width="16.33203125" bestFit="1" customWidth="1"/>
    <col min="8468"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88671875" bestFit="1" customWidth="1"/>
    <col min="8709" max="8709" width="16.33203125" bestFit="1" customWidth="1"/>
    <col min="8710" max="8710" width="20" bestFit="1" customWidth="1"/>
    <col min="8711" max="8711" width="13.44140625" customWidth="1"/>
    <col min="8712" max="8712" width="15.44140625" bestFit="1" customWidth="1"/>
    <col min="8713" max="8713" width="14.33203125" bestFit="1" customWidth="1"/>
    <col min="8714" max="8714" width="15.33203125" customWidth="1"/>
    <col min="8715" max="8715" width="15.88671875" customWidth="1"/>
    <col min="8716" max="8716" width="17.109375" bestFit="1" customWidth="1"/>
    <col min="8717" max="8717" width="12.6640625" customWidth="1"/>
    <col min="8718" max="8718" width="13.6640625" customWidth="1"/>
    <col min="8719" max="8719" width="17" bestFit="1" customWidth="1"/>
    <col min="8720" max="8720" width="16.33203125" bestFit="1" customWidth="1"/>
    <col min="8721" max="8721" width="16.109375" customWidth="1"/>
    <col min="8722" max="8722" width="17.6640625" bestFit="1" customWidth="1"/>
    <col min="8723" max="8723" width="16.33203125" bestFit="1" customWidth="1"/>
    <col min="8724"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88671875" bestFit="1" customWidth="1"/>
    <col min="8965" max="8965" width="16.33203125" bestFit="1" customWidth="1"/>
    <col min="8966" max="8966" width="20" bestFit="1" customWidth="1"/>
    <col min="8967" max="8967" width="13.44140625" customWidth="1"/>
    <col min="8968" max="8968" width="15.44140625" bestFit="1" customWidth="1"/>
    <col min="8969" max="8969" width="14.33203125" bestFit="1" customWidth="1"/>
    <col min="8970" max="8970" width="15.33203125" customWidth="1"/>
    <col min="8971" max="8971" width="15.88671875" customWidth="1"/>
    <col min="8972" max="8972" width="17.109375" bestFit="1" customWidth="1"/>
    <col min="8973" max="8973" width="12.6640625" customWidth="1"/>
    <col min="8974" max="8974" width="13.6640625" customWidth="1"/>
    <col min="8975" max="8975" width="17" bestFit="1" customWidth="1"/>
    <col min="8976" max="8976" width="16.33203125" bestFit="1" customWidth="1"/>
    <col min="8977" max="8977" width="16.109375" customWidth="1"/>
    <col min="8978" max="8978" width="17.6640625" bestFit="1" customWidth="1"/>
    <col min="8979" max="8979" width="16.33203125" bestFit="1" customWidth="1"/>
    <col min="8980"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88671875" bestFit="1" customWidth="1"/>
    <col min="9221" max="9221" width="16.33203125" bestFit="1" customWidth="1"/>
    <col min="9222" max="9222" width="20" bestFit="1" customWidth="1"/>
    <col min="9223" max="9223" width="13.44140625" customWidth="1"/>
    <col min="9224" max="9224" width="15.44140625" bestFit="1" customWidth="1"/>
    <col min="9225" max="9225" width="14.33203125" bestFit="1" customWidth="1"/>
    <col min="9226" max="9226" width="15.33203125" customWidth="1"/>
    <col min="9227" max="9227" width="15.88671875" customWidth="1"/>
    <col min="9228" max="9228" width="17.109375" bestFit="1" customWidth="1"/>
    <col min="9229" max="9229" width="12.6640625" customWidth="1"/>
    <col min="9230" max="9230" width="13.6640625" customWidth="1"/>
    <col min="9231" max="9231" width="17" bestFit="1" customWidth="1"/>
    <col min="9232" max="9232" width="16.33203125" bestFit="1" customWidth="1"/>
    <col min="9233" max="9233" width="16.109375" customWidth="1"/>
    <col min="9234" max="9234" width="17.6640625" bestFit="1" customWidth="1"/>
    <col min="9235" max="9235" width="16.33203125" bestFit="1" customWidth="1"/>
    <col min="9236"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88671875" bestFit="1" customWidth="1"/>
    <col min="9477" max="9477" width="16.33203125" bestFit="1" customWidth="1"/>
    <col min="9478" max="9478" width="20" bestFit="1" customWidth="1"/>
    <col min="9479" max="9479" width="13.44140625" customWidth="1"/>
    <col min="9480" max="9480" width="15.44140625" bestFit="1" customWidth="1"/>
    <col min="9481" max="9481" width="14.33203125" bestFit="1" customWidth="1"/>
    <col min="9482" max="9482" width="15.33203125" customWidth="1"/>
    <col min="9483" max="9483" width="15.88671875" customWidth="1"/>
    <col min="9484" max="9484" width="17.109375" bestFit="1" customWidth="1"/>
    <col min="9485" max="9485" width="12.6640625" customWidth="1"/>
    <col min="9486" max="9486" width="13.6640625" customWidth="1"/>
    <col min="9487" max="9487" width="17" bestFit="1" customWidth="1"/>
    <col min="9488" max="9488" width="16.33203125" bestFit="1" customWidth="1"/>
    <col min="9489" max="9489" width="16.109375" customWidth="1"/>
    <col min="9490" max="9490" width="17.6640625" bestFit="1" customWidth="1"/>
    <col min="9491" max="9491" width="16.33203125" bestFit="1" customWidth="1"/>
    <col min="9492"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88671875" bestFit="1" customWidth="1"/>
    <col min="9733" max="9733" width="16.33203125" bestFit="1" customWidth="1"/>
    <col min="9734" max="9734" width="20" bestFit="1" customWidth="1"/>
    <col min="9735" max="9735" width="13.44140625" customWidth="1"/>
    <col min="9736" max="9736" width="15.44140625" bestFit="1" customWidth="1"/>
    <col min="9737" max="9737" width="14.33203125" bestFit="1" customWidth="1"/>
    <col min="9738" max="9738" width="15.33203125" customWidth="1"/>
    <col min="9739" max="9739" width="15.88671875" customWidth="1"/>
    <col min="9740" max="9740" width="17.109375" bestFit="1" customWidth="1"/>
    <col min="9741" max="9741" width="12.6640625" customWidth="1"/>
    <col min="9742" max="9742" width="13.6640625" customWidth="1"/>
    <col min="9743" max="9743" width="17" bestFit="1" customWidth="1"/>
    <col min="9744" max="9744" width="16.33203125" bestFit="1" customWidth="1"/>
    <col min="9745" max="9745" width="16.109375" customWidth="1"/>
    <col min="9746" max="9746" width="17.6640625" bestFit="1" customWidth="1"/>
    <col min="9747" max="9747" width="16.33203125" bestFit="1" customWidth="1"/>
    <col min="9748"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88671875" bestFit="1" customWidth="1"/>
    <col min="9989" max="9989" width="16.33203125" bestFit="1" customWidth="1"/>
    <col min="9990" max="9990" width="20" bestFit="1" customWidth="1"/>
    <col min="9991" max="9991" width="13.44140625" customWidth="1"/>
    <col min="9992" max="9992" width="15.44140625" bestFit="1" customWidth="1"/>
    <col min="9993" max="9993" width="14.33203125" bestFit="1" customWidth="1"/>
    <col min="9994" max="9994" width="15.33203125" customWidth="1"/>
    <col min="9995" max="9995" width="15.88671875" customWidth="1"/>
    <col min="9996" max="9996" width="17.109375" bestFit="1" customWidth="1"/>
    <col min="9997" max="9997" width="12.6640625" customWidth="1"/>
    <col min="9998" max="9998" width="13.6640625" customWidth="1"/>
    <col min="9999" max="9999" width="17" bestFit="1" customWidth="1"/>
    <col min="10000" max="10000" width="16.33203125" bestFit="1" customWidth="1"/>
    <col min="10001" max="10001" width="16.109375" customWidth="1"/>
    <col min="10002" max="10002" width="17.6640625" bestFit="1" customWidth="1"/>
    <col min="10003" max="10003" width="16.33203125" bestFit="1" customWidth="1"/>
    <col min="10004"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88671875" bestFit="1" customWidth="1"/>
    <col min="10245" max="10245" width="16.33203125" bestFit="1" customWidth="1"/>
    <col min="10246" max="10246" width="20" bestFit="1" customWidth="1"/>
    <col min="10247" max="10247" width="13.44140625" customWidth="1"/>
    <col min="10248" max="10248" width="15.44140625" bestFit="1" customWidth="1"/>
    <col min="10249" max="10249" width="14.33203125" bestFit="1" customWidth="1"/>
    <col min="10250" max="10250" width="15.33203125" customWidth="1"/>
    <col min="10251" max="10251" width="15.88671875" customWidth="1"/>
    <col min="10252" max="10252" width="17.109375" bestFit="1" customWidth="1"/>
    <col min="10253" max="10253" width="12.6640625" customWidth="1"/>
    <col min="10254" max="10254" width="13.6640625" customWidth="1"/>
    <col min="10255" max="10255" width="17" bestFit="1" customWidth="1"/>
    <col min="10256" max="10256" width="16.33203125" bestFit="1" customWidth="1"/>
    <col min="10257" max="10257" width="16.109375" customWidth="1"/>
    <col min="10258" max="10258" width="17.6640625" bestFit="1" customWidth="1"/>
    <col min="10259" max="10259" width="16.33203125" bestFit="1" customWidth="1"/>
    <col min="10260"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88671875" bestFit="1" customWidth="1"/>
    <col min="10501" max="10501" width="16.33203125" bestFit="1" customWidth="1"/>
    <col min="10502" max="10502" width="20" bestFit="1" customWidth="1"/>
    <col min="10503" max="10503" width="13.44140625" customWidth="1"/>
    <col min="10504" max="10504" width="15.44140625" bestFit="1" customWidth="1"/>
    <col min="10505" max="10505" width="14.33203125" bestFit="1" customWidth="1"/>
    <col min="10506" max="10506" width="15.33203125" customWidth="1"/>
    <col min="10507" max="10507" width="15.88671875" customWidth="1"/>
    <col min="10508" max="10508" width="17.109375" bestFit="1" customWidth="1"/>
    <col min="10509" max="10509" width="12.6640625" customWidth="1"/>
    <col min="10510" max="10510" width="13.6640625" customWidth="1"/>
    <col min="10511" max="10511" width="17" bestFit="1" customWidth="1"/>
    <col min="10512" max="10512" width="16.33203125" bestFit="1" customWidth="1"/>
    <col min="10513" max="10513" width="16.109375" customWidth="1"/>
    <col min="10514" max="10514" width="17.6640625" bestFit="1" customWidth="1"/>
    <col min="10515" max="10515" width="16.33203125" bestFit="1" customWidth="1"/>
    <col min="10516"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88671875" bestFit="1" customWidth="1"/>
    <col min="10757" max="10757" width="16.33203125" bestFit="1" customWidth="1"/>
    <col min="10758" max="10758" width="20" bestFit="1" customWidth="1"/>
    <col min="10759" max="10759" width="13.44140625" customWidth="1"/>
    <col min="10760" max="10760" width="15.44140625" bestFit="1" customWidth="1"/>
    <col min="10761" max="10761" width="14.33203125" bestFit="1" customWidth="1"/>
    <col min="10762" max="10762" width="15.33203125" customWidth="1"/>
    <col min="10763" max="10763" width="15.88671875" customWidth="1"/>
    <col min="10764" max="10764" width="17.109375" bestFit="1" customWidth="1"/>
    <col min="10765" max="10765" width="12.6640625" customWidth="1"/>
    <col min="10766" max="10766" width="13.6640625" customWidth="1"/>
    <col min="10767" max="10767" width="17" bestFit="1" customWidth="1"/>
    <col min="10768" max="10768" width="16.33203125" bestFit="1" customWidth="1"/>
    <col min="10769" max="10769" width="16.109375" customWidth="1"/>
    <col min="10770" max="10770" width="17.6640625" bestFit="1" customWidth="1"/>
    <col min="10771" max="10771" width="16.33203125" bestFit="1" customWidth="1"/>
    <col min="10772"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88671875" bestFit="1" customWidth="1"/>
    <col min="11013" max="11013" width="16.33203125" bestFit="1" customWidth="1"/>
    <col min="11014" max="11014" width="20" bestFit="1" customWidth="1"/>
    <col min="11015" max="11015" width="13.44140625" customWidth="1"/>
    <col min="11016" max="11016" width="15.44140625" bestFit="1" customWidth="1"/>
    <col min="11017" max="11017" width="14.33203125" bestFit="1" customWidth="1"/>
    <col min="11018" max="11018" width="15.33203125" customWidth="1"/>
    <col min="11019" max="11019" width="15.88671875" customWidth="1"/>
    <col min="11020" max="11020" width="17.109375" bestFit="1" customWidth="1"/>
    <col min="11021" max="11021" width="12.6640625" customWidth="1"/>
    <col min="11022" max="11022" width="13.6640625" customWidth="1"/>
    <col min="11023" max="11023" width="17" bestFit="1" customWidth="1"/>
    <col min="11024" max="11024" width="16.33203125" bestFit="1" customWidth="1"/>
    <col min="11025" max="11025" width="16.109375" customWidth="1"/>
    <col min="11026" max="11026" width="17.6640625" bestFit="1" customWidth="1"/>
    <col min="11027" max="11027" width="16.33203125" bestFit="1" customWidth="1"/>
    <col min="11028"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88671875" bestFit="1" customWidth="1"/>
    <col min="11269" max="11269" width="16.33203125" bestFit="1" customWidth="1"/>
    <col min="11270" max="11270" width="20" bestFit="1" customWidth="1"/>
    <col min="11271" max="11271" width="13.44140625" customWidth="1"/>
    <col min="11272" max="11272" width="15.44140625" bestFit="1" customWidth="1"/>
    <col min="11273" max="11273" width="14.33203125" bestFit="1" customWidth="1"/>
    <col min="11274" max="11274" width="15.33203125" customWidth="1"/>
    <col min="11275" max="11275" width="15.88671875" customWidth="1"/>
    <col min="11276" max="11276" width="17.109375" bestFit="1" customWidth="1"/>
    <col min="11277" max="11277" width="12.6640625" customWidth="1"/>
    <col min="11278" max="11278" width="13.6640625" customWidth="1"/>
    <col min="11279" max="11279" width="17" bestFit="1" customWidth="1"/>
    <col min="11280" max="11280" width="16.33203125" bestFit="1" customWidth="1"/>
    <col min="11281" max="11281" width="16.109375" customWidth="1"/>
    <col min="11282" max="11282" width="17.6640625" bestFit="1" customWidth="1"/>
    <col min="11283" max="11283" width="16.33203125" bestFit="1" customWidth="1"/>
    <col min="11284"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88671875" bestFit="1" customWidth="1"/>
    <col min="11525" max="11525" width="16.33203125" bestFit="1" customWidth="1"/>
    <col min="11526" max="11526" width="20" bestFit="1" customWidth="1"/>
    <col min="11527" max="11527" width="13.44140625" customWidth="1"/>
    <col min="11528" max="11528" width="15.44140625" bestFit="1" customWidth="1"/>
    <col min="11529" max="11529" width="14.33203125" bestFit="1" customWidth="1"/>
    <col min="11530" max="11530" width="15.33203125" customWidth="1"/>
    <col min="11531" max="11531" width="15.88671875" customWidth="1"/>
    <col min="11532" max="11532" width="17.109375" bestFit="1" customWidth="1"/>
    <col min="11533" max="11533" width="12.6640625" customWidth="1"/>
    <col min="11534" max="11534" width="13.6640625" customWidth="1"/>
    <col min="11535" max="11535" width="17" bestFit="1" customWidth="1"/>
    <col min="11536" max="11536" width="16.33203125" bestFit="1" customWidth="1"/>
    <col min="11537" max="11537" width="16.109375" customWidth="1"/>
    <col min="11538" max="11538" width="17.6640625" bestFit="1" customWidth="1"/>
    <col min="11539" max="11539" width="16.33203125" bestFit="1" customWidth="1"/>
    <col min="11540"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88671875" bestFit="1" customWidth="1"/>
    <col min="11781" max="11781" width="16.33203125" bestFit="1" customWidth="1"/>
    <col min="11782" max="11782" width="20" bestFit="1" customWidth="1"/>
    <col min="11783" max="11783" width="13.44140625" customWidth="1"/>
    <col min="11784" max="11784" width="15.44140625" bestFit="1" customWidth="1"/>
    <col min="11785" max="11785" width="14.33203125" bestFit="1" customWidth="1"/>
    <col min="11786" max="11786" width="15.33203125" customWidth="1"/>
    <col min="11787" max="11787" width="15.88671875" customWidth="1"/>
    <col min="11788" max="11788" width="17.109375" bestFit="1" customWidth="1"/>
    <col min="11789" max="11789" width="12.6640625" customWidth="1"/>
    <col min="11790" max="11790" width="13.6640625" customWidth="1"/>
    <col min="11791" max="11791" width="17" bestFit="1" customWidth="1"/>
    <col min="11792" max="11792" width="16.33203125" bestFit="1" customWidth="1"/>
    <col min="11793" max="11793" width="16.109375" customWidth="1"/>
    <col min="11794" max="11794" width="17.6640625" bestFit="1" customWidth="1"/>
    <col min="11795" max="11795" width="16.33203125" bestFit="1" customWidth="1"/>
    <col min="11796"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88671875" bestFit="1" customWidth="1"/>
    <col min="12037" max="12037" width="16.33203125" bestFit="1" customWidth="1"/>
    <col min="12038" max="12038" width="20" bestFit="1" customWidth="1"/>
    <col min="12039" max="12039" width="13.44140625" customWidth="1"/>
    <col min="12040" max="12040" width="15.44140625" bestFit="1" customWidth="1"/>
    <col min="12041" max="12041" width="14.33203125" bestFit="1" customWidth="1"/>
    <col min="12042" max="12042" width="15.33203125" customWidth="1"/>
    <col min="12043" max="12043" width="15.88671875" customWidth="1"/>
    <col min="12044" max="12044" width="17.109375" bestFit="1" customWidth="1"/>
    <col min="12045" max="12045" width="12.6640625" customWidth="1"/>
    <col min="12046" max="12046" width="13.6640625" customWidth="1"/>
    <col min="12047" max="12047" width="17" bestFit="1" customWidth="1"/>
    <col min="12048" max="12048" width="16.33203125" bestFit="1" customWidth="1"/>
    <col min="12049" max="12049" width="16.109375" customWidth="1"/>
    <col min="12050" max="12050" width="17.6640625" bestFit="1" customWidth="1"/>
    <col min="12051" max="12051" width="16.33203125" bestFit="1" customWidth="1"/>
    <col min="12052"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88671875" bestFit="1" customWidth="1"/>
    <col min="12293" max="12293" width="16.33203125" bestFit="1" customWidth="1"/>
    <col min="12294" max="12294" width="20" bestFit="1" customWidth="1"/>
    <col min="12295" max="12295" width="13.44140625" customWidth="1"/>
    <col min="12296" max="12296" width="15.44140625" bestFit="1" customWidth="1"/>
    <col min="12297" max="12297" width="14.33203125" bestFit="1" customWidth="1"/>
    <col min="12298" max="12298" width="15.33203125" customWidth="1"/>
    <col min="12299" max="12299" width="15.88671875" customWidth="1"/>
    <col min="12300" max="12300" width="17.109375" bestFit="1" customWidth="1"/>
    <col min="12301" max="12301" width="12.6640625" customWidth="1"/>
    <col min="12302" max="12302" width="13.6640625" customWidth="1"/>
    <col min="12303" max="12303" width="17" bestFit="1" customWidth="1"/>
    <col min="12304" max="12304" width="16.33203125" bestFit="1" customWidth="1"/>
    <col min="12305" max="12305" width="16.109375" customWidth="1"/>
    <col min="12306" max="12306" width="17.6640625" bestFit="1" customWidth="1"/>
    <col min="12307" max="12307" width="16.33203125" bestFit="1" customWidth="1"/>
    <col min="12308"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88671875" bestFit="1" customWidth="1"/>
    <col min="12549" max="12549" width="16.33203125" bestFit="1" customWidth="1"/>
    <col min="12550" max="12550" width="20" bestFit="1" customWidth="1"/>
    <col min="12551" max="12551" width="13.44140625" customWidth="1"/>
    <col min="12552" max="12552" width="15.44140625" bestFit="1" customWidth="1"/>
    <col min="12553" max="12553" width="14.33203125" bestFit="1" customWidth="1"/>
    <col min="12554" max="12554" width="15.33203125" customWidth="1"/>
    <col min="12555" max="12555" width="15.88671875" customWidth="1"/>
    <col min="12556" max="12556" width="17.109375" bestFit="1" customWidth="1"/>
    <col min="12557" max="12557" width="12.6640625" customWidth="1"/>
    <col min="12558" max="12558" width="13.6640625" customWidth="1"/>
    <col min="12559" max="12559" width="17" bestFit="1" customWidth="1"/>
    <col min="12560" max="12560" width="16.33203125" bestFit="1" customWidth="1"/>
    <col min="12561" max="12561" width="16.109375" customWidth="1"/>
    <col min="12562" max="12562" width="17.6640625" bestFit="1" customWidth="1"/>
    <col min="12563" max="12563" width="16.33203125" bestFit="1" customWidth="1"/>
    <col min="12564"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88671875" bestFit="1" customWidth="1"/>
    <col min="12805" max="12805" width="16.33203125" bestFit="1" customWidth="1"/>
    <col min="12806" max="12806" width="20" bestFit="1" customWidth="1"/>
    <col min="12807" max="12807" width="13.44140625" customWidth="1"/>
    <col min="12808" max="12808" width="15.44140625" bestFit="1" customWidth="1"/>
    <col min="12809" max="12809" width="14.33203125" bestFit="1" customWidth="1"/>
    <col min="12810" max="12810" width="15.33203125" customWidth="1"/>
    <col min="12811" max="12811" width="15.88671875" customWidth="1"/>
    <col min="12812" max="12812" width="17.109375" bestFit="1" customWidth="1"/>
    <col min="12813" max="12813" width="12.6640625" customWidth="1"/>
    <col min="12814" max="12814" width="13.6640625" customWidth="1"/>
    <col min="12815" max="12815" width="17" bestFit="1" customWidth="1"/>
    <col min="12816" max="12816" width="16.33203125" bestFit="1" customWidth="1"/>
    <col min="12817" max="12817" width="16.109375" customWidth="1"/>
    <col min="12818" max="12818" width="17.6640625" bestFit="1" customWidth="1"/>
    <col min="12819" max="12819" width="16.33203125" bestFit="1" customWidth="1"/>
    <col min="12820"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88671875" bestFit="1" customWidth="1"/>
    <col min="13061" max="13061" width="16.33203125" bestFit="1" customWidth="1"/>
    <col min="13062" max="13062" width="20" bestFit="1" customWidth="1"/>
    <col min="13063" max="13063" width="13.44140625" customWidth="1"/>
    <col min="13064" max="13064" width="15.44140625" bestFit="1" customWidth="1"/>
    <col min="13065" max="13065" width="14.33203125" bestFit="1" customWidth="1"/>
    <col min="13066" max="13066" width="15.33203125" customWidth="1"/>
    <col min="13067" max="13067" width="15.88671875" customWidth="1"/>
    <col min="13068" max="13068" width="17.109375" bestFit="1" customWidth="1"/>
    <col min="13069" max="13069" width="12.6640625" customWidth="1"/>
    <col min="13070" max="13070" width="13.6640625" customWidth="1"/>
    <col min="13071" max="13071" width="17" bestFit="1" customWidth="1"/>
    <col min="13072" max="13072" width="16.33203125" bestFit="1" customWidth="1"/>
    <col min="13073" max="13073" width="16.109375" customWidth="1"/>
    <col min="13074" max="13074" width="17.6640625" bestFit="1" customWidth="1"/>
    <col min="13075" max="13075" width="16.33203125" bestFit="1" customWidth="1"/>
    <col min="13076"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88671875" bestFit="1" customWidth="1"/>
    <col min="13317" max="13317" width="16.33203125" bestFit="1" customWidth="1"/>
    <col min="13318" max="13318" width="20" bestFit="1" customWidth="1"/>
    <col min="13319" max="13319" width="13.44140625" customWidth="1"/>
    <col min="13320" max="13320" width="15.44140625" bestFit="1" customWidth="1"/>
    <col min="13321" max="13321" width="14.33203125" bestFit="1" customWidth="1"/>
    <col min="13322" max="13322" width="15.33203125" customWidth="1"/>
    <col min="13323" max="13323" width="15.88671875" customWidth="1"/>
    <col min="13324" max="13324" width="17.109375" bestFit="1" customWidth="1"/>
    <col min="13325" max="13325" width="12.6640625" customWidth="1"/>
    <col min="13326" max="13326" width="13.6640625" customWidth="1"/>
    <col min="13327" max="13327" width="17" bestFit="1" customWidth="1"/>
    <col min="13328" max="13328" width="16.33203125" bestFit="1" customWidth="1"/>
    <col min="13329" max="13329" width="16.109375" customWidth="1"/>
    <col min="13330" max="13330" width="17.6640625" bestFit="1" customWidth="1"/>
    <col min="13331" max="13331" width="16.33203125" bestFit="1" customWidth="1"/>
    <col min="13332"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88671875" bestFit="1" customWidth="1"/>
    <col min="13573" max="13573" width="16.33203125" bestFit="1" customWidth="1"/>
    <col min="13574" max="13574" width="20" bestFit="1" customWidth="1"/>
    <col min="13575" max="13575" width="13.44140625" customWidth="1"/>
    <col min="13576" max="13576" width="15.44140625" bestFit="1" customWidth="1"/>
    <col min="13577" max="13577" width="14.33203125" bestFit="1" customWidth="1"/>
    <col min="13578" max="13578" width="15.33203125" customWidth="1"/>
    <col min="13579" max="13579" width="15.88671875" customWidth="1"/>
    <col min="13580" max="13580" width="17.109375" bestFit="1" customWidth="1"/>
    <col min="13581" max="13581" width="12.6640625" customWidth="1"/>
    <col min="13582" max="13582" width="13.6640625" customWidth="1"/>
    <col min="13583" max="13583" width="17" bestFit="1" customWidth="1"/>
    <col min="13584" max="13584" width="16.33203125" bestFit="1" customWidth="1"/>
    <col min="13585" max="13585" width="16.109375" customWidth="1"/>
    <col min="13586" max="13586" width="17.6640625" bestFit="1" customWidth="1"/>
    <col min="13587" max="13587" width="16.33203125" bestFit="1" customWidth="1"/>
    <col min="13588"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88671875" bestFit="1" customWidth="1"/>
    <col min="13829" max="13829" width="16.33203125" bestFit="1" customWidth="1"/>
    <col min="13830" max="13830" width="20" bestFit="1" customWidth="1"/>
    <col min="13831" max="13831" width="13.44140625" customWidth="1"/>
    <col min="13832" max="13832" width="15.44140625" bestFit="1" customWidth="1"/>
    <col min="13833" max="13833" width="14.33203125" bestFit="1" customWidth="1"/>
    <col min="13834" max="13834" width="15.33203125" customWidth="1"/>
    <col min="13835" max="13835" width="15.88671875" customWidth="1"/>
    <col min="13836" max="13836" width="17.109375" bestFit="1" customWidth="1"/>
    <col min="13837" max="13837" width="12.6640625" customWidth="1"/>
    <col min="13838" max="13838" width="13.6640625" customWidth="1"/>
    <col min="13839" max="13839" width="17" bestFit="1" customWidth="1"/>
    <col min="13840" max="13840" width="16.33203125" bestFit="1" customWidth="1"/>
    <col min="13841" max="13841" width="16.109375" customWidth="1"/>
    <col min="13842" max="13842" width="17.6640625" bestFit="1" customWidth="1"/>
    <col min="13843" max="13843" width="16.33203125" bestFit="1" customWidth="1"/>
    <col min="13844"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88671875" bestFit="1" customWidth="1"/>
    <col min="14085" max="14085" width="16.33203125" bestFit="1" customWidth="1"/>
    <col min="14086" max="14086" width="20" bestFit="1" customWidth="1"/>
    <col min="14087" max="14087" width="13.44140625" customWidth="1"/>
    <col min="14088" max="14088" width="15.44140625" bestFit="1" customWidth="1"/>
    <col min="14089" max="14089" width="14.33203125" bestFit="1" customWidth="1"/>
    <col min="14090" max="14090" width="15.33203125" customWidth="1"/>
    <col min="14091" max="14091" width="15.88671875" customWidth="1"/>
    <col min="14092" max="14092" width="17.109375" bestFit="1" customWidth="1"/>
    <col min="14093" max="14093" width="12.6640625" customWidth="1"/>
    <col min="14094" max="14094" width="13.6640625" customWidth="1"/>
    <col min="14095" max="14095" width="17" bestFit="1" customWidth="1"/>
    <col min="14096" max="14096" width="16.33203125" bestFit="1" customWidth="1"/>
    <col min="14097" max="14097" width="16.109375" customWidth="1"/>
    <col min="14098" max="14098" width="17.6640625" bestFit="1" customWidth="1"/>
    <col min="14099" max="14099" width="16.33203125" bestFit="1" customWidth="1"/>
    <col min="14100"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88671875" bestFit="1" customWidth="1"/>
    <col min="14341" max="14341" width="16.33203125" bestFit="1" customWidth="1"/>
    <col min="14342" max="14342" width="20" bestFit="1" customWidth="1"/>
    <col min="14343" max="14343" width="13.44140625" customWidth="1"/>
    <col min="14344" max="14344" width="15.44140625" bestFit="1" customWidth="1"/>
    <col min="14345" max="14345" width="14.33203125" bestFit="1" customWidth="1"/>
    <col min="14346" max="14346" width="15.33203125" customWidth="1"/>
    <col min="14347" max="14347" width="15.88671875" customWidth="1"/>
    <col min="14348" max="14348" width="17.109375" bestFit="1" customWidth="1"/>
    <col min="14349" max="14349" width="12.6640625" customWidth="1"/>
    <col min="14350" max="14350" width="13.6640625" customWidth="1"/>
    <col min="14351" max="14351" width="17" bestFit="1" customWidth="1"/>
    <col min="14352" max="14352" width="16.33203125" bestFit="1" customWidth="1"/>
    <col min="14353" max="14353" width="16.109375" customWidth="1"/>
    <col min="14354" max="14354" width="17.6640625" bestFit="1" customWidth="1"/>
    <col min="14355" max="14355" width="16.33203125" bestFit="1" customWidth="1"/>
    <col min="14356"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88671875" bestFit="1" customWidth="1"/>
    <col min="14597" max="14597" width="16.33203125" bestFit="1" customWidth="1"/>
    <col min="14598" max="14598" width="20" bestFit="1" customWidth="1"/>
    <col min="14599" max="14599" width="13.44140625" customWidth="1"/>
    <col min="14600" max="14600" width="15.44140625" bestFit="1" customWidth="1"/>
    <col min="14601" max="14601" width="14.33203125" bestFit="1" customWidth="1"/>
    <col min="14602" max="14602" width="15.33203125" customWidth="1"/>
    <col min="14603" max="14603" width="15.88671875" customWidth="1"/>
    <col min="14604" max="14604" width="17.109375" bestFit="1" customWidth="1"/>
    <col min="14605" max="14605" width="12.6640625" customWidth="1"/>
    <col min="14606" max="14606" width="13.6640625" customWidth="1"/>
    <col min="14607" max="14607" width="17" bestFit="1" customWidth="1"/>
    <col min="14608" max="14608" width="16.33203125" bestFit="1" customWidth="1"/>
    <col min="14609" max="14609" width="16.109375" customWidth="1"/>
    <col min="14610" max="14610" width="17.6640625" bestFit="1" customWidth="1"/>
    <col min="14611" max="14611" width="16.33203125" bestFit="1" customWidth="1"/>
    <col min="14612"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88671875" bestFit="1" customWidth="1"/>
    <col min="14853" max="14853" width="16.33203125" bestFit="1" customWidth="1"/>
    <col min="14854" max="14854" width="20" bestFit="1" customWidth="1"/>
    <col min="14855" max="14855" width="13.44140625" customWidth="1"/>
    <col min="14856" max="14856" width="15.44140625" bestFit="1" customWidth="1"/>
    <col min="14857" max="14857" width="14.33203125" bestFit="1" customWidth="1"/>
    <col min="14858" max="14858" width="15.33203125" customWidth="1"/>
    <col min="14859" max="14859" width="15.88671875" customWidth="1"/>
    <col min="14860" max="14860" width="17.109375" bestFit="1" customWidth="1"/>
    <col min="14861" max="14861" width="12.6640625" customWidth="1"/>
    <col min="14862" max="14862" width="13.6640625" customWidth="1"/>
    <col min="14863" max="14863" width="17" bestFit="1" customWidth="1"/>
    <col min="14864" max="14864" width="16.33203125" bestFit="1" customWidth="1"/>
    <col min="14865" max="14865" width="16.109375" customWidth="1"/>
    <col min="14866" max="14866" width="17.6640625" bestFit="1" customWidth="1"/>
    <col min="14867" max="14867" width="16.33203125" bestFit="1" customWidth="1"/>
    <col min="14868"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88671875" bestFit="1" customWidth="1"/>
    <col min="15109" max="15109" width="16.33203125" bestFit="1" customWidth="1"/>
    <col min="15110" max="15110" width="20" bestFit="1" customWidth="1"/>
    <col min="15111" max="15111" width="13.44140625" customWidth="1"/>
    <col min="15112" max="15112" width="15.44140625" bestFit="1" customWidth="1"/>
    <col min="15113" max="15113" width="14.33203125" bestFit="1" customWidth="1"/>
    <col min="15114" max="15114" width="15.33203125" customWidth="1"/>
    <col min="15115" max="15115" width="15.88671875" customWidth="1"/>
    <col min="15116" max="15116" width="17.109375" bestFit="1" customWidth="1"/>
    <col min="15117" max="15117" width="12.6640625" customWidth="1"/>
    <col min="15118" max="15118" width="13.6640625" customWidth="1"/>
    <col min="15119" max="15119" width="17" bestFit="1" customWidth="1"/>
    <col min="15120" max="15120" width="16.33203125" bestFit="1" customWidth="1"/>
    <col min="15121" max="15121" width="16.109375" customWidth="1"/>
    <col min="15122" max="15122" width="17.6640625" bestFit="1" customWidth="1"/>
    <col min="15123" max="15123" width="16.33203125" bestFit="1" customWidth="1"/>
    <col min="15124"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88671875" bestFit="1" customWidth="1"/>
    <col min="15365" max="15365" width="16.33203125" bestFit="1" customWidth="1"/>
    <col min="15366" max="15366" width="20" bestFit="1" customWidth="1"/>
    <col min="15367" max="15367" width="13.44140625" customWidth="1"/>
    <col min="15368" max="15368" width="15.44140625" bestFit="1" customWidth="1"/>
    <col min="15369" max="15369" width="14.33203125" bestFit="1" customWidth="1"/>
    <col min="15370" max="15370" width="15.33203125" customWidth="1"/>
    <col min="15371" max="15371" width="15.88671875" customWidth="1"/>
    <col min="15372" max="15372" width="17.109375" bestFit="1" customWidth="1"/>
    <col min="15373" max="15373" width="12.6640625" customWidth="1"/>
    <col min="15374" max="15374" width="13.6640625" customWidth="1"/>
    <col min="15375" max="15375" width="17" bestFit="1" customWidth="1"/>
    <col min="15376" max="15376" width="16.33203125" bestFit="1" customWidth="1"/>
    <col min="15377" max="15377" width="16.109375" customWidth="1"/>
    <col min="15378" max="15378" width="17.6640625" bestFit="1" customWidth="1"/>
    <col min="15379" max="15379" width="16.33203125" bestFit="1" customWidth="1"/>
    <col min="15380"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88671875" bestFit="1" customWidth="1"/>
    <col min="15621" max="15621" width="16.33203125" bestFit="1" customWidth="1"/>
    <col min="15622" max="15622" width="20" bestFit="1" customWidth="1"/>
    <col min="15623" max="15623" width="13.44140625" customWidth="1"/>
    <col min="15624" max="15624" width="15.44140625" bestFit="1" customWidth="1"/>
    <col min="15625" max="15625" width="14.33203125" bestFit="1" customWidth="1"/>
    <col min="15626" max="15626" width="15.33203125" customWidth="1"/>
    <col min="15627" max="15627" width="15.88671875" customWidth="1"/>
    <col min="15628" max="15628" width="17.109375" bestFit="1" customWidth="1"/>
    <col min="15629" max="15629" width="12.6640625" customWidth="1"/>
    <col min="15630" max="15630" width="13.6640625" customWidth="1"/>
    <col min="15631" max="15631" width="17" bestFit="1" customWidth="1"/>
    <col min="15632" max="15632" width="16.33203125" bestFit="1" customWidth="1"/>
    <col min="15633" max="15633" width="16.109375" customWidth="1"/>
    <col min="15634" max="15634" width="17.6640625" bestFit="1" customWidth="1"/>
    <col min="15635" max="15635" width="16.33203125" bestFit="1" customWidth="1"/>
    <col min="15636"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88671875" bestFit="1" customWidth="1"/>
    <col min="15877" max="15877" width="16.33203125" bestFit="1" customWidth="1"/>
    <col min="15878" max="15878" width="20" bestFit="1" customWidth="1"/>
    <col min="15879" max="15879" width="13.44140625" customWidth="1"/>
    <col min="15880" max="15880" width="15.44140625" bestFit="1" customWidth="1"/>
    <col min="15881" max="15881" width="14.33203125" bestFit="1" customWidth="1"/>
    <col min="15882" max="15882" width="15.33203125" customWidth="1"/>
    <col min="15883" max="15883" width="15.88671875" customWidth="1"/>
    <col min="15884" max="15884" width="17.109375" bestFit="1" customWidth="1"/>
    <col min="15885" max="15885" width="12.6640625" customWidth="1"/>
    <col min="15886" max="15886" width="13.6640625" customWidth="1"/>
    <col min="15887" max="15887" width="17" bestFit="1" customWidth="1"/>
    <col min="15888" max="15888" width="16.33203125" bestFit="1" customWidth="1"/>
    <col min="15889" max="15889" width="16.109375" customWidth="1"/>
    <col min="15890" max="15890" width="17.6640625" bestFit="1" customWidth="1"/>
    <col min="15891" max="15891" width="16.33203125" bestFit="1" customWidth="1"/>
    <col min="15892"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88671875" bestFit="1" customWidth="1"/>
    <col min="16133" max="16133" width="16.33203125" bestFit="1" customWidth="1"/>
    <col min="16134" max="16134" width="20" bestFit="1" customWidth="1"/>
    <col min="16135" max="16135" width="13.44140625" customWidth="1"/>
    <col min="16136" max="16136" width="15.44140625" bestFit="1" customWidth="1"/>
    <col min="16137" max="16137" width="14.33203125" bestFit="1" customWidth="1"/>
    <col min="16138" max="16138" width="15.33203125" customWidth="1"/>
    <col min="16139" max="16139" width="15.88671875" customWidth="1"/>
    <col min="16140" max="16140" width="17.109375" bestFit="1" customWidth="1"/>
    <col min="16141" max="16141" width="12.6640625" customWidth="1"/>
    <col min="16142" max="16142" width="13.6640625" customWidth="1"/>
    <col min="16143" max="16143" width="17" bestFit="1" customWidth="1"/>
    <col min="16144" max="16144" width="16.33203125" bestFit="1" customWidth="1"/>
    <col min="16145" max="16145" width="16.109375" customWidth="1"/>
    <col min="16146" max="16146" width="17.6640625" bestFit="1" customWidth="1"/>
    <col min="16147" max="16147" width="16.33203125" bestFit="1" customWidth="1"/>
    <col min="16148"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F1" s="202"/>
      <c r="G1" s="202">
        <f>C3</f>
        <v>18230486</v>
      </c>
      <c r="H1" s="202" t="str">
        <f>C4</f>
        <v>Multi-Family New Construction Elect</v>
      </c>
      <c r="I1" s="202"/>
    </row>
    <row r="2" spans="2:22" ht="16.2" thickBot="1" x14ac:dyDescent="0.35">
      <c r="B2" s="202" t="s">
        <v>131</v>
      </c>
      <c r="C2" s="203" t="s">
        <v>595</v>
      </c>
      <c r="G2" s="204" t="s">
        <v>8</v>
      </c>
      <c r="Q2" s="4765"/>
      <c r="R2" s="4765"/>
      <c r="S2" s="4762" t="s">
        <v>132</v>
      </c>
      <c r="T2" s="4763"/>
      <c r="U2" s="4764"/>
      <c r="V2" s="4766" t="s">
        <v>133</v>
      </c>
    </row>
    <row r="3" spans="2:22" ht="16.2" thickBot="1" x14ac:dyDescent="0.35">
      <c r="B3" s="203" t="s">
        <v>6</v>
      </c>
      <c r="C3" s="203">
        <v>18230486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596</v>
      </c>
      <c r="F4" s="202">
        <v>2011</v>
      </c>
      <c r="G4" s="210">
        <f>B12</f>
        <v>78600</v>
      </c>
      <c r="H4" s="211">
        <f>B17</f>
        <v>9600</v>
      </c>
      <c r="I4" s="211">
        <f>B22</f>
        <v>55556</v>
      </c>
      <c r="J4" s="211">
        <f>B27</f>
        <v>22950</v>
      </c>
      <c r="K4" s="211">
        <f>B32</f>
        <v>1200</v>
      </c>
      <c r="L4" s="211">
        <f>B37</f>
        <v>3000</v>
      </c>
      <c r="M4" s="211">
        <f>B42</f>
        <v>120</v>
      </c>
      <c r="N4" s="211">
        <f>B47</f>
        <v>3000</v>
      </c>
      <c r="O4" s="211">
        <f>B52</f>
        <v>534500</v>
      </c>
      <c r="P4" s="211">
        <f>B53</f>
        <v>0</v>
      </c>
      <c r="Q4" s="213">
        <f>B54</f>
        <v>708526</v>
      </c>
      <c r="R4" s="214">
        <f>T54</f>
        <v>1174900</v>
      </c>
      <c r="S4" s="331">
        <f>O4/Q4</f>
        <v>0.7543830431063927</v>
      </c>
      <c r="T4" s="331">
        <f>(J4+(H4*1.63))/Q4</f>
        <v>5.4476476516034697E-2</v>
      </c>
      <c r="U4" s="331">
        <f>L4/Q4</f>
        <v>4.2341424309058524E-3</v>
      </c>
      <c r="V4" s="216">
        <f>Q4/R4</f>
        <v>0.60305217465316197</v>
      </c>
    </row>
    <row r="5" spans="2:22" ht="16.2" thickBot="1" x14ac:dyDescent="0.35">
      <c r="B5" s="202" t="s">
        <v>34</v>
      </c>
      <c r="F5" s="202">
        <v>2012</v>
      </c>
      <c r="G5" s="217">
        <f>D12</f>
        <v>141726</v>
      </c>
      <c r="H5" s="218">
        <f>D17</f>
        <v>14400</v>
      </c>
      <c r="I5" s="218">
        <f>D22</f>
        <v>98359.38</v>
      </c>
      <c r="J5" s="218">
        <f>D27</f>
        <v>33750</v>
      </c>
      <c r="K5" s="218">
        <f>D32</f>
        <v>2340</v>
      </c>
      <c r="L5" s="218">
        <f>D37</f>
        <v>200</v>
      </c>
      <c r="M5" s="218">
        <f>D42</f>
        <v>100</v>
      </c>
      <c r="N5" s="218">
        <f>D47</f>
        <v>5240</v>
      </c>
      <c r="O5" s="218">
        <f>D52</f>
        <v>321369.29399999999</v>
      </c>
      <c r="P5" s="218">
        <f>D53</f>
        <v>0</v>
      </c>
      <c r="Q5" s="219">
        <f>SUM(G5:P5)</f>
        <v>617484.674</v>
      </c>
      <c r="R5" s="220">
        <f>P54</f>
        <v>954788.15511999989</v>
      </c>
      <c r="S5" s="332">
        <f>O5/Q5</f>
        <v>0.52044902089343192</v>
      </c>
      <c r="T5" s="332">
        <f>(J5+(H5*1.63))/Q5</f>
        <v>9.2669506482358457E-2</v>
      </c>
      <c r="U5" s="332">
        <f>L5/Q5</f>
        <v>3.2389467855845115E-4</v>
      </c>
      <c r="V5" s="222">
        <f>Q5/R5</f>
        <v>0.64672427144049893</v>
      </c>
    </row>
    <row r="6" spans="2:22" ht="16.2" thickBot="1" x14ac:dyDescent="0.35">
      <c r="C6" s="202" t="s">
        <v>566</v>
      </c>
      <c r="F6" s="202">
        <v>2013</v>
      </c>
      <c r="G6" s="223">
        <f>E12</f>
        <v>166678</v>
      </c>
      <c r="H6" s="224">
        <f>E17</f>
        <v>15760</v>
      </c>
      <c r="I6" s="224">
        <f>E22</f>
        <v>114935.94</v>
      </c>
      <c r="J6" s="224">
        <f>E27</f>
        <v>33750</v>
      </c>
      <c r="K6" s="224">
        <f>E32</f>
        <v>2340</v>
      </c>
      <c r="L6" s="224">
        <f>E37</f>
        <v>200</v>
      </c>
      <c r="M6" s="224">
        <f>E42</f>
        <v>100</v>
      </c>
      <c r="N6" s="224">
        <f>E47</f>
        <v>5240</v>
      </c>
      <c r="O6" s="224">
        <f>E52</f>
        <v>321369.29399999999</v>
      </c>
      <c r="P6" s="224">
        <f>E53</f>
        <v>0</v>
      </c>
      <c r="Q6" s="225">
        <f>SUM(G6:P6)</f>
        <v>660373.23399999994</v>
      </c>
      <c r="R6" s="226">
        <f>Q54</f>
        <v>954788.15511999989</v>
      </c>
      <c r="S6" s="332">
        <f>O6/Q6</f>
        <v>0.48664797035065782</v>
      </c>
      <c r="T6" s="332">
        <f>(J6+(H6*1.63))/Q6</f>
        <v>9.0007887872693537E-2</v>
      </c>
      <c r="U6" s="332">
        <f>L6/Q6</f>
        <v>3.0285903441083442E-4</v>
      </c>
      <c r="V6" s="222">
        <f>Q6/R6</f>
        <v>0.69164372270307728</v>
      </c>
    </row>
    <row r="7" spans="2:22" ht="16.2" thickBot="1" x14ac:dyDescent="0.35">
      <c r="C7" s="227" t="s">
        <v>567</v>
      </c>
      <c r="F7" s="228" t="s">
        <v>140</v>
      </c>
      <c r="G7" s="229">
        <f>SUM(G5:G6)</f>
        <v>308404</v>
      </c>
      <c r="H7" s="229">
        <f t="shared" ref="H7:P7" si="0">SUM(H5:H6)</f>
        <v>30160</v>
      </c>
      <c r="I7" s="229">
        <f t="shared" si="0"/>
        <v>213295.32</v>
      </c>
      <c r="J7" s="229">
        <f t="shared" si="0"/>
        <v>67500</v>
      </c>
      <c r="K7" s="229">
        <f t="shared" si="0"/>
        <v>4680</v>
      </c>
      <c r="L7" s="229">
        <f t="shared" si="0"/>
        <v>400</v>
      </c>
      <c r="M7" s="229">
        <f t="shared" si="0"/>
        <v>200</v>
      </c>
      <c r="N7" s="229">
        <f t="shared" si="0"/>
        <v>10480</v>
      </c>
      <c r="O7" s="229">
        <f t="shared" si="0"/>
        <v>642738.58799999999</v>
      </c>
      <c r="P7" s="229">
        <f t="shared" si="0"/>
        <v>0</v>
      </c>
      <c r="Q7" s="230">
        <f>SUM(G7:P7)</f>
        <v>1277857.9080000001</v>
      </c>
      <c r="R7" s="231">
        <f>R54</f>
        <v>1909576.3102399998</v>
      </c>
      <c r="S7" s="332">
        <f>O7/Q7</f>
        <v>0.50298126573866297</v>
      </c>
      <c r="T7" s="332">
        <f>(J7+(H7*1.63))/Q7</f>
        <v>9.1294031417458649E-2</v>
      </c>
      <c r="U7" s="332">
        <f>L7/Q7</f>
        <v>3.1302384834480359E-4</v>
      </c>
      <c r="V7" s="222">
        <f>Q7/R7</f>
        <v>0.66918399707178811</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78600</v>
      </c>
      <c r="C12" s="244" t="s">
        <v>161</v>
      </c>
      <c r="D12" s="245">
        <f>SUM(D13:D16)</f>
        <v>141726</v>
      </c>
      <c r="E12" s="245">
        <f>SUM(E13:E16)</f>
        <v>166678</v>
      </c>
      <c r="F12" s="246">
        <f>D12+E12</f>
        <v>308404</v>
      </c>
      <c r="H12" s="135"/>
      <c r="I12" s="247" t="str">
        <f t="shared" ref="I12:I53" si="1">C62</f>
        <v>Clothes Washer MEF 2.2 - 2.45 WF 4.5 - EWH/Edryer</v>
      </c>
      <c r="J12" s="248"/>
      <c r="K12" s="249"/>
      <c r="L12" s="250">
        <f t="shared" ref="L12:L53" si="2">D62</f>
        <v>149</v>
      </c>
      <c r="M12" s="3868">
        <v>300</v>
      </c>
      <c r="N12" s="3868">
        <v>300</v>
      </c>
      <c r="O12" s="368">
        <f>M12+N12</f>
        <v>600</v>
      </c>
      <c r="P12" s="253">
        <f t="shared" ref="P12:R27" si="3">M12*$D62</f>
        <v>44700</v>
      </c>
      <c r="Q12" s="253">
        <f t="shared" si="3"/>
        <v>44700</v>
      </c>
      <c r="R12" s="254">
        <f t="shared" si="3"/>
        <v>89400</v>
      </c>
      <c r="T12" s="309">
        <v>60174</v>
      </c>
    </row>
    <row r="13" spans="2:22" ht="13.8" x14ac:dyDescent="0.3">
      <c r="B13" s="256"/>
      <c r="C13" s="257" t="s">
        <v>568</v>
      </c>
      <c r="D13" s="2567">
        <v>141726</v>
      </c>
      <c r="E13" s="2567">
        <v>166678</v>
      </c>
      <c r="F13" s="258">
        <f>SUM(D13:E13)</f>
        <v>308404</v>
      </c>
      <c r="H13" s="135"/>
      <c r="I13" s="259" t="str">
        <f t="shared" si="1"/>
        <v>Clothes Washer MEF 2.46+ WF 4- EWH/Edryer</v>
      </c>
      <c r="J13" s="260"/>
      <c r="K13" s="261"/>
      <c r="L13" s="250">
        <f t="shared" si="2"/>
        <v>219</v>
      </c>
      <c r="M13" s="3868">
        <v>50</v>
      </c>
      <c r="N13" s="3868">
        <v>50</v>
      </c>
      <c r="O13" s="368">
        <f t="shared" ref="O13:O53" si="4">M13+N13</f>
        <v>100</v>
      </c>
      <c r="P13" s="253">
        <f t="shared" si="3"/>
        <v>10950</v>
      </c>
      <c r="Q13" s="253">
        <f t="shared" si="3"/>
        <v>10950</v>
      </c>
      <c r="R13" s="254">
        <f t="shared" si="3"/>
        <v>21900</v>
      </c>
      <c r="T13" s="263">
        <v>0</v>
      </c>
    </row>
    <row r="14" spans="2:22" ht="13.8" x14ac:dyDescent="0.3">
      <c r="B14" s="264"/>
      <c r="C14" s="265" t="s">
        <v>163</v>
      </c>
      <c r="D14" s="266">
        <v>0</v>
      </c>
      <c r="E14" s="266"/>
      <c r="F14" s="258">
        <f t="shared" ref="F14:F24" si="5">SUM(D14:E14)</f>
        <v>0</v>
      </c>
      <c r="H14" s="135"/>
      <c r="I14" s="259" t="str">
        <f t="shared" si="1"/>
        <v>Energy Star Refrigerator</v>
      </c>
      <c r="J14" s="260"/>
      <c r="K14" s="261"/>
      <c r="L14" s="250">
        <f t="shared" si="2"/>
        <v>44</v>
      </c>
      <c r="M14" s="3868">
        <v>614</v>
      </c>
      <c r="N14" s="3868">
        <v>614</v>
      </c>
      <c r="O14" s="368">
        <f t="shared" si="4"/>
        <v>1228</v>
      </c>
      <c r="P14" s="253">
        <f t="shared" si="3"/>
        <v>27016</v>
      </c>
      <c r="Q14" s="253">
        <f t="shared" si="3"/>
        <v>27016</v>
      </c>
      <c r="R14" s="254">
        <f t="shared" si="3"/>
        <v>54032</v>
      </c>
      <c r="T14" s="263">
        <v>72893</v>
      </c>
    </row>
    <row r="15" spans="2:22" ht="13.8" x14ac:dyDescent="0.3">
      <c r="B15" s="264"/>
      <c r="C15" s="265" t="s">
        <v>164</v>
      </c>
      <c r="D15" s="268">
        <v>0</v>
      </c>
      <c r="E15" s="268"/>
      <c r="F15" s="258">
        <f t="shared" si="5"/>
        <v>0</v>
      </c>
      <c r="H15" s="135"/>
      <c r="I15" s="259" t="str">
        <f t="shared" si="1"/>
        <v>Windows U-0.30 or better ESH High Rise Metal Frame</v>
      </c>
      <c r="J15" s="260"/>
      <c r="K15" s="261"/>
      <c r="L15" s="250">
        <f t="shared" si="2"/>
        <v>1.758</v>
      </c>
      <c r="M15" s="3868">
        <v>28687</v>
      </c>
      <c r="N15" s="3868">
        <v>28687</v>
      </c>
      <c r="O15" s="368">
        <f t="shared" si="4"/>
        <v>57374</v>
      </c>
      <c r="P15" s="253">
        <f t="shared" si="3"/>
        <v>50431.745999999999</v>
      </c>
      <c r="Q15" s="253">
        <f t="shared" si="3"/>
        <v>50431.745999999999</v>
      </c>
      <c r="R15" s="254">
        <f t="shared" si="3"/>
        <v>100863.492</v>
      </c>
      <c r="T15" s="263">
        <v>292286</v>
      </c>
    </row>
    <row r="16" spans="2:22" ht="14.4" thickBot="1" x14ac:dyDescent="0.35">
      <c r="B16" s="264"/>
      <c r="C16" s="265" t="s">
        <v>165</v>
      </c>
      <c r="D16" s="268">
        <v>0</v>
      </c>
      <c r="E16" s="268"/>
      <c r="F16" s="258">
        <f t="shared" si="5"/>
        <v>0</v>
      </c>
      <c r="H16" s="135"/>
      <c r="I16" s="259" t="str">
        <f t="shared" si="1"/>
        <v>Heat Recovery - Elec Res no Cooling-HighRise</v>
      </c>
      <c r="J16" s="260"/>
      <c r="K16" s="261"/>
      <c r="L16" s="250">
        <f t="shared" si="2"/>
        <v>1.3180000000000001</v>
      </c>
      <c r="M16" s="3868">
        <v>1000</v>
      </c>
      <c r="N16" s="3868">
        <v>1000</v>
      </c>
      <c r="O16" s="368">
        <f t="shared" si="4"/>
        <v>2000</v>
      </c>
      <c r="P16" s="253">
        <f t="shared" si="3"/>
        <v>1318</v>
      </c>
      <c r="Q16" s="253">
        <f t="shared" si="3"/>
        <v>1318</v>
      </c>
      <c r="R16" s="254">
        <f t="shared" si="3"/>
        <v>2636</v>
      </c>
      <c r="T16" s="263">
        <v>0</v>
      </c>
    </row>
    <row r="17" spans="2:20" ht="14.4" thickBot="1" x14ac:dyDescent="0.35">
      <c r="B17" s="272">
        <v>9600</v>
      </c>
      <c r="C17" s="244" t="s">
        <v>166</v>
      </c>
      <c r="D17" s="245">
        <f>SUM(D18:D21)</f>
        <v>14400</v>
      </c>
      <c r="E17" s="245">
        <f>SUM(E18:E21)</f>
        <v>15760</v>
      </c>
      <c r="F17" s="246">
        <f>D17+E17</f>
        <v>30160</v>
      </c>
      <c r="H17" s="135"/>
      <c r="I17" s="259" t="str">
        <f t="shared" si="1"/>
        <v>Heat Recovery - Elec Res no Cooling-LowRise</v>
      </c>
      <c r="J17" s="260"/>
      <c r="K17" s="261"/>
      <c r="L17" s="250">
        <f t="shared" si="2"/>
        <v>0.85799999999999998</v>
      </c>
      <c r="M17" s="3868">
        <v>1000</v>
      </c>
      <c r="N17" s="3868">
        <v>1000</v>
      </c>
      <c r="O17" s="368">
        <f t="shared" si="4"/>
        <v>2000</v>
      </c>
      <c r="P17" s="253">
        <f t="shared" si="3"/>
        <v>858</v>
      </c>
      <c r="Q17" s="253">
        <f t="shared" si="3"/>
        <v>858</v>
      </c>
      <c r="R17" s="254">
        <f t="shared" si="3"/>
        <v>1716</v>
      </c>
      <c r="T17" s="263">
        <v>0</v>
      </c>
    </row>
    <row r="18" spans="2:20" ht="13.8" x14ac:dyDescent="0.3">
      <c r="B18" s="256"/>
      <c r="C18" s="257" t="s">
        <v>10</v>
      </c>
      <c r="D18" s="2568">
        <v>14400</v>
      </c>
      <c r="E18" s="2568">
        <v>15760</v>
      </c>
      <c r="F18" s="258">
        <f t="shared" si="5"/>
        <v>30160</v>
      </c>
      <c r="H18" s="135"/>
      <c r="I18" s="259" t="str">
        <f t="shared" si="1"/>
        <v>Air-to-Air Heat Pump 2011</v>
      </c>
      <c r="J18" s="260"/>
      <c r="K18" s="261"/>
      <c r="L18" s="250">
        <f t="shared" si="2"/>
        <v>1.3720000000000001</v>
      </c>
      <c r="M18" s="3868">
        <v>40000</v>
      </c>
      <c r="N18" s="3868">
        <v>40000</v>
      </c>
      <c r="O18" s="368">
        <f t="shared" si="4"/>
        <v>80000</v>
      </c>
      <c r="P18" s="253">
        <f t="shared" si="3"/>
        <v>54880.000000000007</v>
      </c>
      <c r="Q18" s="253">
        <f t="shared" si="3"/>
        <v>54880.000000000007</v>
      </c>
      <c r="R18" s="254">
        <f t="shared" si="3"/>
        <v>109760.00000000001</v>
      </c>
      <c r="T18" s="263">
        <v>39810</v>
      </c>
    </row>
    <row r="19" spans="2:20" ht="13.8" x14ac:dyDescent="0.3">
      <c r="B19" s="264"/>
      <c r="C19" s="265" t="s">
        <v>163</v>
      </c>
      <c r="D19" s="266">
        <v>0</v>
      </c>
      <c r="E19" s="266"/>
      <c r="F19" s="258">
        <f t="shared" si="5"/>
        <v>0</v>
      </c>
      <c r="H19" s="135"/>
      <c r="I19" s="259" t="str">
        <f t="shared" si="1"/>
        <v>Package Terminal Heat Pump Low Rise</v>
      </c>
      <c r="J19" s="260"/>
      <c r="K19" s="261"/>
      <c r="L19" s="250">
        <f t="shared" si="2"/>
        <v>592.04300000000001</v>
      </c>
      <c r="M19" s="3868">
        <v>100</v>
      </c>
      <c r="N19" s="3868">
        <v>100</v>
      </c>
      <c r="O19" s="368">
        <f t="shared" si="4"/>
        <v>200</v>
      </c>
      <c r="P19" s="253">
        <f t="shared" si="3"/>
        <v>59204.3</v>
      </c>
      <c r="Q19" s="253">
        <f t="shared" si="3"/>
        <v>59204.3</v>
      </c>
      <c r="R19" s="254">
        <f t="shared" si="3"/>
        <v>118408.6</v>
      </c>
      <c r="T19" s="263">
        <v>58960</v>
      </c>
    </row>
    <row r="20" spans="2:20" ht="13.8" x14ac:dyDescent="0.3">
      <c r="B20" s="264"/>
      <c r="C20" s="265" t="s">
        <v>164</v>
      </c>
      <c r="D20" s="268">
        <v>0</v>
      </c>
      <c r="E20" s="268"/>
      <c r="F20" s="258">
        <f t="shared" si="5"/>
        <v>0</v>
      </c>
      <c r="H20" s="135"/>
      <c r="I20" s="259" t="str">
        <f t="shared" si="1"/>
        <v>Package Terminal Heat Pump Low Rise Townhome</v>
      </c>
      <c r="J20" s="260"/>
      <c r="K20" s="261"/>
      <c r="L20" s="250">
        <f t="shared" si="2"/>
        <v>1209</v>
      </c>
      <c r="M20" s="3868">
        <v>20</v>
      </c>
      <c r="N20" s="3868">
        <v>20</v>
      </c>
      <c r="O20" s="368">
        <f t="shared" si="4"/>
        <v>40</v>
      </c>
      <c r="P20" s="253">
        <f t="shared" si="3"/>
        <v>24180</v>
      </c>
      <c r="Q20" s="253">
        <f t="shared" si="3"/>
        <v>24180</v>
      </c>
      <c r="R20" s="254">
        <f t="shared" si="3"/>
        <v>48360</v>
      </c>
      <c r="T20" s="263">
        <v>0</v>
      </c>
    </row>
    <row r="21" spans="2:20" ht="14.4" thickBot="1" x14ac:dyDescent="0.35">
      <c r="B21" s="264"/>
      <c r="C21" s="265" t="s">
        <v>165</v>
      </c>
      <c r="D21" s="268">
        <v>0</v>
      </c>
      <c r="E21" s="268"/>
      <c r="F21" s="258">
        <f t="shared" si="5"/>
        <v>0</v>
      </c>
      <c r="H21" s="135"/>
      <c r="I21" s="259" t="str">
        <f t="shared" si="1"/>
        <v>Energy Star hard-wired CFL fixture - TCt 69</v>
      </c>
      <c r="J21" s="260"/>
      <c r="K21" s="261"/>
      <c r="L21" s="250">
        <f t="shared" si="2"/>
        <v>49</v>
      </c>
      <c r="M21" s="3868">
        <v>4989</v>
      </c>
      <c r="N21" s="3868">
        <v>4989</v>
      </c>
      <c r="O21" s="368">
        <f t="shared" si="4"/>
        <v>9978</v>
      </c>
      <c r="P21" s="253">
        <f t="shared" si="3"/>
        <v>244461</v>
      </c>
      <c r="Q21" s="253">
        <f t="shared" si="3"/>
        <v>244461</v>
      </c>
      <c r="R21" s="254">
        <f t="shared" si="3"/>
        <v>488922</v>
      </c>
      <c r="T21" s="263">
        <v>200906</v>
      </c>
    </row>
    <row r="22" spans="2:20" ht="14.4" thickBot="1" x14ac:dyDescent="0.35">
      <c r="B22" s="272">
        <v>55556</v>
      </c>
      <c r="C22" s="244" t="s">
        <v>167</v>
      </c>
      <c r="D22" s="245">
        <f>SUM(D23:D26)</f>
        <v>98359.38</v>
      </c>
      <c r="E22" s="245">
        <f>SUM(E23:E26)</f>
        <v>114935.94</v>
      </c>
      <c r="F22" s="246">
        <f>D22+E22</f>
        <v>213295.32</v>
      </c>
      <c r="G22" s="55"/>
      <c r="H22" s="135"/>
      <c r="I22" s="259" t="str">
        <f t="shared" si="1"/>
        <v xml:space="preserve">Corridor Lighting Reduction </v>
      </c>
      <c r="J22" s="260"/>
      <c r="K22" s="261"/>
      <c r="L22" s="250">
        <f t="shared" si="2"/>
        <v>7.0080000000000003E-2</v>
      </c>
      <c r="M22" s="3868">
        <v>2037642</v>
      </c>
      <c r="N22" s="3868">
        <v>2037642</v>
      </c>
      <c r="O22" s="368">
        <f t="shared" si="4"/>
        <v>4075284</v>
      </c>
      <c r="P22" s="253">
        <f t="shared" si="3"/>
        <v>142797.95136000001</v>
      </c>
      <c r="Q22" s="253">
        <f t="shared" si="3"/>
        <v>142797.95136000001</v>
      </c>
      <c r="R22" s="254">
        <f t="shared" si="3"/>
        <v>285595.90272000001</v>
      </c>
      <c r="T22" s="263">
        <v>105337</v>
      </c>
    </row>
    <row r="23" spans="2:20" ht="13.8" x14ac:dyDescent="0.3">
      <c r="B23" s="256"/>
      <c r="C23" s="257" t="s">
        <v>168</v>
      </c>
      <c r="D23" s="258">
        <f>0.63*D12</f>
        <v>89287.38</v>
      </c>
      <c r="E23" s="258">
        <f>0.63*E12</f>
        <v>105007.14</v>
      </c>
      <c r="F23" s="258">
        <f t="shared" si="5"/>
        <v>194294.52000000002</v>
      </c>
      <c r="H23" s="135"/>
      <c r="I23" s="259" t="str">
        <f t="shared" si="1"/>
        <v>Stairwell bi-level &gt;= 10 floors</v>
      </c>
      <c r="J23" s="260"/>
      <c r="K23" s="261"/>
      <c r="L23" s="250">
        <f t="shared" si="2"/>
        <v>379</v>
      </c>
      <c r="M23" s="3868">
        <v>30</v>
      </c>
      <c r="N23" s="3868">
        <v>30</v>
      </c>
      <c r="O23" s="368">
        <f t="shared" si="4"/>
        <v>60</v>
      </c>
      <c r="P23" s="253">
        <f t="shared" si="3"/>
        <v>11370</v>
      </c>
      <c r="Q23" s="253">
        <f t="shared" si="3"/>
        <v>11370</v>
      </c>
      <c r="R23" s="254">
        <f t="shared" si="3"/>
        <v>22740</v>
      </c>
      <c r="T23" s="263">
        <v>0</v>
      </c>
    </row>
    <row r="24" spans="2:20" ht="13.8" x14ac:dyDescent="0.3">
      <c r="B24" s="256"/>
      <c r="C24" s="257" t="s">
        <v>169</v>
      </c>
      <c r="D24" s="266">
        <f>0.63*D17</f>
        <v>9072</v>
      </c>
      <c r="E24" s="266">
        <f>0.63*E17</f>
        <v>9928.7999999999993</v>
      </c>
      <c r="F24" s="258">
        <f t="shared" si="5"/>
        <v>19000.8</v>
      </c>
      <c r="H24" s="135"/>
      <c r="I24" s="259" t="str">
        <f t="shared" si="1"/>
        <v>Stairwell bi-level &gt;3 &lt;10 floors</v>
      </c>
      <c r="J24" s="260"/>
      <c r="K24" s="261"/>
      <c r="L24" s="250">
        <f t="shared" si="2"/>
        <v>203</v>
      </c>
      <c r="M24" s="2566">
        <v>98</v>
      </c>
      <c r="N24" s="2566">
        <v>98</v>
      </c>
      <c r="O24" s="368">
        <f t="shared" si="4"/>
        <v>196</v>
      </c>
      <c r="P24" s="253">
        <f t="shared" si="3"/>
        <v>19894</v>
      </c>
      <c r="Q24" s="253">
        <f t="shared" si="3"/>
        <v>19894</v>
      </c>
      <c r="R24" s="254">
        <f t="shared" si="3"/>
        <v>39788</v>
      </c>
      <c r="T24" s="263">
        <v>12992</v>
      </c>
    </row>
    <row r="25" spans="2:20" ht="13.8" x14ac:dyDescent="0.3">
      <c r="B25" s="264"/>
      <c r="C25" s="265"/>
      <c r="D25" s="268"/>
      <c r="E25" s="268"/>
      <c r="F25" s="268"/>
      <c r="H25" s="135"/>
      <c r="I25" s="259" t="str">
        <f t="shared" si="1"/>
        <v>Garage Lighting Reduction 2011</v>
      </c>
      <c r="J25" s="260"/>
      <c r="K25" s="261"/>
      <c r="L25" s="250">
        <f t="shared" si="2"/>
        <v>1.7520000000000001E-2</v>
      </c>
      <c r="M25" s="2566">
        <v>8630888</v>
      </c>
      <c r="N25" s="2566">
        <v>8630888</v>
      </c>
      <c r="O25" s="368">
        <f t="shared" si="4"/>
        <v>17261776</v>
      </c>
      <c r="P25" s="253">
        <f t="shared" si="3"/>
        <v>151213.15776</v>
      </c>
      <c r="Q25" s="253">
        <f t="shared" si="3"/>
        <v>151213.15776</v>
      </c>
      <c r="R25" s="254">
        <f t="shared" si="3"/>
        <v>302426.31552</v>
      </c>
      <c r="T25" s="263">
        <v>132714</v>
      </c>
    </row>
    <row r="26" spans="2:20" ht="14.4" thickBot="1" x14ac:dyDescent="0.35">
      <c r="B26" s="264"/>
      <c r="C26" s="265"/>
      <c r="D26" s="268"/>
      <c r="E26" s="268"/>
      <c r="F26" s="268"/>
      <c r="H26" s="135"/>
      <c r="I26" s="259" t="str">
        <f t="shared" si="1"/>
        <v>Drain Water Heat Recovery</v>
      </c>
      <c r="J26" s="260"/>
      <c r="K26" s="261"/>
      <c r="L26" s="250">
        <f t="shared" si="2"/>
        <v>373</v>
      </c>
      <c r="M26" s="2566">
        <v>100</v>
      </c>
      <c r="N26" s="2566">
        <v>100</v>
      </c>
      <c r="O26" s="368">
        <f t="shared" si="4"/>
        <v>200</v>
      </c>
      <c r="P26" s="253">
        <f t="shared" si="3"/>
        <v>37300</v>
      </c>
      <c r="Q26" s="253">
        <f t="shared" si="3"/>
        <v>37300</v>
      </c>
      <c r="R26" s="254">
        <f t="shared" si="3"/>
        <v>74600</v>
      </c>
      <c r="T26" s="263">
        <v>0</v>
      </c>
    </row>
    <row r="27" spans="2:20" ht="14.4" thickBot="1" x14ac:dyDescent="0.35">
      <c r="B27" s="272">
        <v>22950</v>
      </c>
      <c r="C27" s="244" t="s">
        <v>170</v>
      </c>
      <c r="D27" s="245">
        <f>SUM(D28:D31)</f>
        <v>33750</v>
      </c>
      <c r="E27" s="245">
        <f>SUM(E28:E31)</f>
        <v>33750</v>
      </c>
      <c r="F27" s="246">
        <f>D27+E27</f>
        <v>67500</v>
      </c>
      <c r="H27" s="135"/>
      <c r="I27" s="259" t="str">
        <f t="shared" si="1"/>
        <v>Showerhead - Max 2.0 gpm EWH</v>
      </c>
      <c r="J27" s="260"/>
      <c r="K27" s="261"/>
      <c r="L27" s="250">
        <f t="shared" si="2"/>
        <v>114</v>
      </c>
      <c r="M27" s="2566">
        <v>651</v>
      </c>
      <c r="N27" s="2566">
        <v>651</v>
      </c>
      <c r="O27" s="368">
        <f t="shared" si="4"/>
        <v>1302</v>
      </c>
      <c r="P27" s="253">
        <f t="shared" si="3"/>
        <v>74214</v>
      </c>
      <c r="Q27" s="253">
        <f t="shared" si="3"/>
        <v>74214</v>
      </c>
      <c r="R27" s="254">
        <f t="shared" si="3"/>
        <v>148428</v>
      </c>
      <c r="T27" s="263">
        <v>25308</v>
      </c>
    </row>
    <row r="28" spans="2:20" ht="13.8" x14ac:dyDescent="0.3">
      <c r="B28" s="256"/>
      <c r="C28" s="257" t="s">
        <v>569</v>
      </c>
      <c r="D28" s="258">
        <v>33750</v>
      </c>
      <c r="E28" s="258">
        <v>33750</v>
      </c>
      <c r="F28" s="258">
        <f t="shared" ref="F28:F36" si="6">SUM(D28:E28)</f>
        <v>67500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173520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1200</v>
      </c>
      <c r="C32" s="244" t="s">
        <v>171</v>
      </c>
      <c r="D32" s="245">
        <f>SUM(D33:D36)</f>
        <v>2340</v>
      </c>
      <c r="E32" s="245">
        <f>SUM(E33:E36)</f>
        <v>2340</v>
      </c>
      <c r="F32" s="246">
        <f>D32+E32</f>
        <v>4680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526</v>
      </c>
      <c r="D33" s="266">
        <v>2340</v>
      </c>
      <c r="E33" s="266">
        <v>2340</v>
      </c>
      <c r="F33" s="258">
        <f t="shared" si="6"/>
        <v>4680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3000</v>
      </c>
      <c r="C37" s="244" t="s">
        <v>172</v>
      </c>
      <c r="D37" s="245">
        <f>SUM(D38:D41)</f>
        <v>200</v>
      </c>
      <c r="E37" s="245">
        <f>SUM(E38:E41)</f>
        <v>200</v>
      </c>
      <c r="F37" s="246">
        <f>D37+E37</f>
        <v>400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14</v>
      </c>
      <c r="D38" s="266">
        <v>200</v>
      </c>
      <c r="E38" s="266">
        <v>200</v>
      </c>
      <c r="F38" s="258">
        <f t="shared" ref="F38:F51" si="8">SUM(D38:E38)</f>
        <v>400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120</v>
      </c>
      <c r="C42" s="244" t="s">
        <v>173</v>
      </c>
      <c r="D42" s="245">
        <f>SUM(D43:D46)</f>
        <v>100</v>
      </c>
      <c r="E42" s="245">
        <f>SUM(E43:E46)</f>
        <v>100</v>
      </c>
      <c r="F42" s="246">
        <f>D42+E42</f>
        <v>200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15</v>
      </c>
      <c r="D43" s="266">
        <v>100</v>
      </c>
      <c r="E43" s="266">
        <v>100</v>
      </c>
      <c r="F43" s="258">
        <f t="shared" si="8"/>
        <v>200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3000</v>
      </c>
      <c r="C47" s="244" t="s">
        <v>174</v>
      </c>
      <c r="D47" s="245">
        <f>SUM(D48:D51)</f>
        <v>5240</v>
      </c>
      <c r="E47" s="245">
        <f>SUM(E48:E51)</f>
        <v>5240</v>
      </c>
      <c r="F47" s="246">
        <f>D47+E47</f>
        <v>10480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v>
      </c>
      <c r="D48" s="266">
        <v>100</v>
      </c>
      <c r="E48" s="266">
        <v>100</v>
      </c>
      <c r="F48" s="258">
        <f t="shared" si="8"/>
        <v>200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570</v>
      </c>
      <c r="D49" s="266">
        <v>5140</v>
      </c>
      <c r="E49" s="266">
        <v>5140</v>
      </c>
      <c r="F49" s="258">
        <f t="shared" si="8"/>
        <v>10280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72">
        <v>534500</v>
      </c>
      <c r="C52" s="244" t="s">
        <v>175</v>
      </c>
      <c r="D52" s="245">
        <f>S104</f>
        <v>321369.29399999999</v>
      </c>
      <c r="E52" s="245">
        <f>T104</f>
        <v>321369.29399999999</v>
      </c>
      <c r="F52" s="246">
        <f>U104</f>
        <v>642738.58799999999</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708526</v>
      </c>
      <c r="C54" s="274" t="s">
        <v>178</v>
      </c>
      <c r="D54" s="273">
        <f>D12+D17+D22+D27+D32+D37+D42+D47+D52+D53</f>
        <v>617484.674</v>
      </c>
      <c r="E54" s="273">
        <f>E12+E17+E22+E27+E32+E37+E42+E47+E52+E53</f>
        <v>660373.23399999994</v>
      </c>
      <c r="F54" s="273">
        <f>F12+F17+F22+F27+F32+F37+F42+F47+F52+F53</f>
        <v>1277857.9080000001</v>
      </c>
      <c r="P54" s="275">
        <f>SUM(P12:P53)</f>
        <v>954788.15511999989</v>
      </c>
      <c r="Q54" s="275">
        <f>SUM(Q12:Q53)</f>
        <v>954788.15511999989</v>
      </c>
      <c r="R54" s="275">
        <f>SUM(R12:R53)</f>
        <v>1909576.3102399998</v>
      </c>
      <c r="T54" s="275">
        <f>SUM(T12:T53)</f>
        <v>1174900</v>
      </c>
    </row>
    <row r="55" spans="2:24" ht="13.8" x14ac:dyDescent="0.3">
      <c r="C55" s="274"/>
      <c r="D55" s="273"/>
      <c r="E55" s="273"/>
      <c r="F55" s="273"/>
    </row>
    <row r="56" spans="2:24" ht="13.8" x14ac:dyDescent="0.3">
      <c r="C56" s="274" t="s">
        <v>179</v>
      </c>
      <c r="D56" s="273">
        <f>D54-D52</f>
        <v>296115.38</v>
      </c>
      <c r="E56" s="273">
        <f>E54-E52</f>
        <v>339003.93999999994</v>
      </c>
      <c r="F56" s="273">
        <f>F54-F52</f>
        <v>635119.32000000007</v>
      </c>
    </row>
    <row r="57" spans="2:24" ht="13.8" x14ac:dyDescent="0.3">
      <c r="C57" s="274" t="s">
        <v>180</v>
      </c>
      <c r="D57" s="276">
        <f>D52</f>
        <v>321369.29399999999</v>
      </c>
      <c r="E57" s="276">
        <f>E52</f>
        <v>321369.29399999999</v>
      </c>
      <c r="F57" s="276">
        <f>F52</f>
        <v>642738.58799999999</v>
      </c>
      <c r="G57" s="335">
        <f>F57/(F56+F57)</f>
        <v>0.50298126573866297</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571</v>
      </c>
      <c r="O61" s="286" t="s">
        <v>572</v>
      </c>
      <c r="P61" s="287" t="s">
        <v>573</v>
      </c>
      <c r="Q61" s="287" t="s">
        <v>200</v>
      </c>
      <c r="R61" s="287" t="s">
        <v>201</v>
      </c>
      <c r="S61" s="208" t="s">
        <v>202</v>
      </c>
      <c r="T61" s="208" t="s">
        <v>203</v>
      </c>
      <c r="U61" s="209" t="s">
        <v>204</v>
      </c>
      <c r="V61" s="208" t="s">
        <v>137</v>
      </c>
      <c r="W61" s="208" t="s">
        <v>12</v>
      </c>
      <c r="X61" s="209" t="s">
        <v>138</v>
      </c>
    </row>
    <row r="62" spans="2:24" ht="13.8" x14ac:dyDescent="0.3">
      <c r="B62" s="267"/>
      <c r="C62" s="2560" t="s">
        <v>574</v>
      </c>
      <c r="D62" s="2560">
        <v>149</v>
      </c>
      <c r="E62" s="2560" t="s">
        <v>499</v>
      </c>
      <c r="F62" s="2560"/>
      <c r="G62" s="2561">
        <v>107</v>
      </c>
      <c r="H62" s="2561">
        <v>50</v>
      </c>
      <c r="I62" s="2564">
        <v>4.6816667928166751E-2</v>
      </c>
      <c r="J62" s="2560">
        <v>14</v>
      </c>
      <c r="K62" s="2560" t="s">
        <v>259</v>
      </c>
      <c r="L62" s="3864">
        <v>1.5645457620809962</v>
      </c>
      <c r="M62" s="3864">
        <v>1.061740187921884</v>
      </c>
      <c r="N62" s="2563">
        <v>50952.071236915319</v>
      </c>
      <c r="O62" s="2563">
        <v>82589.44403987554</v>
      </c>
      <c r="P62" s="2563">
        <v>79716.847122964886</v>
      </c>
      <c r="Q62" s="2563">
        <v>87688.531835261369</v>
      </c>
      <c r="R62" s="2562">
        <v>1.081</v>
      </c>
      <c r="S62" s="293">
        <f t="shared" ref="S62:U77" si="10">M12*$H62</f>
        <v>15000</v>
      </c>
      <c r="T62" s="293">
        <f t="shared" si="10"/>
        <v>15000</v>
      </c>
      <c r="U62" s="293">
        <f t="shared" si="10"/>
        <v>30000</v>
      </c>
      <c r="V62" s="338">
        <f>U62/(U62+(I62*F$56))</f>
        <v>0.50222510582691116</v>
      </c>
      <c r="W62" s="338">
        <f t="shared" ref="W62:W80" si="11">(I62*((F$17*1.63)+F$27))/(U62+(I62*F$56))</f>
        <v>9.1432925350385927E-2</v>
      </c>
      <c r="X62" s="338">
        <f>(I62*F$37)/(U62+(I62*F$56))</f>
        <v>3.1350008006249209E-4</v>
      </c>
    </row>
    <row r="63" spans="2:24" ht="13.8" x14ac:dyDescent="0.3">
      <c r="B63" s="296"/>
      <c r="C63" s="2559" t="s">
        <v>575</v>
      </c>
      <c r="D63" s="2559">
        <v>219</v>
      </c>
      <c r="E63" s="2559" t="s">
        <v>499</v>
      </c>
      <c r="F63" s="2559"/>
      <c r="G63" s="2561">
        <v>246</v>
      </c>
      <c r="H63" s="2561">
        <v>100</v>
      </c>
      <c r="I63" s="2564">
        <v>1.1468512613275748E-2</v>
      </c>
      <c r="J63" s="2560">
        <v>14</v>
      </c>
      <c r="K63" s="2560" t="s">
        <v>259</v>
      </c>
      <c r="L63" s="3864">
        <v>1.3076246500898852</v>
      </c>
      <c r="M63" s="3864">
        <v>0.75530252536659537</v>
      </c>
      <c r="N63" s="2563">
        <v>14933.912787434885</v>
      </c>
      <c r="O63" s="2563">
        <v>28439.925738406208</v>
      </c>
      <c r="P63" s="2563">
        <v>19527.952483142402</v>
      </c>
      <c r="Q63" s="2563">
        <v>21480.747731456642</v>
      </c>
      <c r="R63" s="2562">
        <v>1.081</v>
      </c>
      <c r="S63" s="293">
        <f t="shared" si="10"/>
        <v>5000</v>
      </c>
      <c r="T63" s="293">
        <f t="shared" si="10"/>
        <v>5000</v>
      </c>
      <c r="U63" s="293">
        <f t="shared" si="10"/>
        <v>10000</v>
      </c>
      <c r="V63" s="338">
        <f t="shared" ref="V63:V80" si="12">U63/(U63+(I63*F$56))</f>
        <v>0.57857399557168554</v>
      </c>
      <c r="W63" s="338">
        <f t="shared" si="11"/>
        <v>7.7408910844360246E-2</v>
      </c>
      <c r="X63" s="338">
        <f t="shared" ref="X63:X80" si="13">(I63*F$37)/(U63+(I63*F$56))</f>
        <v>2.6541532663708887E-4</v>
      </c>
    </row>
    <row r="64" spans="2:24" ht="13.8" x14ac:dyDescent="0.3">
      <c r="B64" s="296"/>
      <c r="C64" s="2559" t="s">
        <v>576</v>
      </c>
      <c r="D64" s="2559">
        <v>44</v>
      </c>
      <c r="E64" s="2559" t="s">
        <v>499</v>
      </c>
      <c r="F64" s="2559"/>
      <c r="G64" s="2561">
        <v>30</v>
      </c>
      <c r="H64" s="2561">
        <v>50</v>
      </c>
      <c r="I64" s="2564">
        <v>2.8295281895913935E-2</v>
      </c>
      <c r="J64" s="2560">
        <v>22</v>
      </c>
      <c r="K64" s="2560" t="s">
        <v>348</v>
      </c>
      <c r="L64" s="3864">
        <v>0.90711039096365631</v>
      </c>
      <c r="M64" s="3864">
        <v>1.4691230041437253</v>
      </c>
      <c r="N64" s="2563">
        <v>70820.980867743245</v>
      </c>
      <c r="O64" s="2563">
        <v>48101.276889944907</v>
      </c>
      <c r="P64" s="2563">
        <v>64242.447643368199</v>
      </c>
      <c r="Q64" s="2563">
        <v>70666.692407705006</v>
      </c>
      <c r="R64" s="2562">
        <v>1.081</v>
      </c>
      <c r="S64" s="293">
        <f t="shared" si="10"/>
        <v>30700</v>
      </c>
      <c r="T64" s="293">
        <f t="shared" si="10"/>
        <v>30700</v>
      </c>
      <c r="U64" s="293">
        <f t="shared" si="10"/>
        <v>61400</v>
      </c>
      <c r="V64" s="338">
        <f t="shared" si="12"/>
        <v>0.77358345841257603</v>
      </c>
      <c r="W64" s="338">
        <f t="shared" si="11"/>
        <v>4.1588933044616146E-2</v>
      </c>
      <c r="X64" s="338">
        <f t="shared" si="13"/>
        <v>1.4259779821367984E-4</v>
      </c>
    </row>
    <row r="65" spans="2:24" ht="13.8" x14ac:dyDescent="0.3">
      <c r="B65" s="296"/>
      <c r="C65" s="2559" t="s">
        <v>577</v>
      </c>
      <c r="D65" s="2559">
        <v>1.758</v>
      </c>
      <c r="E65" s="2559" t="s">
        <v>578</v>
      </c>
      <c r="F65" s="2559"/>
      <c r="G65" s="2561">
        <v>1.55</v>
      </c>
      <c r="H65" s="2561">
        <v>1</v>
      </c>
      <c r="I65" s="2564">
        <v>5.2819827863974315E-2</v>
      </c>
      <c r="J65" s="2560">
        <v>30</v>
      </c>
      <c r="K65" s="2560" t="s">
        <v>296</v>
      </c>
      <c r="L65" s="3864">
        <v>2.4795467215666802</v>
      </c>
      <c r="M65" s="3864">
        <v>1.9932857996069673</v>
      </c>
      <c r="N65" s="2563">
        <v>79249.785079527705</v>
      </c>
      <c r="O65" s="2563">
        <v>108440.99692041578</v>
      </c>
      <c r="P65" s="2563">
        <v>196503.54477880694</v>
      </c>
      <c r="Q65" s="2563">
        <v>216153.89925668764</v>
      </c>
      <c r="R65" s="2562">
        <v>1.081</v>
      </c>
      <c r="S65" s="293">
        <f t="shared" si="10"/>
        <v>28687</v>
      </c>
      <c r="T65" s="293">
        <f t="shared" si="10"/>
        <v>28687</v>
      </c>
      <c r="U65" s="293">
        <f t="shared" si="10"/>
        <v>57374</v>
      </c>
      <c r="V65" s="338">
        <f t="shared" si="12"/>
        <v>0.63103207644346759</v>
      </c>
      <c r="W65" s="338">
        <f t="shared" si="11"/>
        <v>6.7773238478155404E-2</v>
      </c>
      <c r="X65" s="338">
        <f t="shared" si="13"/>
        <v>2.32377074315127E-4</v>
      </c>
    </row>
    <row r="66" spans="2:24" ht="13.8" x14ac:dyDescent="0.3">
      <c r="B66" s="296"/>
      <c r="C66" s="2559" t="s">
        <v>579</v>
      </c>
      <c r="D66" s="2559">
        <v>1.3180000000000001</v>
      </c>
      <c r="E66" s="2559" t="s">
        <v>578</v>
      </c>
      <c r="F66" s="2559"/>
      <c r="G66" s="2561">
        <v>0.33</v>
      </c>
      <c r="H66" s="2561">
        <v>0.33</v>
      </c>
      <c r="I66" s="2564">
        <v>1.3804109245933731E-3</v>
      </c>
      <c r="J66" s="2560">
        <v>15</v>
      </c>
      <c r="K66" s="2560" t="s">
        <v>580</v>
      </c>
      <c r="L66" s="3864">
        <v>4.1372447013789211</v>
      </c>
      <c r="M66" s="3864">
        <v>4.5509691715168117</v>
      </c>
      <c r="N66" s="2563">
        <v>1294.6081309121141</v>
      </c>
      <c r="O66" s="2563">
        <v>1294.6081309121141</v>
      </c>
      <c r="P66" s="2563">
        <v>5356.1106299782123</v>
      </c>
      <c r="Q66" s="2563">
        <v>5891.7216929760316</v>
      </c>
      <c r="R66" s="2562">
        <v>1.081</v>
      </c>
      <c r="S66" s="293">
        <f t="shared" si="10"/>
        <v>330</v>
      </c>
      <c r="T66" s="293">
        <f t="shared" si="10"/>
        <v>330</v>
      </c>
      <c r="U66" s="293">
        <f t="shared" si="10"/>
        <v>660</v>
      </c>
      <c r="V66" s="338">
        <f t="shared" si="12"/>
        <v>0.42948459991350069</v>
      </c>
      <c r="W66" s="338">
        <f t="shared" si="11"/>
        <v>0.10479414007813692</v>
      </c>
      <c r="X66" s="338">
        <f t="shared" si="13"/>
        <v>3.5931226282740028E-4</v>
      </c>
    </row>
    <row r="67" spans="2:24" ht="13.8" x14ac:dyDescent="0.3">
      <c r="B67" s="296"/>
      <c r="C67" s="2559" t="s">
        <v>581</v>
      </c>
      <c r="D67" s="2559">
        <v>0.85799999999999998</v>
      </c>
      <c r="E67" s="2559" t="s">
        <v>578</v>
      </c>
      <c r="F67" s="2559"/>
      <c r="G67" s="2561">
        <v>0.33</v>
      </c>
      <c r="H67" s="2561">
        <v>0.1</v>
      </c>
      <c r="I67" s="2564">
        <v>8.9862865956078463E-4</v>
      </c>
      <c r="J67" s="2560">
        <v>15</v>
      </c>
      <c r="K67" s="2560" t="s">
        <v>580</v>
      </c>
      <c r="L67" s="3864">
        <v>5.5316417675861151</v>
      </c>
      <c r="M67" s="3864">
        <v>3.6325143578350527</v>
      </c>
      <c r="N67" s="2563">
        <v>630.32911708846279</v>
      </c>
      <c r="O67" s="2563">
        <v>1055.8610319820798</v>
      </c>
      <c r="P67" s="2563">
        <v>3486.7548714122199</v>
      </c>
      <c r="Q67" s="2563">
        <v>3835.4303585534408</v>
      </c>
      <c r="R67" s="2562">
        <v>1.081</v>
      </c>
      <c r="S67" s="293">
        <f t="shared" si="10"/>
        <v>100</v>
      </c>
      <c r="T67" s="293">
        <f t="shared" si="10"/>
        <v>100</v>
      </c>
      <c r="U67" s="293">
        <f t="shared" si="10"/>
        <v>200</v>
      </c>
      <c r="V67" s="338">
        <f t="shared" si="12"/>
        <v>0.25949208313200617</v>
      </c>
      <c r="W67" s="338">
        <f t="shared" si="11"/>
        <v>0.13601892316573466</v>
      </c>
      <c r="X67" s="338">
        <f t="shared" si="13"/>
        <v>4.6637404566310077E-4</v>
      </c>
    </row>
    <row r="68" spans="2:24" ht="13.8" x14ac:dyDescent="0.3">
      <c r="B68" s="296"/>
      <c r="C68" s="2559" t="s">
        <v>582</v>
      </c>
      <c r="D68" s="2559">
        <v>1.3720000000000001</v>
      </c>
      <c r="E68" s="2559" t="s">
        <v>578</v>
      </c>
      <c r="F68" s="2559"/>
      <c r="G68" s="2561">
        <v>1.55</v>
      </c>
      <c r="H68" s="2561">
        <v>0.42</v>
      </c>
      <c r="I68" s="2564">
        <v>5.7478718923887957E-2</v>
      </c>
      <c r="J68" s="2560">
        <v>15</v>
      </c>
      <c r="K68" s="2560" t="s">
        <v>580</v>
      </c>
      <c r="L68" s="3864">
        <v>3.7441267019273328</v>
      </c>
      <c r="M68" s="3864">
        <v>1.7132535700751641</v>
      </c>
      <c r="N68" s="2563">
        <v>59565.898108056135</v>
      </c>
      <c r="O68" s="2563">
        <v>143192.17007845393</v>
      </c>
      <c r="P68" s="2563">
        <v>223022.26963065576</v>
      </c>
      <c r="Q68" s="2563">
        <v>245324.4965937213</v>
      </c>
      <c r="R68" s="2562">
        <v>1.081</v>
      </c>
      <c r="S68" s="293">
        <f t="shared" si="10"/>
        <v>16800</v>
      </c>
      <c r="T68" s="293">
        <f t="shared" si="10"/>
        <v>16800</v>
      </c>
      <c r="U68" s="293">
        <f t="shared" si="10"/>
        <v>33600</v>
      </c>
      <c r="V68" s="338">
        <f t="shared" si="12"/>
        <v>0.47927530234824145</v>
      </c>
      <c r="W68" s="338">
        <f t="shared" si="11"/>
        <v>9.5648420532715425E-2</v>
      </c>
      <c r="X68" s="338">
        <f t="shared" si="13"/>
        <v>3.2795393322423793E-4</v>
      </c>
    </row>
    <row r="69" spans="2:24" ht="13.8" x14ac:dyDescent="0.3">
      <c r="B69" s="296"/>
      <c r="C69" s="2559" t="s">
        <v>583</v>
      </c>
      <c r="D69" s="2559">
        <v>592.04300000000001</v>
      </c>
      <c r="E69" s="2559" t="s">
        <v>207</v>
      </c>
      <c r="F69" s="2559"/>
      <c r="G69" s="2561">
        <v>402</v>
      </c>
      <c r="H69" s="2561">
        <v>300</v>
      </c>
      <c r="I69" s="2564">
        <v>6.2007786421019305E-2</v>
      </c>
      <c r="J69" s="2560">
        <v>15</v>
      </c>
      <c r="K69" s="2560" t="s">
        <v>296</v>
      </c>
      <c r="L69" s="3864">
        <v>1.8866069714091276</v>
      </c>
      <c r="M69" s="3864">
        <v>1.7026518243730437</v>
      </c>
      <c r="N69" s="2563">
        <v>86232.108180000985</v>
      </c>
      <c r="O69" s="2563">
        <v>105103.5235361527</v>
      </c>
      <c r="P69" s="2563">
        <v>162686.09645169592</v>
      </c>
      <c r="Q69" s="2563">
        <v>178954.70609686553</v>
      </c>
      <c r="R69" s="2562">
        <v>1.081</v>
      </c>
      <c r="S69" s="293">
        <f t="shared" si="10"/>
        <v>30000</v>
      </c>
      <c r="T69" s="293">
        <f t="shared" si="10"/>
        <v>30000</v>
      </c>
      <c r="U69" s="293">
        <f t="shared" si="10"/>
        <v>60000</v>
      </c>
      <c r="V69" s="338">
        <f t="shared" si="12"/>
        <v>0.60372897338111842</v>
      </c>
      <c r="W69" s="338">
        <f t="shared" si="11"/>
        <v>7.2788362007598834E-2</v>
      </c>
      <c r="X69" s="338">
        <f t="shared" si="13"/>
        <v>2.495726482506509E-4</v>
      </c>
    </row>
    <row r="70" spans="2:24" ht="13.8" x14ac:dyDescent="0.3">
      <c r="B70" s="296"/>
      <c r="C70" s="2559" t="s">
        <v>584</v>
      </c>
      <c r="D70" s="2559">
        <v>1209</v>
      </c>
      <c r="E70" s="2559" t="s">
        <v>207</v>
      </c>
      <c r="F70" s="2559"/>
      <c r="G70" s="2561">
        <v>402</v>
      </c>
      <c r="H70" s="2561">
        <v>400</v>
      </c>
      <c r="I70" s="2564">
        <v>2.5324989496713021E-2</v>
      </c>
      <c r="J70" s="2560">
        <v>15</v>
      </c>
      <c r="K70" s="2560" t="s">
        <v>296</v>
      </c>
      <c r="L70" s="3864">
        <v>2.4293036990686891</v>
      </c>
      <c r="M70" s="3864">
        <v>2.6650231004860525</v>
      </c>
      <c r="N70" s="2563">
        <v>27350.903240056745</v>
      </c>
      <c r="O70" s="2563">
        <v>27424.908790473026</v>
      </c>
      <c r="P70" s="2563">
        <v>66443.650413939642</v>
      </c>
      <c r="Q70" s="2563">
        <v>73088.015455333618</v>
      </c>
      <c r="R70" s="2562">
        <v>1.081</v>
      </c>
      <c r="S70" s="293">
        <f t="shared" si="10"/>
        <v>8000</v>
      </c>
      <c r="T70" s="293">
        <f t="shared" si="10"/>
        <v>8000</v>
      </c>
      <c r="U70" s="293">
        <f t="shared" si="10"/>
        <v>16000</v>
      </c>
      <c r="V70" s="338">
        <f t="shared" si="12"/>
        <v>0.49868487280146157</v>
      </c>
      <c r="W70" s="338">
        <f t="shared" si="11"/>
        <v>9.2083206965083736E-2</v>
      </c>
      <c r="X70" s="338">
        <f t="shared" si="13"/>
        <v>3.1572972914666703E-4</v>
      </c>
    </row>
    <row r="71" spans="2:24" ht="13.8" x14ac:dyDescent="0.3">
      <c r="B71" s="296"/>
      <c r="C71" s="2559" t="s">
        <v>585</v>
      </c>
      <c r="D71" s="3856">
        <v>49</v>
      </c>
      <c r="E71" s="2559" t="s">
        <v>207</v>
      </c>
      <c r="F71" s="2559"/>
      <c r="G71" s="2561">
        <v>18.03</v>
      </c>
      <c r="H71" s="2561">
        <v>20</v>
      </c>
      <c r="I71" s="2564">
        <v>0.25603690063506873</v>
      </c>
      <c r="J71" s="2560">
        <v>15</v>
      </c>
      <c r="K71" s="2560" t="s">
        <v>208</v>
      </c>
      <c r="L71" s="3864">
        <v>1.4981308717986754</v>
      </c>
      <c r="M71" s="3864">
        <v>1.7501111125331819</v>
      </c>
      <c r="N71" s="2563">
        <v>311485.87714718556</v>
      </c>
      <c r="O71" s="2563">
        <v>293302.10286411433</v>
      </c>
      <c r="P71" s="2563">
        <v>466646.60868348822</v>
      </c>
      <c r="Q71" s="2563">
        <v>513311.26955183689</v>
      </c>
      <c r="R71" s="2562">
        <v>1.081</v>
      </c>
      <c r="S71" s="293">
        <f t="shared" si="10"/>
        <v>99780</v>
      </c>
      <c r="T71" s="293">
        <f t="shared" si="10"/>
        <v>99780</v>
      </c>
      <c r="U71" s="293">
        <f t="shared" si="10"/>
        <v>199560</v>
      </c>
      <c r="V71" s="338">
        <f t="shared" si="12"/>
        <v>0.55100589714733728</v>
      </c>
      <c r="W71" s="338">
        <f t="shared" si="11"/>
        <v>8.2472709591126764E-2</v>
      </c>
      <c r="X71" s="338">
        <f t="shared" si="13"/>
        <v>2.8277779542443314E-4</v>
      </c>
    </row>
    <row r="72" spans="2:24" ht="13.8" x14ac:dyDescent="0.3">
      <c r="B72" s="296"/>
      <c r="C72" s="2559" t="s">
        <v>586</v>
      </c>
      <c r="D72" s="2559">
        <v>7.0080000000000003E-2</v>
      </c>
      <c r="E72" s="2559" t="s">
        <v>587</v>
      </c>
      <c r="F72" s="2559"/>
      <c r="G72" s="2565">
        <v>1.4999999999999999E-2</v>
      </c>
      <c r="H72" s="2565">
        <v>1.4999999999999999E-2</v>
      </c>
      <c r="I72" s="2564">
        <v>0.14955982706137871</v>
      </c>
      <c r="J72" s="2560">
        <v>12</v>
      </c>
      <c r="K72" s="2560" t="s">
        <v>588</v>
      </c>
      <c r="L72" s="3864">
        <v>1.7848649702746482</v>
      </c>
      <c r="M72" s="3864">
        <v>1.9633514673021129</v>
      </c>
      <c r="N72" s="2563">
        <v>130663.14713952599</v>
      </c>
      <c r="O72" s="2563">
        <v>130663.14713952599</v>
      </c>
      <c r="P72" s="2563">
        <v>233216.07423518202</v>
      </c>
      <c r="Q72" s="2563">
        <v>256537.68165870022</v>
      </c>
      <c r="R72" s="2562">
        <v>1.081</v>
      </c>
      <c r="S72" s="293">
        <f t="shared" si="10"/>
        <v>30564.629999999997</v>
      </c>
      <c r="T72" s="293">
        <f t="shared" si="10"/>
        <v>30564.629999999997</v>
      </c>
      <c r="U72" s="293">
        <f t="shared" si="10"/>
        <v>61129.259999999995</v>
      </c>
      <c r="V72" s="338">
        <f t="shared" si="12"/>
        <v>0.39155906636004911</v>
      </c>
      <c r="W72" s="338">
        <f t="shared" si="11"/>
        <v>0.11176042648361502</v>
      </c>
      <c r="X72" s="338">
        <f t="shared" si="13"/>
        <v>3.8319787446551031E-4</v>
      </c>
    </row>
    <row r="73" spans="2:24" ht="13.8" x14ac:dyDescent="0.3">
      <c r="B73" s="296"/>
      <c r="C73" s="2559" t="s">
        <v>589</v>
      </c>
      <c r="D73" s="2559">
        <v>379</v>
      </c>
      <c r="E73" s="2559" t="s">
        <v>590</v>
      </c>
      <c r="F73" s="2559"/>
      <c r="G73" s="2561">
        <v>70</v>
      </c>
      <c r="H73" s="2561">
        <v>70</v>
      </c>
      <c r="I73" s="2564">
        <v>1.1908400768305502E-2</v>
      </c>
      <c r="J73" s="2560">
        <v>12</v>
      </c>
      <c r="K73" s="2560" t="s">
        <v>588</v>
      </c>
      <c r="L73" s="3864">
        <v>1.8974472321155298</v>
      </c>
      <c r="M73" s="3864">
        <v>2.0871919553270826</v>
      </c>
      <c r="N73" s="2563">
        <v>9786.4968638862665</v>
      </c>
      <c r="O73" s="2563">
        <v>9786.4968638862665</v>
      </c>
      <c r="P73" s="2563">
        <v>18569.361386488308</v>
      </c>
      <c r="Q73" s="2563">
        <v>20426.297525137139</v>
      </c>
      <c r="R73" s="2562">
        <v>1.081</v>
      </c>
      <c r="S73" s="293">
        <f t="shared" si="10"/>
        <v>2100</v>
      </c>
      <c r="T73" s="293">
        <f t="shared" si="10"/>
        <v>2100</v>
      </c>
      <c r="U73" s="293">
        <f t="shared" si="10"/>
        <v>4200</v>
      </c>
      <c r="V73" s="338">
        <f t="shared" si="12"/>
        <v>0.35704402036731403</v>
      </c>
      <c r="W73" s="338">
        <f t="shared" si="11"/>
        <v>0.1181002633469453</v>
      </c>
      <c r="X73" s="338">
        <f t="shared" si="13"/>
        <v>4.0493555109152456E-4</v>
      </c>
    </row>
    <row r="74" spans="2:24" ht="13.8" x14ac:dyDescent="0.3">
      <c r="B74" s="296"/>
      <c r="C74" s="2559" t="s">
        <v>591</v>
      </c>
      <c r="D74" s="2559">
        <v>203</v>
      </c>
      <c r="E74" s="2559" t="s">
        <v>590</v>
      </c>
      <c r="F74" s="2559"/>
      <c r="G74" s="2561">
        <v>70</v>
      </c>
      <c r="H74" s="2561">
        <v>70</v>
      </c>
      <c r="I74" s="2564">
        <v>2.0836035609909383E-2</v>
      </c>
      <c r="J74" s="2560">
        <v>12</v>
      </c>
      <c r="K74" s="2560" t="s">
        <v>588</v>
      </c>
      <c r="L74" s="3864">
        <v>1.411579291595797</v>
      </c>
      <c r="M74" s="3864">
        <v>1.5527372207553767</v>
      </c>
      <c r="N74" s="2563">
        <v>23017.244909683759</v>
      </c>
      <c r="O74" s="2563">
        <v>23017.244909683759</v>
      </c>
      <c r="P74" s="2563">
        <v>32490.666264098363</v>
      </c>
      <c r="Q74" s="2563">
        <v>35739.732890508203</v>
      </c>
      <c r="R74" s="2562">
        <v>1.081</v>
      </c>
      <c r="S74" s="293">
        <f t="shared" si="10"/>
        <v>6860</v>
      </c>
      <c r="T74" s="293">
        <f t="shared" si="10"/>
        <v>6860</v>
      </c>
      <c r="U74" s="293">
        <f t="shared" si="10"/>
        <v>13720</v>
      </c>
      <c r="V74" s="338">
        <f t="shared" si="12"/>
        <v>0.50902728033972522</v>
      </c>
      <c r="W74" s="338">
        <f t="shared" si="11"/>
        <v>9.0183479623550708E-2</v>
      </c>
      <c r="X74" s="338">
        <f t="shared" si="13"/>
        <v>3.092160507164385E-4</v>
      </c>
    </row>
    <row r="75" spans="2:24" ht="13.8" x14ac:dyDescent="0.3">
      <c r="B75" s="296"/>
      <c r="C75" s="2559" t="s">
        <v>592</v>
      </c>
      <c r="D75" s="2559">
        <v>1.7520000000000001E-2</v>
      </c>
      <c r="E75" s="2559" t="s">
        <v>587</v>
      </c>
      <c r="F75" s="2559"/>
      <c r="G75" s="2565">
        <v>1.4999999999999999E-2</v>
      </c>
      <c r="H75" s="2565">
        <v>3.0000000000000001E-3</v>
      </c>
      <c r="I75" s="2564">
        <v>0.15837351662683247</v>
      </c>
      <c r="J75" s="2560">
        <v>12</v>
      </c>
      <c r="K75" s="2560" t="s">
        <v>588</v>
      </c>
      <c r="L75" s="3864">
        <v>1.9539962997905296</v>
      </c>
      <c r="M75" s="3864">
        <v>0.85424411922020371</v>
      </c>
      <c r="N75" s="2563">
        <v>126386.98374452969</v>
      </c>
      <c r="O75" s="2563">
        <v>318007.06885091262</v>
      </c>
      <c r="P75" s="2563">
        <v>246959.69857849681</v>
      </c>
      <c r="Q75" s="2563">
        <v>271655.66843634652</v>
      </c>
      <c r="R75" s="2562">
        <v>1.081</v>
      </c>
      <c r="S75" s="293">
        <f t="shared" si="10"/>
        <v>25892.664000000001</v>
      </c>
      <c r="T75" s="293">
        <f t="shared" si="10"/>
        <v>25892.664000000001</v>
      </c>
      <c r="U75" s="293">
        <f t="shared" si="10"/>
        <v>51785.328000000001</v>
      </c>
      <c r="V75" s="338">
        <f t="shared" si="12"/>
        <v>0.33986250187286526</v>
      </c>
      <c r="W75" s="338">
        <f t="shared" si="11"/>
        <v>0.12125622102238996</v>
      </c>
      <c r="X75" s="338">
        <f t="shared" si="13"/>
        <v>4.1575652154756353E-4</v>
      </c>
    </row>
    <row r="76" spans="2:24" ht="13.8" x14ac:dyDescent="0.3">
      <c r="B76" s="296"/>
      <c r="C76" s="2559" t="s">
        <v>593</v>
      </c>
      <c r="D76" s="2559">
        <v>373</v>
      </c>
      <c r="E76" s="2559" t="s">
        <v>207</v>
      </c>
      <c r="F76" s="2559"/>
      <c r="G76" s="2561">
        <v>458</v>
      </c>
      <c r="H76" s="2561">
        <v>183</v>
      </c>
      <c r="I76" s="2564">
        <v>3.9066257577642503E-2</v>
      </c>
      <c r="J76" s="2560">
        <v>30</v>
      </c>
      <c r="K76" s="2560" t="s">
        <v>259</v>
      </c>
      <c r="L76" s="3864">
        <v>1.8874720707197474</v>
      </c>
      <c r="M76" s="3864">
        <v>1.0614256927384336</v>
      </c>
      <c r="N76" s="2563">
        <v>53216.814946079707</v>
      </c>
      <c r="O76" s="2563">
        <v>104095.63085727305</v>
      </c>
      <c r="P76" s="2563">
        <v>100445.25190338667</v>
      </c>
      <c r="Q76" s="2563">
        <v>110489.77709372531</v>
      </c>
      <c r="R76" s="2562">
        <v>1.081</v>
      </c>
      <c r="S76" s="293">
        <f t="shared" si="10"/>
        <v>18300</v>
      </c>
      <c r="T76" s="293">
        <f t="shared" si="10"/>
        <v>18300</v>
      </c>
      <c r="U76" s="293">
        <f t="shared" si="10"/>
        <v>36600</v>
      </c>
      <c r="V76" s="338">
        <f t="shared" si="12"/>
        <v>0.59597730028625873</v>
      </c>
      <c r="W76" s="338">
        <f t="shared" si="11"/>
        <v>7.4212214748505548E-2</v>
      </c>
      <c r="X76" s="338">
        <f t="shared" si="13"/>
        <v>2.5445467457279756E-4</v>
      </c>
    </row>
    <row r="77" spans="2:24" ht="13.8" x14ac:dyDescent="0.3">
      <c r="B77" s="296"/>
      <c r="C77" s="2559" t="s">
        <v>594</v>
      </c>
      <c r="D77" s="2559">
        <v>114</v>
      </c>
      <c r="E77" s="2559" t="s">
        <v>499</v>
      </c>
      <c r="F77" s="2559"/>
      <c r="G77" s="2561">
        <v>10</v>
      </c>
      <c r="H77" s="2561">
        <v>5</v>
      </c>
      <c r="I77" s="2564">
        <v>7.7728236993757652E-2</v>
      </c>
      <c r="J77" s="2560">
        <v>6</v>
      </c>
      <c r="K77" s="2560" t="s">
        <v>259</v>
      </c>
      <c r="L77" s="3864">
        <v>1.5432875091151934</v>
      </c>
      <c r="M77" s="3864">
        <v>1.4954236411963686</v>
      </c>
      <c r="N77" s="2563">
        <v>44540.412969458732</v>
      </c>
      <c r="O77" s="2563">
        <v>50562.614634583617</v>
      </c>
      <c r="P77" s="2563">
        <v>68738.662986598021</v>
      </c>
      <c r="Q77" s="2563">
        <v>75612.529285257828</v>
      </c>
      <c r="R77" s="2562">
        <v>1.081</v>
      </c>
      <c r="S77" s="293">
        <f t="shared" si="10"/>
        <v>3255</v>
      </c>
      <c r="T77" s="293">
        <f t="shared" si="10"/>
        <v>3255</v>
      </c>
      <c r="U77" s="293">
        <f t="shared" si="10"/>
        <v>6510</v>
      </c>
      <c r="V77" s="338">
        <f t="shared" si="12"/>
        <v>0.11650651192069926</v>
      </c>
      <c r="W77" s="338">
        <f t="shared" si="11"/>
        <v>0.16228298190349755</v>
      </c>
      <c r="X77" s="338">
        <f t="shared" si="13"/>
        <v>5.5642677541555539E-4</v>
      </c>
    </row>
    <row r="78" spans="2:24" ht="13.8" x14ac:dyDescent="0.3">
      <c r="B78" s="296"/>
      <c r="C78" s="296" t="s">
        <v>226</v>
      </c>
      <c r="D78" s="296">
        <v>0</v>
      </c>
      <c r="E78" s="296" t="s">
        <v>206</v>
      </c>
      <c r="F78" s="296" t="s">
        <v>211</v>
      </c>
      <c r="G78" s="297"/>
      <c r="H78" s="297"/>
      <c r="I78" s="326">
        <v>0</v>
      </c>
      <c r="J78" s="267"/>
      <c r="K78" s="267"/>
      <c r="L78" s="3865" t="e">
        <f t="shared" ref="L78:M103" si="14">P78/N78</f>
        <v>#DIV/0!</v>
      </c>
      <c r="M78" s="3865" t="e">
        <f t="shared" si="14"/>
        <v>#DIV/0!</v>
      </c>
      <c r="N78" s="218">
        <f t="shared" ref="N78:N103" si="15">(($I78*$F$56)+$U78)/$R78</f>
        <v>0</v>
      </c>
      <c r="O78" s="218">
        <f t="shared" ref="O78:O103" si="16">(($I78*$F$56)+($G78*$O28))/$R78</f>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ht="13.8" x14ac:dyDescent="0.3">
      <c r="B79" s="296"/>
      <c r="C79" s="296" t="s">
        <v>227</v>
      </c>
      <c r="D79" s="296">
        <v>0</v>
      </c>
      <c r="E79" s="296" t="s">
        <v>206</v>
      </c>
      <c r="F79" s="296" t="s">
        <v>211</v>
      </c>
      <c r="G79" s="297"/>
      <c r="H79" s="297"/>
      <c r="I79" s="326">
        <v>0</v>
      </c>
      <c r="J79" s="267"/>
      <c r="K79" s="267"/>
      <c r="L79" s="3865" t="e">
        <f t="shared" si="14"/>
        <v>#DIV/0!</v>
      </c>
      <c r="M79" s="3865" t="e">
        <f t="shared" si="14"/>
        <v>#DIV/0!</v>
      </c>
      <c r="N79" s="218">
        <f t="shared" si="15"/>
        <v>0</v>
      </c>
      <c r="O79" s="218">
        <f t="shared" si="16"/>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ht="13.8" x14ac:dyDescent="0.3">
      <c r="B80" s="296"/>
      <c r="C80" s="296" t="s">
        <v>228</v>
      </c>
      <c r="D80" s="296">
        <v>0</v>
      </c>
      <c r="E80" s="296" t="s">
        <v>206</v>
      </c>
      <c r="F80" s="296" t="s">
        <v>211</v>
      </c>
      <c r="G80" s="297"/>
      <c r="H80" s="297"/>
      <c r="I80" s="326">
        <v>0</v>
      </c>
      <c r="J80" s="267"/>
      <c r="K80" s="267"/>
      <c r="L80" s="3865" t="e">
        <f t="shared" si="14"/>
        <v>#DIV/0!</v>
      </c>
      <c r="M80" s="3865" t="e">
        <f t="shared" si="14"/>
        <v>#DIV/0!</v>
      </c>
      <c r="N80" s="218">
        <f t="shared" si="15"/>
        <v>0</v>
      </c>
      <c r="O80" s="218">
        <f t="shared" si="16"/>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ht="13.8" x14ac:dyDescent="0.3">
      <c r="B81" s="296"/>
      <c r="C81" s="296" t="s">
        <v>229</v>
      </c>
      <c r="D81" s="296">
        <v>0</v>
      </c>
      <c r="E81" s="296" t="s">
        <v>206</v>
      </c>
      <c r="F81" s="296" t="s">
        <v>211</v>
      </c>
      <c r="G81" s="297"/>
      <c r="H81" s="297"/>
      <c r="I81" s="326">
        <v>0</v>
      </c>
      <c r="J81" s="267"/>
      <c r="K81" s="267"/>
      <c r="L81" s="3865" t="e">
        <f t="shared" si="14"/>
        <v>#DIV/0!</v>
      </c>
      <c r="M81" s="3865" t="e">
        <f t="shared" si="14"/>
        <v>#DIV/0!</v>
      </c>
      <c r="N81" s="218">
        <f t="shared" si="15"/>
        <v>0</v>
      </c>
      <c r="O81" s="218">
        <f t="shared" si="16"/>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326">
        <v>0</v>
      </c>
      <c r="J82" s="267"/>
      <c r="K82" s="267"/>
      <c r="L82" s="3865" t="e">
        <f t="shared" si="14"/>
        <v>#DIV/0!</v>
      </c>
      <c r="M82" s="3865" t="e">
        <f t="shared" si="14"/>
        <v>#DIV/0!</v>
      </c>
      <c r="N82" s="218">
        <f t="shared" si="15"/>
        <v>0</v>
      </c>
      <c r="O82" s="218">
        <f t="shared" si="16"/>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326">
        <v>0</v>
      </c>
      <c r="J83" s="267"/>
      <c r="K83" s="267"/>
      <c r="L83" s="3865" t="e">
        <f t="shared" si="14"/>
        <v>#DIV/0!</v>
      </c>
      <c r="M83" s="3865" t="e">
        <f t="shared" si="14"/>
        <v>#DIV/0!</v>
      </c>
      <c r="N83" s="218">
        <f t="shared" si="15"/>
        <v>0</v>
      </c>
      <c r="O83" s="218">
        <f t="shared" si="16"/>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326">
        <v>0</v>
      </c>
      <c r="J84" s="267"/>
      <c r="K84" s="267"/>
      <c r="L84" s="3865" t="e">
        <f t="shared" si="14"/>
        <v>#DIV/0!</v>
      </c>
      <c r="M84" s="3865" t="e">
        <f t="shared" si="14"/>
        <v>#DIV/0!</v>
      </c>
      <c r="N84" s="218">
        <f t="shared" si="15"/>
        <v>0</v>
      </c>
      <c r="O84" s="218">
        <f t="shared" si="16"/>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326">
        <v>0</v>
      </c>
      <c r="J85" s="267"/>
      <c r="K85" s="267"/>
      <c r="L85" s="3865" t="e">
        <f t="shared" si="14"/>
        <v>#DIV/0!</v>
      </c>
      <c r="M85" s="3865" t="e">
        <f t="shared" si="14"/>
        <v>#DIV/0!</v>
      </c>
      <c r="N85" s="218">
        <f t="shared" si="15"/>
        <v>0</v>
      </c>
      <c r="O85" s="218">
        <f t="shared" si="16"/>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326">
        <v>0</v>
      </c>
      <c r="J86" s="267"/>
      <c r="K86" s="267"/>
      <c r="L86" s="3865" t="e">
        <f t="shared" si="14"/>
        <v>#DIV/0!</v>
      </c>
      <c r="M86" s="3865" t="e">
        <f t="shared" si="14"/>
        <v>#DIV/0!</v>
      </c>
      <c r="N86" s="218">
        <f t="shared" si="15"/>
        <v>0</v>
      </c>
      <c r="O86" s="218">
        <f t="shared" si="16"/>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326">
        <v>0</v>
      </c>
      <c r="J87" s="267"/>
      <c r="K87" s="267"/>
      <c r="L87" s="3865" t="e">
        <f t="shared" si="14"/>
        <v>#DIV/0!</v>
      </c>
      <c r="M87" s="3865" t="e">
        <f t="shared" si="14"/>
        <v>#DIV/0!</v>
      </c>
      <c r="N87" s="218">
        <f t="shared" si="15"/>
        <v>0</v>
      </c>
      <c r="O87" s="218">
        <f t="shared" si="16"/>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326">
        <v>0</v>
      </c>
      <c r="J88" s="267"/>
      <c r="K88" s="267"/>
      <c r="L88" s="3865" t="e">
        <f t="shared" si="14"/>
        <v>#DIV/0!</v>
      </c>
      <c r="M88" s="3865" t="e">
        <f t="shared" si="14"/>
        <v>#DIV/0!</v>
      </c>
      <c r="N88" s="218">
        <f t="shared" si="15"/>
        <v>0</v>
      </c>
      <c r="O88" s="218">
        <f t="shared" si="16"/>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326">
        <v>0</v>
      </c>
      <c r="J89" s="267"/>
      <c r="K89" s="267"/>
      <c r="L89" s="3865" t="e">
        <f t="shared" si="14"/>
        <v>#DIV/0!</v>
      </c>
      <c r="M89" s="3865" t="e">
        <f t="shared" si="14"/>
        <v>#DIV/0!</v>
      </c>
      <c r="N89" s="218">
        <f t="shared" si="15"/>
        <v>0</v>
      </c>
      <c r="O89" s="218">
        <f t="shared" si="16"/>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326">
        <v>0</v>
      </c>
      <c r="J90" s="267"/>
      <c r="K90" s="267"/>
      <c r="L90" s="3865" t="e">
        <f t="shared" si="14"/>
        <v>#DIV/0!</v>
      </c>
      <c r="M90" s="3865" t="e">
        <f t="shared" si="14"/>
        <v>#DIV/0!</v>
      </c>
      <c r="N90" s="218">
        <f t="shared" si="15"/>
        <v>0</v>
      </c>
      <c r="O90" s="218">
        <f t="shared" si="16"/>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326">
        <v>0</v>
      </c>
      <c r="J91" s="267"/>
      <c r="K91" s="267"/>
      <c r="L91" s="3865" t="e">
        <f t="shared" si="14"/>
        <v>#DIV/0!</v>
      </c>
      <c r="M91" s="3865" t="e">
        <f t="shared" si="14"/>
        <v>#DIV/0!</v>
      </c>
      <c r="N91" s="218">
        <f t="shared" si="15"/>
        <v>0</v>
      </c>
      <c r="O91" s="218">
        <f t="shared" si="16"/>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326">
        <v>0</v>
      </c>
      <c r="J92" s="267"/>
      <c r="K92" s="267"/>
      <c r="L92" s="3865" t="e">
        <f t="shared" si="14"/>
        <v>#DIV/0!</v>
      </c>
      <c r="M92" s="3865" t="e">
        <f t="shared" si="14"/>
        <v>#DIV/0!</v>
      </c>
      <c r="N92" s="218">
        <f t="shared" si="15"/>
        <v>0</v>
      </c>
      <c r="O92" s="218">
        <f t="shared" si="16"/>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326">
        <v>0</v>
      </c>
      <c r="J93" s="267"/>
      <c r="K93" s="267"/>
      <c r="L93" s="3865" t="e">
        <f t="shared" si="14"/>
        <v>#DIV/0!</v>
      </c>
      <c r="M93" s="3865" t="e">
        <f t="shared" si="14"/>
        <v>#DIV/0!</v>
      </c>
      <c r="N93" s="218">
        <f t="shared" si="15"/>
        <v>0</v>
      </c>
      <c r="O93" s="218">
        <f t="shared" si="16"/>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326">
        <v>0</v>
      </c>
      <c r="J94" s="267"/>
      <c r="K94" s="267"/>
      <c r="L94" s="3865" t="e">
        <f t="shared" si="14"/>
        <v>#DIV/0!</v>
      </c>
      <c r="M94" s="3865" t="e">
        <f t="shared" si="14"/>
        <v>#DIV/0!</v>
      </c>
      <c r="N94" s="218">
        <f t="shared" si="15"/>
        <v>0</v>
      </c>
      <c r="O94" s="218">
        <f t="shared" si="16"/>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326">
        <v>0</v>
      </c>
      <c r="J95" s="267"/>
      <c r="K95" s="267"/>
      <c r="L95" s="3865" t="e">
        <f t="shared" si="14"/>
        <v>#DIV/0!</v>
      </c>
      <c r="M95" s="3865" t="e">
        <f t="shared" si="14"/>
        <v>#DIV/0!</v>
      </c>
      <c r="N95" s="218">
        <f t="shared" si="15"/>
        <v>0</v>
      </c>
      <c r="O95" s="218">
        <f t="shared" si="16"/>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326">
        <v>0</v>
      </c>
      <c r="J96" s="267"/>
      <c r="K96" s="267"/>
      <c r="L96" s="3865" t="e">
        <f t="shared" si="14"/>
        <v>#DIV/0!</v>
      </c>
      <c r="M96" s="3865" t="e">
        <f t="shared" si="14"/>
        <v>#DIV/0!</v>
      </c>
      <c r="N96" s="218">
        <f t="shared" si="15"/>
        <v>0</v>
      </c>
      <c r="O96" s="218">
        <f t="shared" si="16"/>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326">
        <v>0</v>
      </c>
      <c r="J97" s="267"/>
      <c r="K97" s="267"/>
      <c r="L97" s="3865" t="e">
        <f t="shared" si="14"/>
        <v>#DIV/0!</v>
      </c>
      <c r="M97" s="3865" t="e">
        <f t="shared" si="14"/>
        <v>#DIV/0!</v>
      </c>
      <c r="N97" s="218">
        <f t="shared" si="15"/>
        <v>0</v>
      </c>
      <c r="O97" s="218">
        <f t="shared" si="16"/>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3865" t="e">
        <f t="shared" si="14"/>
        <v>#DIV/0!</v>
      </c>
      <c r="M98" s="3865" t="e">
        <f t="shared" si="14"/>
        <v>#DIV/0!</v>
      </c>
      <c r="N98" s="218">
        <f t="shared" si="15"/>
        <v>0</v>
      </c>
      <c r="O98" s="218">
        <f t="shared" si="16"/>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3865" t="e">
        <f t="shared" si="14"/>
        <v>#DIV/0!</v>
      </c>
      <c r="M99" s="3865" t="e">
        <f t="shared" si="14"/>
        <v>#DIV/0!</v>
      </c>
      <c r="N99" s="218">
        <f t="shared" si="15"/>
        <v>0</v>
      </c>
      <c r="O99" s="218">
        <f t="shared" si="16"/>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3865" t="e">
        <f t="shared" si="14"/>
        <v>#DIV/0!</v>
      </c>
      <c r="M100" s="3865" t="e">
        <f t="shared" si="14"/>
        <v>#DIV/0!</v>
      </c>
      <c r="N100" s="218">
        <f t="shared" si="15"/>
        <v>0</v>
      </c>
      <c r="O100" s="218">
        <f t="shared" si="16"/>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3865" t="e">
        <f t="shared" si="14"/>
        <v>#DIV/0!</v>
      </c>
      <c r="M101" s="3865" t="e">
        <f t="shared" si="14"/>
        <v>#DIV/0!</v>
      </c>
      <c r="N101" s="218">
        <f t="shared" si="15"/>
        <v>0</v>
      </c>
      <c r="O101" s="218">
        <f t="shared" si="16"/>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3865" t="e">
        <f t="shared" si="14"/>
        <v>#DIV/0!</v>
      </c>
      <c r="M102" s="3865" t="e">
        <f t="shared" si="14"/>
        <v>#DIV/0!</v>
      </c>
      <c r="N102" s="218">
        <f t="shared" si="15"/>
        <v>0</v>
      </c>
      <c r="O102" s="218">
        <f t="shared" si="16"/>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3865" t="e">
        <f t="shared" si="14"/>
        <v>#DIV/0!</v>
      </c>
      <c r="M103" s="3865" t="e">
        <f t="shared" si="14"/>
        <v>#DIV/0!</v>
      </c>
      <c r="N103" s="218">
        <f t="shared" si="15"/>
        <v>0</v>
      </c>
      <c r="O103" s="218">
        <f t="shared" si="16"/>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1058868.94</v>
      </c>
      <c r="H104" s="301">
        <f>U104</f>
        <v>642738.58799999999</v>
      </c>
      <c r="I104" s="302">
        <f>SUM(I62:I103)</f>
        <v>1</v>
      </c>
      <c r="J104" s="303">
        <f>ROUND(SUMPRODUCT(J62:J103,R12:R53)/R54,0)</f>
        <v>15</v>
      </c>
      <c r="K104" s="274"/>
      <c r="L104" s="304">
        <f>P104/N104</f>
        <v>1.8236874698209053</v>
      </c>
      <c r="M104" s="305">
        <f>Q104/O104</f>
        <v>1.4825376345280403</v>
      </c>
      <c r="N104" s="306">
        <f>SUM(N62:N103)</f>
        <v>1090127.5744680851</v>
      </c>
      <c r="O104" s="306">
        <f>SUM(O62:O103)</f>
        <v>1475077.021276596</v>
      </c>
      <c r="P104" s="306">
        <f>SUM(P62:P103)</f>
        <v>1988051.9980637026</v>
      </c>
      <c r="Q104" s="306">
        <f>SUM(Q62:Q103)</f>
        <v>2186857.1978700724</v>
      </c>
      <c r="R104" s="307"/>
      <c r="S104" s="308">
        <f>SUM(S62:S103)</f>
        <v>321369.29399999999</v>
      </c>
      <c r="T104" s="308">
        <f>SUM(T62:T103)</f>
        <v>321369.29399999999</v>
      </c>
      <c r="U104" s="308">
        <f>SUM(U62:U103)</f>
        <v>642738.58799999999</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17" top="0.35" bottom="0.31" header="0.3" footer="0.3"/>
  <pageSetup paperSize="17" scale="53"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1" sqref="C1"/>
    </sheetView>
  </sheetViews>
  <sheetFormatPr defaultRowHeight="13.2" x14ac:dyDescent="0.25"/>
  <cols>
    <col min="1" max="1" width="15.33203125" style="3369" customWidth="1"/>
    <col min="2" max="2" width="19.33203125" customWidth="1"/>
    <col min="3" max="3" width="35.109375" customWidth="1"/>
    <col min="4" max="4" width="13.33203125" style="19" customWidth="1"/>
    <col min="5" max="5" width="13.33203125" customWidth="1"/>
    <col min="6" max="6" width="16.332031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1.4414062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1.4414062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1.4414062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1.4414062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1.4414062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1.4414062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1.4414062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1.4414062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1.4414062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1.4414062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1.4414062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1.4414062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1.4414062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1.4414062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1.4414062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1.4414062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1.4414062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1.4414062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1.4414062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1.4414062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1.4414062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1.4414062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1.4414062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1.4414062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1.4414062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1.4414062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1.4414062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1.4414062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1.4414062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1.4414062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1.4414062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1.4414062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1.4414062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1.4414062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1.4414062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1.4414062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1.4414062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1.4414062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1.4414062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1.4414062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1.4414062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1.4414062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1.4414062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1.4414062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1.4414062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1.4414062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1.4414062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1.4414062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1.4414062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1.4414062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1.4414062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1.4414062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1.4414062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1.4414062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1.4414062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1.4414062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1.4414062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1.4414062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1.4414062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1.4414062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1.4414062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1.4414062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1.4414062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 customHeight="1" thickBot="1" x14ac:dyDescent="0.35">
      <c r="B1" s="3881"/>
      <c r="F1" s="202"/>
      <c r="G1" s="202">
        <f>C3</f>
        <v>18230629</v>
      </c>
      <c r="H1" s="202" t="str">
        <f>C4</f>
        <v>SF Existing Pilots - Electric</v>
      </c>
      <c r="I1" s="202"/>
    </row>
    <row r="2" spans="2:22" ht="16.2" thickBot="1" x14ac:dyDescent="0.35">
      <c r="B2" s="202" t="s">
        <v>131</v>
      </c>
      <c r="C2" s="203" t="s">
        <v>602</v>
      </c>
      <c r="G2" s="204" t="s">
        <v>8</v>
      </c>
      <c r="Q2" s="4765"/>
      <c r="R2" s="4765"/>
      <c r="S2" s="4762" t="s">
        <v>132</v>
      </c>
      <c r="T2" s="4763"/>
      <c r="U2" s="4764"/>
      <c r="V2" s="4766" t="s">
        <v>133</v>
      </c>
    </row>
    <row r="3" spans="2:22" ht="16.2" thickBot="1" x14ac:dyDescent="0.35">
      <c r="B3" s="203" t="s">
        <v>6</v>
      </c>
      <c r="C3" s="203">
        <v>18230629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606</v>
      </c>
      <c r="F4" s="202">
        <v>2011</v>
      </c>
      <c r="G4" s="210">
        <f>B12</f>
        <v>19601</v>
      </c>
      <c r="H4" s="211">
        <f>B17</f>
        <v>2306</v>
      </c>
      <c r="I4" s="211">
        <f>B22</f>
        <v>13802</v>
      </c>
      <c r="J4" s="211">
        <f>B27</f>
        <v>22000</v>
      </c>
      <c r="K4" s="211">
        <f>B32</f>
        <v>1200</v>
      </c>
      <c r="L4" s="211">
        <f>B37</f>
        <v>18000</v>
      </c>
      <c r="M4" s="211">
        <f>B42</f>
        <v>1200</v>
      </c>
      <c r="N4" s="211">
        <f>B47</f>
        <v>4200</v>
      </c>
      <c r="O4" s="211">
        <f>B52</f>
        <v>144715</v>
      </c>
      <c r="P4" s="211">
        <f>B53</f>
        <v>0</v>
      </c>
      <c r="Q4" s="213">
        <f>B54</f>
        <v>227024</v>
      </c>
      <c r="R4" s="214">
        <f>T54</f>
        <v>757613</v>
      </c>
      <c r="S4" s="331">
        <f>O4/Q4</f>
        <v>0.63744361829586305</v>
      </c>
      <c r="T4" s="331">
        <f>(J4+(H4*1.63))/Q4</f>
        <v>0.11346280569455211</v>
      </c>
      <c r="U4" s="331">
        <f>L4/Q4</f>
        <v>7.9286771442666854E-2</v>
      </c>
      <c r="V4" s="216">
        <f>Q4/R4</f>
        <v>0.29965694886439381</v>
      </c>
    </row>
    <row r="5" spans="2:22" ht="16.2" thickBot="1" x14ac:dyDescent="0.35">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220">
        <f>P54</f>
        <v>0</v>
      </c>
      <c r="S5" s="332" t="e">
        <f>O5/Q5</f>
        <v>#DIV/0!</v>
      </c>
      <c r="T5" s="332" t="e">
        <f>(J5+(H5*1.63))/Q5</f>
        <v>#DIV/0!</v>
      </c>
      <c r="U5" s="332" t="e">
        <f>L5/Q5</f>
        <v>#DIV/0!</v>
      </c>
      <c r="V5" s="222" t="e">
        <f>Q5/R5</f>
        <v>#DIV/0!</v>
      </c>
    </row>
    <row r="6" spans="2:22" ht="16.2" thickBot="1" x14ac:dyDescent="0.35">
      <c r="C6" s="202" t="s">
        <v>607</v>
      </c>
      <c r="F6" s="202">
        <v>2013</v>
      </c>
      <c r="G6" s="223">
        <f>E12</f>
        <v>0</v>
      </c>
      <c r="H6" s="224">
        <f>E17</f>
        <v>0</v>
      </c>
      <c r="I6" s="224">
        <f>E22</f>
        <v>0</v>
      </c>
      <c r="J6" s="224">
        <f>E27</f>
        <v>0</v>
      </c>
      <c r="K6" s="224">
        <f>E32</f>
        <v>0</v>
      </c>
      <c r="L6" s="224">
        <f>E37</f>
        <v>0</v>
      </c>
      <c r="M6" s="224">
        <f>E42</f>
        <v>0</v>
      </c>
      <c r="N6" s="224">
        <f>E47</f>
        <v>0</v>
      </c>
      <c r="O6" s="224">
        <f>E52</f>
        <v>0</v>
      </c>
      <c r="P6" s="224">
        <f>E53</f>
        <v>0</v>
      </c>
      <c r="Q6" s="225">
        <f>SUM(G6:P6)</f>
        <v>0</v>
      </c>
      <c r="R6" s="226">
        <f>Q54</f>
        <v>0</v>
      </c>
      <c r="S6" s="332" t="e">
        <f>O6/Q6</f>
        <v>#DIV/0!</v>
      </c>
      <c r="T6" s="332" t="e">
        <f>(J6+(H6*1.63))/Q6</f>
        <v>#DIV/0!</v>
      </c>
      <c r="U6" s="332" t="e">
        <f>L6/Q6</f>
        <v>#DIV/0!</v>
      </c>
      <c r="V6" s="222" t="e">
        <f>Q6/R6</f>
        <v>#DIV/0!</v>
      </c>
    </row>
    <row r="7" spans="2:22" ht="16.2" thickBot="1" x14ac:dyDescent="0.35">
      <c r="C7" s="227" t="s">
        <v>604</v>
      </c>
      <c r="F7" s="228" t="s">
        <v>140</v>
      </c>
      <c r="G7" s="229">
        <f>SUM(G5:G6)</f>
        <v>0</v>
      </c>
      <c r="H7" s="229">
        <f t="shared" ref="H7:P7" si="0">SUM(H5:H6)</f>
        <v>0</v>
      </c>
      <c r="I7" s="229">
        <f t="shared" si="0"/>
        <v>0</v>
      </c>
      <c r="J7" s="229">
        <f t="shared" si="0"/>
        <v>0</v>
      </c>
      <c r="K7" s="229">
        <f t="shared" si="0"/>
        <v>0</v>
      </c>
      <c r="L7" s="229">
        <f t="shared" si="0"/>
        <v>0</v>
      </c>
      <c r="M7" s="229">
        <f t="shared" si="0"/>
        <v>0</v>
      </c>
      <c r="N7" s="229">
        <f t="shared" si="0"/>
        <v>0</v>
      </c>
      <c r="O7" s="229">
        <f t="shared" si="0"/>
        <v>0</v>
      </c>
      <c r="P7" s="229">
        <f t="shared" si="0"/>
        <v>0</v>
      </c>
      <c r="Q7" s="230">
        <f>SUM(G7:P7)</f>
        <v>0</v>
      </c>
      <c r="R7" s="231">
        <f>R54</f>
        <v>0</v>
      </c>
      <c r="S7" s="332" t="e">
        <f>O7/Q7</f>
        <v>#DIV/0!</v>
      </c>
      <c r="T7" s="332" t="e">
        <f>(J7+(H7*1.63))/Q7</f>
        <v>#DIV/0!</v>
      </c>
      <c r="U7" s="332" t="e">
        <f>L7/Q7</f>
        <v>#DIV/0!</v>
      </c>
      <c r="V7" s="222" t="e">
        <f>Q7/R7</f>
        <v>#DIV/0!</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19601</v>
      </c>
      <c r="C12" s="244" t="s">
        <v>161</v>
      </c>
      <c r="D12" s="245">
        <f>SUM(D13:D16)</f>
        <v>0</v>
      </c>
      <c r="E12" s="245">
        <f>SUM(E13:E16)</f>
        <v>0</v>
      </c>
      <c r="F12" s="246">
        <f>D12+E12</f>
        <v>0</v>
      </c>
      <c r="H12" s="135"/>
      <c r="I12" s="247" t="str">
        <f t="shared" ref="I12:I53" si="1">C62</f>
        <v>Measure 1</v>
      </c>
      <c r="J12" s="248"/>
      <c r="K12" s="249"/>
      <c r="L12" s="250">
        <f t="shared" ref="L12:L53" si="2">D62</f>
        <v>0</v>
      </c>
      <c r="M12" s="267">
        <v>0</v>
      </c>
      <c r="N12" s="267">
        <v>0</v>
      </c>
      <c r="O12" s="252">
        <f>M12+N12</f>
        <v>0</v>
      </c>
      <c r="P12" s="253">
        <f t="shared" ref="P12:R27" si="3">M12*$D62</f>
        <v>0</v>
      </c>
      <c r="Q12" s="253">
        <f t="shared" si="3"/>
        <v>0</v>
      </c>
      <c r="R12" s="254">
        <f t="shared" si="3"/>
        <v>0</v>
      </c>
      <c r="T12" s="309">
        <v>757613</v>
      </c>
    </row>
    <row r="13" spans="2:22" ht="13.8" x14ac:dyDescent="0.3">
      <c r="B13" s="256"/>
      <c r="C13" s="257" t="s">
        <v>265</v>
      </c>
      <c r="D13" s="258"/>
      <c r="E13" s="258"/>
      <c r="F13" s="258">
        <f>SUM(D13:E13)</f>
        <v>0</v>
      </c>
      <c r="H13" s="135"/>
      <c r="I13" s="259" t="str">
        <f t="shared" si="1"/>
        <v>Measure 2</v>
      </c>
      <c r="J13" s="260"/>
      <c r="K13" s="261"/>
      <c r="L13" s="250">
        <f t="shared" si="2"/>
        <v>0</v>
      </c>
      <c r="M13" s="267">
        <v>0</v>
      </c>
      <c r="N13" s="267">
        <v>0</v>
      </c>
      <c r="O13" s="252">
        <f t="shared" ref="O13:O53" si="4">M13+N13</f>
        <v>0</v>
      </c>
      <c r="P13" s="253">
        <f t="shared" si="3"/>
        <v>0</v>
      </c>
      <c r="Q13" s="253">
        <f t="shared" si="3"/>
        <v>0</v>
      </c>
      <c r="R13" s="254">
        <f t="shared" si="3"/>
        <v>0</v>
      </c>
      <c r="T13" s="263">
        <v>0</v>
      </c>
    </row>
    <row r="14" spans="2:22" ht="13.8" x14ac:dyDescent="0.3">
      <c r="B14" s="264"/>
      <c r="C14" s="265" t="s">
        <v>417</v>
      </c>
      <c r="D14" s="266"/>
      <c r="E14" s="266"/>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ht="13.8" x14ac:dyDescent="0.3">
      <c r="B15" s="264"/>
      <c r="C15" s="265" t="s">
        <v>418</v>
      </c>
      <c r="D15" s="268"/>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4.4" thickBot="1" x14ac:dyDescent="0.35">
      <c r="B16" s="264"/>
      <c r="C16" s="265" t="s">
        <v>419</v>
      </c>
      <c r="D16" s="268"/>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72">
        <v>2306</v>
      </c>
      <c r="C17" s="244" t="s">
        <v>166</v>
      </c>
      <c r="D17" s="245">
        <f>SUM(D18:D21)</f>
        <v>0</v>
      </c>
      <c r="E17" s="245">
        <f>SUM(E18:E21)</f>
        <v>0</v>
      </c>
      <c r="F17" s="246">
        <f>D17+E17</f>
        <v>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257" t="s">
        <v>420</v>
      </c>
      <c r="D18" s="258"/>
      <c r="E18" s="258"/>
      <c r="F18" s="258">
        <f t="shared" si="5"/>
        <v>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265" t="s">
        <v>421</v>
      </c>
      <c r="D19" s="266"/>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13802</v>
      </c>
      <c r="C22" s="244" t="s">
        <v>167</v>
      </c>
      <c r="D22" s="245">
        <f>SUM(D23:D26)</f>
        <v>0</v>
      </c>
      <c r="E22" s="245">
        <f>SUM(E23:E26)</f>
        <v>0</v>
      </c>
      <c r="F22" s="246">
        <f>D22+E22</f>
        <v>0</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0</v>
      </c>
      <c r="E23" s="258">
        <f>0.63*E12</f>
        <v>0</v>
      </c>
      <c r="F23" s="258">
        <f t="shared" si="5"/>
        <v>0</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0</v>
      </c>
      <c r="E24" s="266">
        <f>0.63*E17</f>
        <v>0</v>
      </c>
      <c r="F24" s="258">
        <f t="shared" si="5"/>
        <v>0</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22000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1200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58">
        <v>0</v>
      </c>
      <c r="E33" s="258">
        <v>0</v>
      </c>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18000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605</v>
      </c>
      <c r="D38" s="258"/>
      <c r="E38" s="258"/>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423</v>
      </c>
      <c r="D39" s="266"/>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422</v>
      </c>
      <c r="D40" s="266"/>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1200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58">
        <v>0</v>
      </c>
      <c r="E43" s="258">
        <v>0</v>
      </c>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4200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58">
        <v>0</v>
      </c>
      <c r="E48" s="258">
        <v>0</v>
      </c>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72">
        <v>144715</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227024</v>
      </c>
      <c r="C54" s="274" t="s">
        <v>178</v>
      </c>
      <c r="D54" s="273">
        <f>D12+D17+D22+D27+D32+D37+D42+D47+D52+D53</f>
        <v>0</v>
      </c>
      <c r="E54" s="273">
        <f>E12+E17+E22+E27+E32+E37+E42+E47+E52+E53</f>
        <v>0</v>
      </c>
      <c r="F54" s="273">
        <f>F12+F17+F22+F27+F32+F37+F42+F47+F52+F53</f>
        <v>0</v>
      </c>
      <c r="P54" s="275">
        <f>SUM(P12:P53)</f>
        <v>0</v>
      </c>
      <c r="Q54" s="275">
        <f>SUM(Q12:Q53)</f>
        <v>0</v>
      </c>
      <c r="R54" s="275">
        <f>SUM(R12:R53)</f>
        <v>0</v>
      </c>
      <c r="T54" s="275">
        <f>SUM(T12:T53)</f>
        <v>757613</v>
      </c>
    </row>
    <row r="55" spans="2:24" ht="13.8" x14ac:dyDescent="0.3">
      <c r="C55" s="274"/>
      <c r="D55" s="273"/>
      <c r="E55" s="273"/>
      <c r="F55" s="273"/>
    </row>
    <row r="56" spans="2:24" ht="13.8" x14ac:dyDescent="0.3">
      <c r="C56" s="274" t="s">
        <v>179</v>
      </c>
      <c r="D56" s="273">
        <f>D54-D52</f>
        <v>0</v>
      </c>
      <c r="E56" s="273">
        <f>E54-E52</f>
        <v>0</v>
      </c>
      <c r="F56" s="273">
        <f>F54-F52</f>
        <v>0</v>
      </c>
    </row>
    <row r="57" spans="2:24" ht="13.8" x14ac:dyDescent="0.3">
      <c r="C57" s="274" t="s">
        <v>180</v>
      </c>
      <c r="D57" s="276">
        <f>D52</f>
        <v>0</v>
      </c>
      <c r="E57" s="276">
        <f>E52</f>
        <v>0</v>
      </c>
      <c r="F57" s="276">
        <f>F52</f>
        <v>0</v>
      </c>
      <c r="G57" s="335" t="e">
        <f>F57/(F56+F57)</f>
        <v>#DIV/0!</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322" t="s">
        <v>409</v>
      </c>
      <c r="D62" s="267">
        <v>0</v>
      </c>
      <c r="E62" s="296" t="s">
        <v>206</v>
      </c>
      <c r="F62" s="296" t="s">
        <v>211</v>
      </c>
      <c r="G62" s="297">
        <v>0</v>
      </c>
      <c r="H62" s="297">
        <v>0</v>
      </c>
      <c r="I62" s="326"/>
      <c r="J62" s="267">
        <v>0</v>
      </c>
      <c r="K62" s="267"/>
      <c r="L62" s="3865" t="e">
        <f>P62/N62</f>
        <v>#DIV/0!</v>
      </c>
      <c r="M62" s="3865" t="e">
        <f>Q62/O62</f>
        <v>#DIV/0!</v>
      </c>
      <c r="N62" s="218">
        <f>(($I62*$F$56)+$U62)/$R62</f>
        <v>0</v>
      </c>
      <c r="O62" s="218">
        <f>(($I62*$F$56)+($G62*$O12))/$R62</f>
        <v>0</v>
      </c>
      <c r="P62" s="218">
        <f>IF(K62=0, 0, (HLOOKUP(K62,'[1]E-CESTDWO'!$A$5:$G$35,J62+1,FALSE)*R12))</f>
        <v>0</v>
      </c>
      <c r="Q62" s="218">
        <f>IF(K62=0, 0, (HLOOKUP(K62,'[1]E-CESTD'!$A$5:$G$35,J62+1,FALSE)*R12))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ht="13.8" x14ac:dyDescent="0.3">
      <c r="B63" s="296"/>
      <c r="C63" s="2322" t="s">
        <v>410</v>
      </c>
      <c r="D63" s="296">
        <v>0</v>
      </c>
      <c r="E63" s="296" t="s">
        <v>206</v>
      </c>
      <c r="F63" s="296" t="s">
        <v>211</v>
      </c>
      <c r="G63" s="297">
        <v>0</v>
      </c>
      <c r="H63" s="297">
        <v>0</v>
      </c>
      <c r="I63" s="326">
        <v>0</v>
      </c>
      <c r="J63" s="267">
        <v>0</v>
      </c>
      <c r="K63" s="267"/>
      <c r="L63" s="3865" t="e">
        <f t="shared" ref="L63:M103" si="12">P63/N63</f>
        <v>#DIV/0!</v>
      </c>
      <c r="M63" s="3865" t="e">
        <f t="shared" si="12"/>
        <v>#DIV/0!</v>
      </c>
      <c r="N63" s="218">
        <f t="shared" ref="N63:N103" si="13">(($I63*$F$56)+$U63)/$R63</f>
        <v>0</v>
      </c>
      <c r="O63" s="218">
        <f t="shared" ref="O63:O103" si="14">(($I63*$F$56)+($G63*$O13))/$R63</f>
        <v>0</v>
      </c>
      <c r="P63" s="218">
        <f>IF(K63=0, 0, (HLOOKUP(K63,'[1]E-CESTDWO'!$A$5:$G$35,J63+1,FALSE)*R13))</f>
        <v>0</v>
      </c>
      <c r="Q63" s="218">
        <f>IF(K63=0, 0, (HLOOKUP(K63,'[1]E-CESTD'!$A$5:$G$35,J63+1,FALSE)*R13))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ht="13.8" x14ac:dyDescent="0.3">
      <c r="B64" s="296"/>
      <c r="C64" s="2322" t="s">
        <v>411</v>
      </c>
      <c r="D64" s="296">
        <v>0</v>
      </c>
      <c r="E64" s="296" t="s">
        <v>206</v>
      </c>
      <c r="F64" s="296" t="s">
        <v>211</v>
      </c>
      <c r="G64" s="297">
        <v>0</v>
      </c>
      <c r="H64" s="297">
        <v>0</v>
      </c>
      <c r="I64" s="326">
        <v>0</v>
      </c>
      <c r="J64" s="267">
        <v>0</v>
      </c>
      <c r="K64" s="267"/>
      <c r="L64" s="3865" t="e">
        <f t="shared" si="12"/>
        <v>#DIV/0!</v>
      </c>
      <c r="M64" s="3865" t="e">
        <f t="shared" si="12"/>
        <v>#DIV/0!</v>
      </c>
      <c r="N64" s="218">
        <f t="shared" si="13"/>
        <v>0</v>
      </c>
      <c r="O64" s="218">
        <f t="shared" si="14"/>
        <v>0</v>
      </c>
      <c r="P64" s="218">
        <f>IF(K64=0, 0, (HLOOKUP(K64,'[1]E-CESTDWO'!$A$5:$G$35,J64+1,FALSE)*R14))</f>
        <v>0</v>
      </c>
      <c r="Q64" s="218">
        <f>IF(K64=0, 0, (HLOOKUP(K64,'[1]E-CESTD'!$A$5:$G$35,J64+1,FALSE)*R14))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322" t="s">
        <v>213</v>
      </c>
      <c r="D65" s="296">
        <v>0</v>
      </c>
      <c r="E65" s="296" t="s">
        <v>206</v>
      </c>
      <c r="F65" s="296" t="s">
        <v>211</v>
      </c>
      <c r="G65" s="328">
        <v>0</v>
      </c>
      <c r="H65" s="297">
        <v>0</v>
      </c>
      <c r="I65" s="326">
        <v>0</v>
      </c>
      <c r="J65" s="267">
        <v>20</v>
      </c>
      <c r="K65" s="267" t="s">
        <v>348</v>
      </c>
      <c r="L65" s="3865" t="e">
        <f t="shared" si="12"/>
        <v>#DIV/0!</v>
      </c>
      <c r="M65" s="3865" t="e">
        <f t="shared" si="12"/>
        <v>#DIV/0!</v>
      </c>
      <c r="N65" s="218">
        <f t="shared" si="13"/>
        <v>0</v>
      </c>
      <c r="O65" s="218">
        <f t="shared" si="14"/>
        <v>0</v>
      </c>
      <c r="P65" s="218">
        <f>IF(K65=0, 0, (HLOOKUP(K65,'[1]E-CESTDWO'!$A$5:$G$35,J65+1,FALSE)*R15))</f>
        <v>0</v>
      </c>
      <c r="Q65" s="218">
        <f>IF(K65=0, 0, (HLOOKUP(K65,'[1]E-CESTD'!$A$5:$G$35,J65+1,FALSE)*R15))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322" t="s">
        <v>214</v>
      </c>
      <c r="D66" s="267">
        <v>0</v>
      </c>
      <c r="E66" s="296" t="s">
        <v>206</v>
      </c>
      <c r="F66" s="296" t="s">
        <v>211</v>
      </c>
      <c r="G66" s="328">
        <v>0</v>
      </c>
      <c r="H66" s="297">
        <v>0</v>
      </c>
      <c r="I66" s="326">
        <v>0</v>
      </c>
      <c r="J66" s="267">
        <v>4</v>
      </c>
      <c r="K66" s="267" t="s">
        <v>348</v>
      </c>
      <c r="L66" s="3865" t="e">
        <f t="shared" si="12"/>
        <v>#DIV/0!</v>
      </c>
      <c r="M66" s="3865" t="e">
        <f t="shared" si="12"/>
        <v>#DIV/0!</v>
      </c>
      <c r="N66" s="218">
        <f t="shared" si="13"/>
        <v>0</v>
      </c>
      <c r="O66" s="218">
        <f t="shared" si="14"/>
        <v>0</v>
      </c>
      <c r="P66" s="218">
        <f>IF(K66=0, 0, (HLOOKUP(K66,'[1]E-CESTDWO'!$A$5:$G$35,J66+1,FALSE)*R16))</f>
        <v>0</v>
      </c>
      <c r="Q66" s="218">
        <f>IF(K66=0, 0, (HLOOKUP(K66,'[1]E-CESTD'!$A$5:$G$35,J66+1,FALSE)*R16))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322" t="s">
        <v>215</v>
      </c>
      <c r="D67" s="296">
        <v>0</v>
      </c>
      <c r="E67" s="296" t="s">
        <v>206</v>
      </c>
      <c r="F67" s="296" t="s">
        <v>211</v>
      </c>
      <c r="G67" s="328">
        <v>0</v>
      </c>
      <c r="H67" s="297">
        <v>0</v>
      </c>
      <c r="I67" s="326">
        <v>0</v>
      </c>
      <c r="J67" s="267">
        <v>25</v>
      </c>
      <c r="K67" s="370" t="s">
        <v>348</v>
      </c>
      <c r="L67" s="3865" t="e">
        <f t="shared" si="12"/>
        <v>#DIV/0!</v>
      </c>
      <c r="M67" s="3865" t="e">
        <f t="shared" si="12"/>
        <v>#DIV/0!</v>
      </c>
      <c r="N67" s="218">
        <f t="shared" si="13"/>
        <v>0</v>
      </c>
      <c r="O67" s="218">
        <f t="shared" si="14"/>
        <v>0</v>
      </c>
      <c r="P67" s="218">
        <f>IF(K67=0, 0, (HLOOKUP(K67,'[1]E-CESTDWO'!$A$5:$G$35,J67+1,FALSE)*R17))</f>
        <v>0</v>
      </c>
      <c r="Q67" s="218">
        <f>IF(K67=0, 0, (HLOOKUP(K67,'[1]E-CESTD'!$A$5:$G$35,J67+1,FALSE)*R17))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322" t="s">
        <v>216</v>
      </c>
      <c r="D68" s="296">
        <v>0</v>
      </c>
      <c r="E68" s="296" t="s">
        <v>206</v>
      </c>
      <c r="F68" s="296" t="s">
        <v>211</v>
      </c>
      <c r="G68" s="328">
        <v>0</v>
      </c>
      <c r="H68" s="297">
        <v>0</v>
      </c>
      <c r="I68" s="326">
        <v>0</v>
      </c>
      <c r="J68" s="267">
        <v>20</v>
      </c>
      <c r="K68" s="267" t="s">
        <v>348</v>
      </c>
      <c r="L68" s="3865" t="e">
        <f t="shared" si="12"/>
        <v>#DIV/0!</v>
      </c>
      <c r="M68" s="3865" t="e">
        <f t="shared" si="12"/>
        <v>#DIV/0!</v>
      </c>
      <c r="N68" s="218">
        <f t="shared" si="13"/>
        <v>0</v>
      </c>
      <c r="O68" s="218">
        <f t="shared" si="14"/>
        <v>0</v>
      </c>
      <c r="P68" s="218">
        <f>IF(K68=0, 0, (HLOOKUP(K68,'[1]E-CESTDWO'!$A$5:$G$35,J68+1,FALSE)*R18))</f>
        <v>0</v>
      </c>
      <c r="Q68" s="218">
        <f>IF(K68=0, 0, (HLOOKUP(K68,'[1]E-CESTD'!$A$5:$G$35,J68+1,FALSE)*R18))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322" t="s">
        <v>217</v>
      </c>
      <c r="D69" s="267">
        <v>0</v>
      </c>
      <c r="E69" s="296" t="s">
        <v>206</v>
      </c>
      <c r="F69" s="296" t="s">
        <v>211</v>
      </c>
      <c r="G69" s="328">
        <v>0</v>
      </c>
      <c r="H69" s="297">
        <v>0</v>
      </c>
      <c r="I69" s="326">
        <v>0</v>
      </c>
      <c r="J69" s="267">
        <v>4</v>
      </c>
      <c r="K69" s="267" t="s">
        <v>348</v>
      </c>
      <c r="L69" s="3865" t="e">
        <f t="shared" si="12"/>
        <v>#DIV/0!</v>
      </c>
      <c r="M69" s="3865" t="e">
        <f t="shared" si="12"/>
        <v>#DIV/0!</v>
      </c>
      <c r="N69" s="218">
        <f t="shared" si="13"/>
        <v>0</v>
      </c>
      <c r="O69" s="218">
        <f t="shared" si="14"/>
        <v>0</v>
      </c>
      <c r="P69" s="218">
        <f>IF(K69=0, 0, (HLOOKUP(K69,'[1]E-CESTDWO'!$A$5:$G$35,J69+1,FALSE)*R19))</f>
        <v>0</v>
      </c>
      <c r="Q69" s="218">
        <f>IF(K69=0, 0, (HLOOKUP(K69,'[1]E-CESTD'!$A$5:$G$35,J69+1,FALSE)*R19))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322" t="s">
        <v>218</v>
      </c>
      <c r="D70" s="296">
        <v>0</v>
      </c>
      <c r="E70" s="296" t="s">
        <v>206</v>
      </c>
      <c r="F70" s="296" t="s">
        <v>211</v>
      </c>
      <c r="G70" s="297">
        <v>0</v>
      </c>
      <c r="H70" s="297">
        <v>0</v>
      </c>
      <c r="I70" s="326">
        <v>0</v>
      </c>
      <c r="J70" s="267">
        <v>25</v>
      </c>
      <c r="K70" s="267" t="s">
        <v>348</v>
      </c>
      <c r="L70" s="3865" t="e">
        <f t="shared" si="12"/>
        <v>#DIV/0!</v>
      </c>
      <c r="M70" s="3865" t="e">
        <f t="shared" si="12"/>
        <v>#DIV/0!</v>
      </c>
      <c r="N70" s="218">
        <f t="shared" si="13"/>
        <v>0</v>
      </c>
      <c r="O70" s="218">
        <f t="shared" si="14"/>
        <v>0</v>
      </c>
      <c r="P70" s="218">
        <f>IF(K70=0, 0, (HLOOKUP(K70,'[1]E-CESTDWO'!$A$5:$G$35,J70+1,FALSE)*R20))</f>
        <v>0</v>
      </c>
      <c r="Q70" s="218">
        <f>IF(K70=0, 0, (HLOOKUP(K70,'[1]E-CESTD'!$A$5:$G$35,J70+1,FALSE)*R20))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206</v>
      </c>
      <c r="F71" s="296" t="s">
        <v>211</v>
      </c>
      <c r="G71" s="297"/>
      <c r="H71" s="297"/>
      <c r="I71" s="326">
        <v>0</v>
      </c>
      <c r="J71" s="267"/>
      <c r="K71" s="267"/>
      <c r="L71" s="3865" t="e">
        <f t="shared" si="12"/>
        <v>#DIV/0!</v>
      </c>
      <c r="M71" s="3865" t="e">
        <f t="shared" si="12"/>
        <v>#DIV/0!</v>
      </c>
      <c r="N71" s="218">
        <f t="shared" si="13"/>
        <v>0</v>
      </c>
      <c r="O71" s="218">
        <f t="shared" si="14"/>
        <v>0</v>
      </c>
      <c r="P71" s="218">
        <f>IF(K71=0, 0, (HLOOKUP(K71,'[1]E-CESTDWO'!$A$5:$G$35,J71+1,FALSE)*R21))</f>
        <v>0</v>
      </c>
      <c r="Q71" s="218">
        <f>IF(K71=0, 0, (HLOOKUP(K71,'[1]E-CESTD'!$A$5:$G$35,J71+1,FALSE)*R21))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96">
        <v>0</v>
      </c>
      <c r="E72" s="296" t="s">
        <v>206</v>
      </c>
      <c r="F72" s="296" t="s">
        <v>211</v>
      </c>
      <c r="G72" s="297"/>
      <c r="H72" s="297"/>
      <c r="I72" s="326">
        <v>0</v>
      </c>
      <c r="J72" s="267"/>
      <c r="K72" s="267"/>
      <c r="L72" s="3865" t="e">
        <f t="shared" si="12"/>
        <v>#DIV/0!</v>
      </c>
      <c r="M72" s="3865" t="e">
        <f t="shared" si="12"/>
        <v>#DIV/0!</v>
      </c>
      <c r="N72" s="218">
        <f t="shared" si="13"/>
        <v>0</v>
      </c>
      <c r="O72" s="218">
        <f t="shared" si="14"/>
        <v>0</v>
      </c>
      <c r="P72" s="218">
        <f>IF(K72=0, 0, (HLOOKUP(K72,'[1]E-CESTDWO'!$A$5:$G$35,J72+1,FALSE)*R22))</f>
        <v>0</v>
      </c>
      <c r="Q72" s="218">
        <f>IF(K72=0, 0, (HLOOKUP(K72,'[1]E-CESTD'!$A$5:$G$35,J72+1,FALSE)*R22))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206</v>
      </c>
      <c r="F73" s="296" t="s">
        <v>211</v>
      </c>
      <c r="G73" s="297"/>
      <c r="H73" s="297"/>
      <c r="I73" s="326">
        <v>0</v>
      </c>
      <c r="J73" s="267"/>
      <c r="K73" s="267"/>
      <c r="L73" s="3865" t="e">
        <f t="shared" si="12"/>
        <v>#DIV/0!</v>
      </c>
      <c r="M73" s="3865" t="e">
        <f t="shared" si="12"/>
        <v>#DIV/0!</v>
      </c>
      <c r="N73" s="218">
        <f t="shared" si="13"/>
        <v>0</v>
      </c>
      <c r="O73" s="218">
        <f t="shared" si="14"/>
        <v>0</v>
      </c>
      <c r="P73" s="218">
        <f>IF(K73=0, 0, (HLOOKUP(K73,'[1]E-CESTDWO'!$A$5:$G$35,J73+1,FALSE)*R23))</f>
        <v>0</v>
      </c>
      <c r="Q73" s="218">
        <f>IF(K73=0, 0, (HLOOKUP(K73,'[1]E-CESTD'!$A$5:$G$35,J73+1,FALSE)*R23))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96">
        <v>0</v>
      </c>
      <c r="E74" s="296" t="s">
        <v>206</v>
      </c>
      <c r="F74" s="296" t="s">
        <v>211</v>
      </c>
      <c r="G74" s="297"/>
      <c r="H74" s="297"/>
      <c r="I74" s="326">
        <v>0</v>
      </c>
      <c r="J74" s="267"/>
      <c r="K74" s="267"/>
      <c r="L74" s="3865" t="e">
        <f t="shared" si="12"/>
        <v>#DIV/0!</v>
      </c>
      <c r="M74" s="3865" t="e">
        <f t="shared" si="12"/>
        <v>#DIV/0!</v>
      </c>
      <c r="N74" s="218">
        <f t="shared" si="13"/>
        <v>0</v>
      </c>
      <c r="O74" s="218">
        <f t="shared" si="14"/>
        <v>0</v>
      </c>
      <c r="P74" s="218">
        <f>IF(K74=0, 0, (HLOOKUP(K74,'[1]E-CESTDWO'!$A$5:$G$35,J74+1,FALSE)*R24))</f>
        <v>0</v>
      </c>
      <c r="Q74" s="218">
        <f>IF(K74=0, 0, (HLOOKUP(K74,'[1]E-CESTD'!$A$5:$G$35,J74+1,FALSE)*R24))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206</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96">
        <v>0</v>
      </c>
      <c r="E76" s="296" t="s">
        <v>206</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206</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96">
        <v>0</v>
      </c>
      <c r="E78" s="296" t="s">
        <v>206</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206</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206</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206</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0</v>
      </c>
      <c r="H104" s="301">
        <f>U104</f>
        <v>0</v>
      </c>
      <c r="I104" s="302">
        <f>SUM(I62:I103)</f>
        <v>0</v>
      </c>
      <c r="J104" s="303" t="e">
        <f>ROUND(SUMPRODUCT(J62:J103,R12:R53)/R54,0)</f>
        <v>#DIV/0!</v>
      </c>
      <c r="K104" s="274"/>
      <c r="L104" s="304" t="e">
        <f>P104/N104</f>
        <v>#DIV/0!</v>
      </c>
      <c r="M104" s="305"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23" top="0.37" bottom="0.31" header="0.3" footer="0.3"/>
  <pageSetup paperSize="17" scale="53"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X104"/>
  <sheetViews>
    <sheetView workbookViewId="0">
      <pane xSplit="1" ySplit="1" topLeftCell="H2" activePane="bottomRight" state="frozen"/>
      <selection pane="topRight" activeCell="B1" sqref="B1"/>
      <selection pane="bottomLeft" activeCell="A2" sqref="A2"/>
      <selection pane="bottomRight"/>
    </sheetView>
  </sheetViews>
  <sheetFormatPr defaultRowHeight="13.2" x14ac:dyDescent="0.25"/>
  <cols>
    <col min="1" max="1" width="15.33203125" style="3369" customWidth="1"/>
    <col min="2" max="2" width="19" bestFit="1" customWidth="1"/>
    <col min="3" max="3" width="39.44140625" customWidth="1"/>
    <col min="4" max="4" width="17" style="19" customWidth="1"/>
    <col min="5" max="5" width="17" customWidth="1"/>
    <col min="6" max="6" width="17.10937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33203125" bestFit="1" customWidth="1"/>
    <col min="261" max="261" width="15.33203125" bestFit="1" customWidth="1"/>
    <col min="262" max="262" width="19.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33203125" bestFit="1" customWidth="1"/>
    <col min="517" max="517" width="15.33203125" bestFit="1" customWidth="1"/>
    <col min="518" max="518" width="19.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33203125" bestFit="1" customWidth="1"/>
    <col min="773" max="773" width="15.33203125" bestFit="1" customWidth="1"/>
    <col min="774" max="774" width="19.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33203125" bestFit="1" customWidth="1"/>
    <col min="1029" max="1029" width="15.33203125" bestFit="1" customWidth="1"/>
    <col min="1030" max="1030" width="19.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33203125" bestFit="1" customWidth="1"/>
    <col min="1285" max="1285" width="15.33203125" bestFit="1" customWidth="1"/>
    <col min="1286" max="1286" width="19.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33203125" bestFit="1" customWidth="1"/>
    <col min="1541" max="1541" width="15.33203125" bestFit="1" customWidth="1"/>
    <col min="1542" max="1542" width="19.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33203125" bestFit="1" customWidth="1"/>
    <col min="1797" max="1797" width="15.33203125" bestFit="1" customWidth="1"/>
    <col min="1798" max="1798" width="19.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33203125" bestFit="1" customWidth="1"/>
    <col min="2053" max="2053" width="15.33203125" bestFit="1" customWidth="1"/>
    <col min="2054" max="2054" width="19.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33203125" bestFit="1" customWidth="1"/>
    <col min="2309" max="2309" width="15.33203125" bestFit="1" customWidth="1"/>
    <col min="2310" max="2310" width="19.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33203125" bestFit="1" customWidth="1"/>
    <col min="2565" max="2565" width="15.33203125" bestFit="1" customWidth="1"/>
    <col min="2566" max="2566" width="19.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33203125" bestFit="1" customWidth="1"/>
    <col min="2821" max="2821" width="15.33203125" bestFit="1" customWidth="1"/>
    <col min="2822" max="2822" width="19.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33203125" bestFit="1" customWidth="1"/>
    <col min="3077" max="3077" width="15.33203125" bestFit="1" customWidth="1"/>
    <col min="3078" max="3078" width="19.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33203125" bestFit="1" customWidth="1"/>
    <col min="3333" max="3333" width="15.33203125" bestFit="1" customWidth="1"/>
    <col min="3334" max="3334" width="19.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33203125" bestFit="1" customWidth="1"/>
    <col min="3589" max="3589" width="15.33203125" bestFit="1" customWidth="1"/>
    <col min="3590" max="3590" width="19.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33203125" bestFit="1" customWidth="1"/>
    <col min="3845" max="3845" width="15.33203125" bestFit="1" customWidth="1"/>
    <col min="3846" max="3846" width="19.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33203125" bestFit="1" customWidth="1"/>
    <col min="4101" max="4101" width="15.33203125" bestFit="1" customWidth="1"/>
    <col min="4102" max="4102" width="19.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33203125" bestFit="1" customWidth="1"/>
    <col min="4357" max="4357" width="15.33203125" bestFit="1" customWidth="1"/>
    <col min="4358" max="4358" width="19.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33203125" bestFit="1" customWidth="1"/>
    <col min="4613" max="4613" width="15.33203125" bestFit="1" customWidth="1"/>
    <col min="4614" max="4614" width="19.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33203125" bestFit="1" customWidth="1"/>
    <col min="4869" max="4869" width="15.33203125" bestFit="1" customWidth="1"/>
    <col min="4870" max="4870" width="19.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33203125" bestFit="1" customWidth="1"/>
    <col min="5125" max="5125" width="15.33203125" bestFit="1" customWidth="1"/>
    <col min="5126" max="5126" width="19.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33203125" bestFit="1" customWidth="1"/>
    <col min="5381" max="5381" width="15.33203125" bestFit="1" customWidth="1"/>
    <col min="5382" max="5382" width="19.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33203125" bestFit="1" customWidth="1"/>
    <col min="5637" max="5637" width="15.33203125" bestFit="1" customWidth="1"/>
    <col min="5638" max="5638" width="19.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33203125" bestFit="1" customWidth="1"/>
    <col min="5893" max="5893" width="15.33203125" bestFit="1" customWidth="1"/>
    <col min="5894" max="5894" width="19.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33203125" bestFit="1" customWidth="1"/>
    <col min="6149" max="6149" width="15.33203125" bestFit="1" customWidth="1"/>
    <col min="6150" max="6150" width="19.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33203125" bestFit="1" customWidth="1"/>
    <col min="6405" max="6405" width="15.33203125" bestFit="1" customWidth="1"/>
    <col min="6406" max="6406" width="19.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33203125" bestFit="1" customWidth="1"/>
    <col min="6661" max="6661" width="15.33203125" bestFit="1" customWidth="1"/>
    <col min="6662" max="6662" width="19.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33203125" bestFit="1" customWidth="1"/>
    <col min="6917" max="6917" width="15.33203125" bestFit="1" customWidth="1"/>
    <col min="6918" max="6918" width="19.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33203125" bestFit="1" customWidth="1"/>
    <col min="7173" max="7173" width="15.33203125" bestFit="1" customWidth="1"/>
    <col min="7174" max="7174" width="19.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33203125" bestFit="1" customWidth="1"/>
    <col min="7429" max="7429" width="15.33203125" bestFit="1" customWidth="1"/>
    <col min="7430" max="7430" width="19.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33203125" bestFit="1" customWidth="1"/>
    <col min="7685" max="7685" width="15.33203125" bestFit="1" customWidth="1"/>
    <col min="7686" max="7686" width="19.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33203125" bestFit="1" customWidth="1"/>
    <col min="7941" max="7941" width="15.33203125" bestFit="1" customWidth="1"/>
    <col min="7942" max="7942" width="19.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33203125" bestFit="1" customWidth="1"/>
    <col min="8197" max="8197" width="15.33203125" bestFit="1" customWidth="1"/>
    <col min="8198" max="8198" width="19.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33203125" bestFit="1" customWidth="1"/>
    <col min="8453" max="8453" width="15.33203125" bestFit="1" customWidth="1"/>
    <col min="8454" max="8454" width="19.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33203125" bestFit="1" customWidth="1"/>
    <col min="8709" max="8709" width="15.33203125" bestFit="1" customWidth="1"/>
    <col min="8710" max="8710" width="19.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33203125" bestFit="1" customWidth="1"/>
    <col min="8965" max="8965" width="15.33203125" bestFit="1" customWidth="1"/>
    <col min="8966" max="8966" width="19.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33203125" bestFit="1" customWidth="1"/>
    <col min="9221" max="9221" width="15.33203125" bestFit="1" customWidth="1"/>
    <col min="9222" max="9222" width="19.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33203125" bestFit="1" customWidth="1"/>
    <col min="9477" max="9477" width="15.33203125" bestFit="1" customWidth="1"/>
    <col min="9478" max="9478" width="19.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33203125" bestFit="1" customWidth="1"/>
    <col min="9733" max="9733" width="15.33203125" bestFit="1" customWidth="1"/>
    <col min="9734" max="9734" width="19.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33203125" bestFit="1" customWidth="1"/>
    <col min="9989" max="9989" width="15.33203125" bestFit="1" customWidth="1"/>
    <col min="9990" max="9990" width="19.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33203125" bestFit="1" customWidth="1"/>
    <col min="10245" max="10245" width="15.33203125" bestFit="1" customWidth="1"/>
    <col min="10246" max="10246" width="19.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33203125" bestFit="1" customWidth="1"/>
    <col min="10501" max="10501" width="15.33203125" bestFit="1" customWidth="1"/>
    <col min="10502" max="10502" width="19.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33203125" bestFit="1" customWidth="1"/>
    <col min="10757" max="10757" width="15.33203125" bestFit="1" customWidth="1"/>
    <col min="10758" max="10758" width="19.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33203125" bestFit="1" customWidth="1"/>
    <col min="11013" max="11013" width="15.33203125" bestFit="1" customWidth="1"/>
    <col min="11014" max="11014" width="19.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33203125" bestFit="1" customWidth="1"/>
    <col min="11269" max="11269" width="15.33203125" bestFit="1" customWidth="1"/>
    <col min="11270" max="11270" width="19.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33203125" bestFit="1" customWidth="1"/>
    <col min="11525" max="11525" width="15.33203125" bestFit="1" customWidth="1"/>
    <col min="11526" max="11526" width="19.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33203125" bestFit="1" customWidth="1"/>
    <col min="11781" max="11781" width="15.33203125" bestFit="1" customWidth="1"/>
    <col min="11782" max="11782" width="19.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33203125" bestFit="1" customWidth="1"/>
    <col min="12037" max="12037" width="15.33203125" bestFit="1" customWidth="1"/>
    <col min="12038" max="12038" width="19.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33203125" bestFit="1" customWidth="1"/>
    <col min="12293" max="12293" width="15.33203125" bestFit="1" customWidth="1"/>
    <col min="12294" max="12294" width="19.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33203125" bestFit="1" customWidth="1"/>
    <col min="12549" max="12549" width="15.33203125" bestFit="1" customWidth="1"/>
    <col min="12550" max="12550" width="19.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33203125" bestFit="1" customWidth="1"/>
    <col min="12805" max="12805" width="15.33203125" bestFit="1" customWidth="1"/>
    <col min="12806" max="12806" width="19.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33203125" bestFit="1" customWidth="1"/>
    <col min="13061" max="13061" width="15.33203125" bestFit="1" customWidth="1"/>
    <col min="13062" max="13062" width="19.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33203125" bestFit="1" customWidth="1"/>
    <col min="13317" max="13317" width="15.33203125" bestFit="1" customWidth="1"/>
    <col min="13318" max="13318" width="19.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33203125" bestFit="1" customWidth="1"/>
    <col min="13573" max="13573" width="15.33203125" bestFit="1" customWidth="1"/>
    <col min="13574" max="13574" width="19.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33203125" bestFit="1" customWidth="1"/>
    <col min="13829" max="13829" width="15.33203125" bestFit="1" customWidth="1"/>
    <col min="13830" max="13830" width="19.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33203125" bestFit="1" customWidth="1"/>
    <col min="14085" max="14085" width="15.33203125" bestFit="1" customWidth="1"/>
    <col min="14086" max="14086" width="19.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33203125" bestFit="1" customWidth="1"/>
    <col min="14341" max="14341" width="15.33203125" bestFit="1" customWidth="1"/>
    <col min="14342" max="14342" width="19.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33203125" bestFit="1" customWidth="1"/>
    <col min="14597" max="14597" width="15.33203125" bestFit="1" customWidth="1"/>
    <col min="14598" max="14598" width="19.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33203125" bestFit="1" customWidth="1"/>
    <col min="14853" max="14853" width="15.33203125" bestFit="1" customWidth="1"/>
    <col min="14854" max="14854" width="19.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33203125" bestFit="1" customWidth="1"/>
    <col min="15109" max="15109" width="15.33203125" bestFit="1" customWidth="1"/>
    <col min="15110" max="15110" width="19.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33203125" bestFit="1" customWidth="1"/>
    <col min="15365" max="15365" width="15.33203125" bestFit="1" customWidth="1"/>
    <col min="15366" max="15366" width="19.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33203125" bestFit="1" customWidth="1"/>
    <col min="15621" max="15621" width="15.33203125" bestFit="1" customWidth="1"/>
    <col min="15622" max="15622" width="19.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33203125" bestFit="1" customWidth="1"/>
    <col min="15877" max="15877" width="15.33203125" bestFit="1" customWidth="1"/>
    <col min="15878" max="15878" width="19.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33203125" bestFit="1" customWidth="1"/>
    <col min="16133" max="16133" width="15.33203125" bestFit="1" customWidth="1"/>
    <col min="16134" max="16134" width="19.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3.5" customHeight="1" thickBot="1" x14ac:dyDescent="0.35">
      <c r="B1" s="3881"/>
      <c r="F1" s="202"/>
      <c r="G1" s="202">
        <f>C3</f>
        <v>18230461</v>
      </c>
      <c r="H1" s="202" t="str">
        <f>C4</f>
        <v>Home Energy Reports E</v>
      </c>
      <c r="I1" s="202"/>
    </row>
    <row r="2" spans="2:22" ht="16.8" thickTop="1" thickBot="1" x14ac:dyDescent="0.35">
      <c r="B2" s="202" t="s">
        <v>131</v>
      </c>
      <c r="C2" s="3885" t="s">
        <v>602</v>
      </c>
      <c r="D2" s="3886" t="s">
        <v>1210</v>
      </c>
      <c r="G2" s="204" t="s">
        <v>8</v>
      </c>
      <c r="Q2" s="4765"/>
      <c r="R2" s="4765"/>
      <c r="S2" s="4762" t="s">
        <v>132</v>
      </c>
      <c r="T2" s="4763"/>
      <c r="U2" s="4764"/>
      <c r="V2" s="4766" t="s">
        <v>133</v>
      </c>
    </row>
    <row r="3" spans="2:22" ht="16.2" thickBot="1" x14ac:dyDescent="0.35">
      <c r="B3" s="203" t="s">
        <v>6</v>
      </c>
      <c r="C3" s="3885">
        <v>18230461</v>
      </c>
      <c r="D3" s="3887" t="s">
        <v>1211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8" thickTop="1" thickBot="1" x14ac:dyDescent="0.35">
      <c r="B4" s="203" t="s">
        <v>139</v>
      </c>
      <c r="C4" s="203" t="s">
        <v>603</v>
      </c>
      <c r="F4" s="202">
        <v>2011</v>
      </c>
      <c r="G4" s="210">
        <f>B12</f>
        <v>16140</v>
      </c>
      <c r="H4" s="211">
        <f>B17</f>
        <v>2400</v>
      </c>
      <c r="I4" s="211">
        <f>B22</f>
        <v>11680</v>
      </c>
      <c r="J4" s="211">
        <f>B27</f>
        <v>6000</v>
      </c>
      <c r="K4" s="211">
        <f>B32</f>
        <v>1200</v>
      </c>
      <c r="L4" s="211">
        <f>B37</f>
        <v>400404</v>
      </c>
      <c r="M4" s="211">
        <f>B42</f>
        <v>0</v>
      </c>
      <c r="N4" s="211">
        <f>B47</f>
        <v>1800</v>
      </c>
      <c r="O4" s="211">
        <f>B52</f>
        <v>327302</v>
      </c>
      <c r="P4" s="211">
        <f>B53</f>
        <v>0</v>
      </c>
      <c r="Q4" s="213">
        <f>B54</f>
        <v>766926</v>
      </c>
      <c r="R4" s="214">
        <f>T54</f>
        <v>0</v>
      </c>
      <c r="S4" s="331">
        <f>O4/Q4</f>
        <v>0.42677129214552645</v>
      </c>
      <c r="T4" s="331">
        <f>(J4+(H4*1.63))/Q4</f>
        <v>1.2924323859146776E-2</v>
      </c>
      <c r="U4" s="331">
        <f>L4/Q4</f>
        <v>0.52208948451349935</v>
      </c>
      <c r="V4" s="216" t="e">
        <f>Q4/R4</f>
        <v>#DIV/0!</v>
      </c>
    </row>
    <row r="5" spans="2:22" ht="16.2" thickBot="1" x14ac:dyDescent="0.35">
      <c r="B5" s="202" t="s">
        <v>34</v>
      </c>
      <c r="F5" s="202">
        <v>2012</v>
      </c>
      <c r="G5" s="217">
        <f>D12</f>
        <v>19454.400000000001</v>
      </c>
      <c r="H5" s="218">
        <f>D17</f>
        <v>6000</v>
      </c>
      <c r="I5" s="218">
        <f>D22</f>
        <v>16036.272000000001</v>
      </c>
      <c r="J5" s="218">
        <f>D27</f>
        <v>0</v>
      </c>
      <c r="K5" s="218">
        <f>D32</f>
        <v>0</v>
      </c>
      <c r="L5" s="218">
        <f>D37</f>
        <v>173362</v>
      </c>
      <c r="M5" s="218">
        <f>D42</f>
        <v>0</v>
      </c>
      <c r="N5" s="218">
        <f>D47</f>
        <v>0</v>
      </c>
      <c r="O5" s="218">
        <f>D52</f>
        <v>0</v>
      </c>
      <c r="P5" s="218">
        <f>D53</f>
        <v>0</v>
      </c>
      <c r="Q5" s="219">
        <f>SUM(G5:P5)</f>
        <v>214852.67200000002</v>
      </c>
      <c r="R5" s="220">
        <f>P54</f>
        <v>5498052</v>
      </c>
      <c r="S5" s="332">
        <f>O5/Q5</f>
        <v>0</v>
      </c>
      <c r="T5" s="332">
        <f>(J5+(H5*1.63))/Q5</f>
        <v>4.5519564215612825E-2</v>
      </c>
      <c r="U5" s="332">
        <f>L5/Q5</f>
        <v>0.80688780077168409</v>
      </c>
      <c r="V5" s="222">
        <f>Q5/R5</f>
        <v>3.9077962885763907E-2</v>
      </c>
    </row>
    <row r="6" spans="2:22" ht="16.2" thickBot="1" x14ac:dyDescent="0.35">
      <c r="C6" s="202" t="s">
        <v>414</v>
      </c>
      <c r="F6" s="202">
        <v>2013</v>
      </c>
      <c r="G6" s="223">
        <f>E12</f>
        <v>20038.025000000001</v>
      </c>
      <c r="H6" s="224">
        <f>E17</f>
        <v>6150</v>
      </c>
      <c r="I6" s="224">
        <f>E22</f>
        <v>16498.455750000001</v>
      </c>
      <c r="J6" s="224">
        <f>E27</f>
        <v>0</v>
      </c>
      <c r="K6" s="224">
        <f>E32</f>
        <v>0</v>
      </c>
      <c r="L6" s="224">
        <f>E37</f>
        <v>173362</v>
      </c>
      <c r="M6" s="224">
        <f>E42</f>
        <v>0</v>
      </c>
      <c r="N6" s="224">
        <f>E47</f>
        <v>0</v>
      </c>
      <c r="O6" s="224">
        <f>E52</f>
        <v>0</v>
      </c>
      <c r="P6" s="224">
        <f>E53</f>
        <v>0</v>
      </c>
      <c r="Q6" s="225">
        <f>SUM(G6:P6)</f>
        <v>216048.48074999999</v>
      </c>
      <c r="R6" s="226">
        <f>Q54</f>
        <v>5498052</v>
      </c>
      <c r="S6" s="332">
        <f>O6/Q6</f>
        <v>0</v>
      </c>
      <c r="T6" s="332">
        <f>(J6+(H6*1.63))/Q6</f>
        <v>4.6399307994208147E-2</v>
      </c>
      <c r="U6" s="332">
        <f>L6/Q6</f>
        <v>0.80242174996178495</v>
      </c>
      <c r="V6" s="222">
        <f>Q6/R6</f>
        <v>3.929545969190542E-2</v>
      </c>
    </row>
    <row r="7" spans="2:22" ht="16.2" thickBot="1" x14ac:dyDescent="0.35">
      <c r="C7" s="227" t="s">
        <v>604</v>
      </c>
      <c r="F7" s="228" t="s">
        <v>140</v>
      </c>
      <c r="G7" s="229">
        <f>SUM(G5:G6)</f>
        <v>39492.425000000003</v>
      </c>
      <c r="H7" s="229">
        <f t="shared" ref="H7:P7" si="0">SUM(H5:H6)</f>
        <v>12150</v>
      </c>
      <c r="I7" s="229">
        <f t="shared" si="0"/>
        <v>32534.727750000002</v>
      </c>
      <c r="J7" s="229">
        <f t="shared" si="0"/>
        <v>0</v>
      </c>
      <c r="K7" s="229">
        <f t="shared" si="0"/>
        <v>0</v>
      </c>
      <c r="L7" s="229">
        <f t="shared" si="0"/>
        <v>346724</v>
      </c>
      <c r="M7" s="229">
        <f t="shared" si="0"/>
        <v>0</v>
      </c>
      <c r="N7" s="229">
        <f t="shared" si="0"/>
        <v>0</v>
      </c>
      <c r="O7" s="229">
        <f t="shared" si="0"/>
        <v>0</v>
      </c>
      <c r="P7" s="229">
        <f t="shared" si="0"/>
        <v>0</v>
      </c>
      <c r="Q7" s="230">
        <f>SUM(G7:P7)</f>
        <v>430901.15275000001</v>
      </c>
      <c r="R7" s="231">
        <f>R54</f>
        <v>10996104</v>
      </c>
      <c r="S7" s="332">
        <f>O7/Q7</f>
        <v>0</v>
      </c>
      <c r="T7" s="332">
        <f>(J7+(H7*1.63))/Q7</f>
        <v>4.5960656808662945E-2</v>
      </c>
      <c r="U7" s="332">
        <f>L7/Q7</f>
        <v>0.80464857842040194</v>
      </c>
      <c r="V7" s="222">
        <f>Q7/R7</f>
        <v>3.9186711288834664E-2</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16140</v>
      </c>
      <c r="C12" s="244" t="s">
        <v>161</v>
      </c>
      <c r="D12" s="245">
        <f>SUM(D13:D16)</f>
        <v>19454.400000000001</v>
      </c>
      <c r="E12" s="245">
        <f>SUM(E13:E16)</f>
        <v>20038.025000000001</v>
      </c>
      <c r="F12" s="246">
        <f>D12+E12</f>
        <v>39492.425000000003</v>
      </c>
      <c r="H12" s="135"/>
      <c r="I12" s="247" t="str">
        <f t="shared" ref="I12:I53" si="1">C62</f>
        <v>Home Energy Reports - OPOWER</v>
      </c>
      <c r="J12" s="248"/>
      <c r="K12" s="249"/>
      <c r="L12" s="250">
        <f t="shared" ref="L12:L53" si="2">D62</f>
        <v>222</v>
      </c>
      <c r="M12" s="267">
        <v>24766</v>
      </c>
      <c r="N12" s="267">
        <v>24766</v>
      </c>
      <c r="O12" s="252">
        <f>M12+N12</f>
        <v>49532</v>
      </c>
      <c r="P12" s="253">
        <f t="shared" ref="P12:R27" si="3">M12*$D62</f>
        <v>5498052</v>
      </c>
      <c r="Q12" s="253">
        <f t="shared" si="3"/>
        <v>5498052</v>
      </c>
      <c r="R12" s="254">
        <f t="shared" si="3"/>
        <v>10996104</v>
      </c>
      <c r="T12" s="309">
        <v>0</v>
      </c>
    </row>
    <row r="13" spans="2:22" ht="13.8" x14ac:dyDescent="0.3">
      <c r="B13" s="256"/>
      <c r="C13" s="257" t="s">
        <v>265</v>
      </c>
      <c r="D13" s="258">
        <v>11116.8</v>
      </c>
      <c r="E13" s="258">
        <v>11450.3</v>
      </c>
      <c r="F13" s="258">
        <f>SUM(D13:E13)</f>
        <v>22567.1</v>
      </c>
      <c r="H13" s="135"/>
      <c r="I13" s="259" t="str">
        <f t="shared" si="1"/>
        <v>Personal Energy Efficiency Rewards - Efficiency 2.0</v>
      </c>
      <c r="J13" s="260"/>
      <c r="K13" s="261"/>
      <c r="L13" s="250">
        <f t="shared" si="2"/>
        <v>0</v>
      </c>
      <c r="M13" s="267">
        <v>40000</v>
      </c>
      <c r="N13" s="267">
        <v>40000</v>
      </c>
      <c r="O13" s="252">
        <f t="shared" ref="O13:O53" si="4">M13+N13</f>
        <v>80000</v>
      </c>
      <c r="P13" s="253">
        <f t="shared" si="3"/>
        <v>0</v>
      </c>
      <c r="Q13" s="253">
        <f t="shared" si="3"/>
        <v>0</v>
      </c>
      <c r="R13" s="254">
        <f t="shared" si="3"/>
        <v>0</v>
      </c>
      <c r="T13" s="263">
        <v>0</v>
      </c>
    </row>
    <row r="14" spans="2:22" ht="13.8" x14ac:dyDescent="0.3">
      <c r="B14" s="264"/>
      <c r="C14" s="265" t="s">
        <v>417</v>
      </c>
      <c r="D14" s="258">
        <v>0</v>
      </c>
      <c r="E14" s="258">
        <v>0</v>
      </c>
      <c r="F14" s="258">
        <f t="shared" ref="F14:F24" si="5">SUM(D14:E14)</f>
        <v>0</v>
      </c>
      <c r="H14" s="135"/>
      <c r="I14" s="259" t="str">
        <f t="shared" si="1"/>
        <v>Measure 3</v>
      </c>
      <c r="J14" s="260"/>
      <c r="K14" s="261"/>
      <c r="L14" s="250">
        <f t="shared" si="2"/>
        <v>0</v>
      </c>
      <c r="M14" s="267">
        <v>0</v>
      </c>
      <c r="N14" s="267">
        <v>0</v>
      </c>
      <c r="O14" s="252">
        <f t="shared" si="4"/>
        <v>0</v>
      </c>
      <c r="P14" s="253">
        <f t="shared" si="3"/>
        <v>0</v>
      </c>
      <c r="Q14" s="253">
        <f t="shared" si="3"/>
        <v>0</v>
      </c>
      <c r="R14" s="254">
        <f t="shared" si="3"/>
        <v>0</v>
      </c>
      <c r="T14" s="263">
        <v>0</v>
      </c>
    </row>
    <row r="15" spans="2:22" ht="13.8" x14ac:dyDescent="0.3">
      <c r="B15" s="264"/>
      <c r="C15" s="265" t="s">
        <v>418</v>
      </c>
      <c r="D15" s="268">
        <v>8337.6</v>
      </c>
      <c r="E15" s="268">
        <v>8587.7250000000004</v>
      </c>
      <c r="F15" s="258">
        <f t="shared" si="5"/>
        <v>16925.325000000001</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4.4" thickBot="1" x14ac:dyDescent="0.35">
      <c r="B16" s="264"/>
      <c r="C16" s="265" t="s">
        <v>419</v>
      </c>
      <c r="D16" s="268">
        <v>0</v>
      </c>
      <c r="E16" s="268">
        <v>0</v>
      </c>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72">
        <v>2400</v>
      </c>
      <c r="C17" s="244" t="s">
        <v>166</v>
      </c>
      <c r="D17" s="245">
        <f>SUM(D18:D21)</f>
        <v>6000</v>
      </c>
      <c r="E17" s="245">
        <f>SUM(E18:E21)</f>
        <v>6150</v>
      </c>
      <c r="F17" s="246">
        <f>D17+E17</f>
        <v>12150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346" t="s">
        <v>420</v>
      </c>
      <c r="D18" s="258">
        <v>3000</v>
      </c>
      <c r="E18" s="258">
        <v>3075</v>
      </c>
      <c r="F18" s="258">
        <f t="shared" si="5"/>
        <v>6075</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348" t="s">
        <v>421</v>
      </c>
      <c r="D19" s="258">
        <v>3000</v>
      </c>
      <c r="E19" s="258">
        <v>3075</v>
      </c>
      <c r="F19" s="258">
        <f t="shared" si="5"/>
        <v>6075</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11680</v>
      </c>
      <c r="C22" s="244" t="s">
        <v>167</v>
      </c>
      <c r="D22" s="245">
        <f>SUM(D23:D26)</f>
        <v>16036.272000000001</v>
      </c>
      <c r="E22" s="245">
        <f>SUM(E23:E26)</f>
        <v>16498.455750000001</v>
      </c>
      <c r="F22" s="246">
        <f>D22+E22</f>
        <v>32534.727750000002</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12256.272000000001</v>
      </c>
      <c r="E23" s="258">
        <f>0.63*E12</f>
        <v>12623.955750000001</v>
      </c>
      <c r="F23" s="258">
        <f t="shared" si="5"/>
        <v>24880.227750000002</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3780</v>
      </c>
      <c r="E24" s="266">
        <f>0.63*E17</f>
        <v>3874.5</v>
      </c>
      <c r="F24" s="258">
        <f t="shared" si="5"/>
        <v>7654.5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6000</v>
      </c>
      <c r="C27" s="244" t="s">
        <v>170</v>
      </c>
      <c r="D27" s="245">
        <f>SUM(D28:D31)</f>
        <v>0</v>
      </c>
      <c r="E27" s="245">
        <f>SUM(E28:E31)</f>
        <v>0</v>
      </c>
      <c r="F27" s="246">
        <f>D27+E27</f>
        <v>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v>0</v>
      </c>
      <c r="E28" s="258"/>
      <c r="F28" s="258">
        <f t="shared" ref="F28:F36" si="6">SUM(D28:E28)</f>
        <v>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1200</v>
      </c>
      <c r="C32" s="244" t="s">
        <v>171</v>
      </c>
      <c r="D32" s="245">
        <f>SUM(D33:D36)</f>
        <v>0</v>
      </c>
      <c r="E32" s="245">
        <f>SUM(E33:E36)</f>
        <v>0</v>
      </c>
      <c r="F32" s="246">
        <f>D32+E32</f>
        <v>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0</v>
      </c>
      <c r="E33" s="266"/>
      <c r="F33" s="258">
        <f t="shared" si="6"/>
        <v>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400404</v>
      </c>
      <c r="C37" s="244" t="s">
        <v>172</v>
      </c>
      <c r="D37" s="245">
        <f>SUM(D38:D41)</f>
        <v>173362</v>
      </c>
      <c r="E37" s="245">
        <f>SUM(E38:E41)</f>
        <v>173362</v>
      </c>
      <c r="F37" s="246">
        <f>D37+E37</f>
        <v>346724</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597</v>
      </c>
      <c r="D38" s="3489">
        <v>86681</v>
      </c>
      <c r="E38" s="3489">
        <v>86681</v>
      </c>
      <c r="F38" s="258">
        <f t="shared" ref="F38:F51" si="8">SUM(D38:E38)</f>
        <v>173362</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598</v>
      </c>
      <c r="D39" s="3489">
        <v>0</v>
      </c>
      <c r="E39" s="3489">
        <v>0</v>
      </c>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599</v>
      </c>
      <c r="D40" s="3489">
        <v>86681</v>
      </c>
      <c r="E40" s="3489">
        <v>86681</v>
      </c>
      <c r="F40" s="258">
        <f t="shared" si="8"/>
        <v>173362</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1800</v>
      </c>
      <c r="C47" s="244" t="s">
        <v>174</v>
      </c>
      <c r="D47" s="245">
        <f>SUM(D48:D51)</f>
        <v>0</v>
      </c>
      <c r="E47" s="245">
        <f>SUM(E48:E51)</f>
        <v>0</v>
      </c>
      <c r="F47" s="246">
        <f>D47+E47</f>
        <v>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0</v>
      </c>
      <c r="E48" s="266"/>
      <c r="F48" s="258">
        <f t="shared" si="8"/>
        <v>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72">
        <v>327302</v>
      </c>
      <c r="C52" s="244" t="s">
        <v>175</v>
      </c>
      <c r="D52" s="245">
        <f>S104</f>
        <v>0</v>
      </c>
      <c r="E52" s="245">
        <f>T104</f>
        <v>0</v>
      </c>
      <c r="F52" s="246">
        <f>U104</f>
        <v>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766926</v>
      </c>
      <c r="C54" s="274" t="s">
        <v>178</v>
      </c>
      <c r="D54" s="273">
        <f>D12+D17+D22+D27+D32+D37+D42+D47+D52+D53</f>
        <v>214852.67200000002</v>
      </c>
      <c r="E54" s="273">
        <f>E12+E17+E22+E27+E32+E37+E42+E47+E52+E53</f>
        <v>216048.48074999999</v>
      </c>
      <c r="F54" s="273">
        <f>F12+F17+F22+F27+F32+F37+F42+F47+F52+F53</f>
        <v>430901.15275000001</v>
      </c>
      <c r="P54" s="275">
        <f>SUM(P12:P53)</f>
        <v>5498052</v>
      </c>
      <c r="Q54" s="275">
        <f>SUM(Q12:Q53)</f>
        <v>5498052</v>
      </c>
      <c r="R54" s="275">
        <f>SUM(R12:R53)</f>
        <v>10996104</v>
      </c>
      <c r="T54" s="275">
        <f>SUM(T12:T53)</f>
        <v>0</v>
      </c>
    </row>
    <row r="55" spans="2:24" ht="13.8" x14ac:dyDescent="0.3">
      <c r="C55" s="274"/>
      <c r="D55" s="273"/>
      <c r="E55" s="273"/>
      <c r="F55" s="273"/>
    </row>
    <row r="56" spans="2:24" ht="13.8" x14ac:dyDescent="0.3">
      <c r="C56" s="274" t="s">
        <v>179</v>
      </c>
      <c r="D56" s="273">
        <f>D54-D52</f>
        <v>214852.67200000002</v>
      </c>
      <c r="E56" s="273">
        <f>E54-E52</f>
        <v>216048.48074999999</v>
      </c>
      <c r="F56" s="273">
        <f>F54-F52</f>
        <v>430901.15275000001</v>
      </c>
    </row>
    <row r="57" spans="2:24" ht="13.8" x14ac:dyDescent="0.3">
      <c r="C57" s="274" t="s">
        <v>180</v>
      </c>
      <c r="D57" s="276">
        <f>D52</f>
        <v>0</v>
      </c>
      <c r="E57" s="276">
        <f>E52</f>
        <v>0</v>
      </c>
      <c r="F57" s="276">
        <f>F52</f>
        <v>0</v>
      </c>
      <c r="G57" s="335">
        <f>F57/(F56+F57)</f>
        <v>0</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96" t="s">
        <v>600</v>
      </c>
      <c r="D62" s="267">
        <v>222</v>
      </c>
      <c r="E62" s="267" t="s">
        <v>206</v>
      </c>
      <c r="F62" s="267" t="s">
        <v>211</v>
      </c>
      <c r="G62" s="297">
        <v>10</v>
      </c>
      <c r="H62" s="328"/>
      <c r="I62" s="326">
        <v>0.35</v>
      </c>
      <c r="J62" s="267">
        <v>1</v>
      </c>
      <c r="K62" s="267" t="s">
        <v>208</v>
      </c>
      <c r="L62" s="3865">
        <f>P62/N62</f>
        <v>7.10300014362128</v>
      </c>
      <c r="M62" s="3865">
        <f>Q62/O62</f>
        <v>1.8237137438767077</v>
      </c>
      <c r="N62" s="218">
        <f>(($I62*$F$56)+$U62)/$R62</f>
        <v>139514.71180619797</v>
      </c>
      <c r="O62" s="218">
        <f>(($I62*$F$56)+($G62*$O12))/$R62</f>
        <v>597720.07720860315</v>
      </c>
      <c r="P62" s="218">
        <f>IF(K62=0, 0, (HLOOKUP(K62,'[1]E-CESTDWO'!$A$5:$O$35,J62+1,FALSE)*R12))</f>
        <v>990973.01799670572</v>
      </c>
      <c r="Q62" s="218">
        <f>IF(K62=0, 0, (HLOOKUP(K62,'[1]E-CESTD'!$A$5:$O$35,J62+1,FALSE)*R12))</f>
        <v>1090070.3197963764</v>
      </c>
      <c r="R62" s="292">
        <v>1.081</v>
      </c>
      <c r="S62" s="293">
        <f t="shared" ref="S62:U77" si="10">M12*$H62</f>
        <v>0</v>
      </c>
      <c r="T62" s="293">
        <f t="shared" si="10"/>
        <v>0</v>
      </c>
      <c r="U62" s="293">
        <f t="shared" si="10"/>
        <v>0</v>
      </c>
      <c r="V62" s="338">
        <f>U62/(U62+(I62*F$56))</f>
        <v>0</v>
      </c>
      <c r="W62" s="338">
        <f t="shared" ref="W62:W80" si="11">(I62*((F$17*1.63)+F$27))/(U62+(I62*F$56))</f>
        <v>4.5960656808662952E-2</v>
      </c>
      <c r="X62" s="338">
        <f>(I62*F$37)/(U62+(I62*F$56))</f>
        <v>0.80464857842040205</v>
      </c>
    </row>
    <row r="63" spans="2:24" ht="13.8" x14ac:dyDescent="0.3">
      <c r="B63" s="296"/>
      <c r="C63" s="296" t="s">
        <v>601</v>
      </c>
      <c r="D63" s="296">
        <v>0</v>
      </c>
      <c r="E63" s="296" t="s">
        <v>206</v>
      </c>
      <c r="F63" s="267" t="s">
        <v>211</v>
      </c>
      <c r="G63" s="297">
        <v>18</v>
      </c>
      <c r="H63" s="328"/>
      <c r="I63" s="326">
        <v>0.65</v>
      </c>
      <c r="J63" s="267">
        <v>1</v>
      </c>
      <c r="K63" s="267" t="s">
        <v>208</v>
      </c>
      <c r="L63" s="3865">
        <f t="shared" ref="L63:M103" si="12">P63/N63</f>
        <v>0</v>
      </c>
      <c r="M63" s="3865">
        <f t="shared" si="12"/>
        <v>0</v>
      </c>
      <c r="N63" s="218">
        <f t="shared" ref="N63:N103" si="13">(($I63*$F$56)+$U63)/$R63</f>
        <v>259098.7504972248</v>
      </c>
      <c r="O63" s="218">
        <f t="shared" ref="O63:O103" si="14">(($I63*$F$56)+($G63*$O13))/$R63</f>
        <v>1591198.6579902868</v>
      </c>
      <c r="P63" s="218">
        <f>IF(K63=0, 0, (HLOOKUP(K63,'[1]E-CESTDWO'!$A$5:$O$35,J63+1,FALSE)*R13))</f>
        <v>0</v>
      </c>
      <c r="Q63" s="218">
        <f>IF(K63=0, 0, (HLOOKUP(K63,'[1]E-CESTD'!$A$5:$O$35,J63+1,FALSE)*R13))</f>
        <v>0</v>
      </c>
      <c r="R63" s="292">
        <v>1.081</v>
      </c>
      <c r="S63" s="293">
        <f t="shared" si="10"/>
        <v>0</v>
      </c>
      <c r="T63" s="293">
        <f t="shared" si="10"/>
        <v>0</v>
      </c>
      <c r="U63" s="293">
        <f t="shared" si="10"/>
        <v>0</v>
      </c>
      <c r="V63" s="338">
        <f t="shared" ref="V63:V80" si="15">U63/(U63+(I63*F$56))</f>
        <v>0</v>
      </c>
      <c r="W63" s="338">
        <f t="shared" si="11"/>
        <v>4.5960656808662952E-2</v>
      </c>
      <c r="X63" s="338">
        <f t="shared" ref="X63:X80" si="16">(I63*F$37)/(U63+(I63*F$56))</f>
        <v>0.80464857842040205</v>
      </c>
    </row>
    <row r="64" spans="2:24" ht="13.8" x14ac:dyDescent="0.3">
      <c r="B64" s="296"/>
      <c r="C64" s="296" t="s">
        <v>411</v>
      </c>
      <c r="D64" s="296">
        <v>0</v>
      </c>
      <c r="E64" s="296" t="s">
        <v>206</v>
      </c>
      <c r="F64" s="296" t="s">
        <v>211</v>
      </c>
      <c r="G64" s="297"/>
      <c r="H64" s="297"/>
      <c r="I64" s="326">
        <v>0</v>
      </c>
      <c r="J64" s="267"/>
      <c r="K64" s="267"/>
      <c r="L64" s="3865" t="e">
        <f t="shared" si="12"/>
        <v>#DIV/0!</v>
      </c>
      <c r="M64" s="3865" t="e">
        <f t="shared" si="12"/>
        <v>#DIV/0!</v>
      </c>
      <c r="N64" s="218">
        <f t="shared" si="13"/>
        <v>0</v>
      </c>
      <c r="O64" s="218">
        <f t="shared" si="14"/>
        <v>0</v>
      </c>
      <c r="P64" s="218">
        <f>IF(K64=0, 0, (HLOOKUP(K64,'[1]E-CESTDWO'!$A$5:$O$35,J64+1,FALSE)*R14))</f>
        <v>0</v>
      </c>
      <c r="Q64" s="218">
        <f>IF(K64=0, 0, (HLOOKUP(K64,'[1]E-CESTD'!$A$5:$O$35,J64+1,FALSE)*R14))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96" t="s">
        <v>213</v>
      </c>
      <c r="D65" s="296">
        <v>0</v>
      </c>
      <c r="E65" s="296" t="s">
        <v>206</v>
      </c>
      <c r="F65" s="296" t="s">
        <v>211</v>
      </c>
      <c r="G65" s="297"/>
      <c r="H65" s="297"/>
      <c r="I65" s="326">
        <v>0</v>
      </c>
      <c r="J65" s="267"/>
      <c r="K65" s="267"/>
      <c r="L65" s="3865" t="e">
        <f t="shared" si="12"/>
        <v>#DIV/0!</v>
      </c>
      <c r="M65" s="3865"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96">
        <v>0</v>
      </c>
      <c r="E66" s="296" t="s">
        <v>206</v>
      </c>
      <c r="F66" s="296" t="s">
        <v>211</v>
      </c>
      <c r="G66" s="297"/>
      <c r="H66" s="297"/>
      <c r="I66" s="326">
        <v>0</v>
      </c>
      <c r="J66" s="267"/>
      <c r="K66" s="267"/>
      <c r="L66" s="3865" t="e">
        <f t="shared" si="12"/>
        <v>#DIV/0!</v>
      </c>
      <c r="M66" s="3865"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206</v>
      </c>
      <c r="F67" s="296" t="s">
        <v>211</v>
      </c>
      <c r="G67" s="297"/>
      <c r="H67" s="297"/>
      <c r="I67" s="326">
        <v>0</v>
      </c>
      <c r="J67" s="267"/>
      <c r="K67" s="267"/>
      <c r="L67" s="3865" t="e">
        <f t="shared" si="12"/>
        <v>#DIV/0!</v>
      </c>
      <c r="M67" s="3865"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96">
        <v>0</v>
      </c>
      <c r="E68" s="296" t="s">
        <v>206</v>
      </c>
      <c r="F68" s="296" t="s">
        <v>211</v>
      </c>
      <c r="G68" s="297"/>
      <c r="H68" s="297"/>
      <c r="I68" s="326">
        <v>0</v>
      </c>
      <c r="J68" s="267"/>
      <c r="K68" s="267"/>
      <c r="L68" s="3865" t="e">
        <f t="shared" si="12"/>
        <v>#DIV/0!</v>
      </c>
      <c r="M68" s="3865"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206</v>
      </c>
      <c r="F69" s="296" t="s">
        <v>211</v>
      </c>
      <c r="G69" s="297"/>
      <c r="H69" s="297"/>
      <c r="I69" s="326">
        <v>0</v>
      </c>
      <c r="J69" s="267"/>
      <c r="K69" s="267"/>
      <c r="L69" s="3865" t="e">
        <f t="shared" si="12"/>
        <v>#DIV/0!</v>
      </c>
      <c r="M69" s="3865"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96">
        <v>0</v>
      </c>
      <c r="E70" s="296" t="s">
        <v>206</v>
      </c>
      <c r="F70" s="296" t="s">
        <v>211</v>
      </c>
      <c r="G70" s="297"/>
      <c r="H70" s="297"/>
      <c r="I70" s="326">
        <v>0</v>
      </c>
      <c r="J70" s="267"/>
      <c r="K70" s="267"/>
      <c r="L70" s="3865" t="e">
        <f t="shared" si="12"/>
        <v>#DIV/0!</v>
      </c>
      <c r="M70" s="3865"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206</v>
      </c>
      <c r="F71" s="296" t="s">
        <v>211</v>
      </c>
      <c r="G71" s="297"/>
      <c r="H71" s="297"/>
      <c r="I71" s="326">
        <v>0</v>
      </c>
      <c r="J71" s="267"/>
      <c r="K71" s="267"/>
      <c r="L71" s="3865" t="e">
        <f t="shared" si="12"/>
        <v>#DIV/0!</v>
      </c>
      <c r="M71" s="3865"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96">
        <v>0</v>
      </c>
      <c r="E72" s="296" t="s">
        <v>206</v>
      </c>
      <c r="F72" s="296" t="s">
        <v>211</v>
      </c>
      <c r="G72" s="297"/>
      <c r="H72" s="297"/>
      <c r="I72" s="326">
        <v>0</v>
      </c>
      <c r="J72" s="267"/>
      <c r="K72" s="267"/>
      <c r="L72" s="3865" t="e">
        <f t="shared" si="12"/>
        <v>#DIV/0!</v>
      </c>
      <c r="M72" s="3865"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206</v>
      </c>
      <c r="F73" s="296" t="s">
        <v>211</v>
      </c>
      <c r="G73" s="297"/>
      <c r="H73" s="297"/>
      <c r="I73" s="326">
        <v>0</v>
      </c>
      <c r="J73" s="267"/>
      <c r="K73" s="267"/>
      <c r="L73" s="3865" t="e">
        <f t="shared" si="12"/>
        <v>#DIV/0!</v>
      </c>
      <c r="M73" s="3865"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96">
        <v>0</v>
      </c>
      <c r="E74" s="296" t="s">
        <v>206</v>
      </c>
      <c r="F74" s="296" t="s">
        <v>211</v>
      </c>
      <c r="G74" s="297"/>
      <c r="H74" s="297"/>
      <c r="I74" s="326">
        <v>0</v>
      </c>
      <c r="J74" s="267"/>
      <c r="K74" s="267"/>
      <c r="L74" s="3865" t="e">
        <f t="shared" si="12"/>
        <v>#DIV/0!</v>
      </c>
      <c r="M74" s="3865"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206</v>
      </c>
      <c r="F75" s="296" t="s">
        <v>211</v>
      </c>
      <c r="G75" s="297"/>
      <c r="H75" s="297"/>
      <c r="I75" s="326">
        <v>0</v>
      </c>
      <c r="J75" s="267"/>
      <c r="K75" s="267"/>
      <c r="L75" s="3865" t="e">
        <f t="shared" si="12"/>
        <v>#DIV/0!</v>
      </c>
      <c r="M75" s="3865"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96">
        <v>0</v>
      </c>
      <c r="E76" s="296" t="s">
        <v>206</v>
      </c>
      <c r="F76" s="296" t="s">
        <v>211</v>
      </c>
      <c r="G76" s="297"/>
      <c r="H76" s="297"/>
      <c r="I76" s="326">
        <v>0</v>
      </c>
      <c r="J76" s="267"/>
      <c r="K76" s="267"/>
      <c r="L76" s="3865" t="e">
        <f t="shared" si="12"/>
        <v>#DIV/0!</v>
      </c>
      <c r="M76" s="3865"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206</v>
      </c>
      <c r="F77" s="296" t="s">
        <v>211</v>
      </c>
      <c r="G77" s="297"/>
      <c r="H77" s="297"/>
      <c r="I77" s="326">
        <v>0</v>
      </c>
      <c r="J77" s="267"/>
      <c r="K77" s="267"/>
      <c r="L77" s="3865" t="e">
        <f t="shared" si="12"/>
        <v>#DIV/0!</v>
      </c>
      <c r="M77" s="3865"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96">
        <v>0</v>
      </c>
      <c r="E78" s="296" t="s">
        <v>206</v>
      </c>
      <c r="F78" s="296" t="s">
        <v>211</v>
      </c>
      <c r="G78" s="297"/>
      <c r="H78" s="297"/>
      <c r="I78" s="326">
        <v>0</v>
      </c>
      <c r="J78" s="267"/>
      <c r="K78" s="267"/>
      <c r="L78" s="3865" t="e">
        <f t="shared" si="12"/>
        <v>#DIV/0!</v>
      </c>
      <c r="M78" s="3865"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206</v>
      </c>
      <c r="F79" s="296" t="s">
        <v>211</v>
      </c>
      <c r="G79" s="297"/>
      <c r="H79" s="297"/>
      <c r="I79" s="326">
        <v>0</v>
      </c>
      <c r="J79" s="267"/>
      <c r="K79" s="267"/>
      <c r="L79" s="3865" t="e">
        <f t="shared" si="12"/>
        <v>#DIV/0!</v>
      </c>
      <c r="M79" s="3865"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206</v>
      </c>
      <c r="F80" s="296" t="s">
        <v>211</v>
      </c>
      <c r="G80" s="297"/>
      <c r="H80" s="297"/>
      <c r="I80" s="326">
        <v>0</v>
      </c>
      <c r="J80" s="267"/>
      <c r="K80" s="267"/>
      <c r="L80" s="3865" t="e">
        <f t="shared" si="12"/>
        <v>#DIV/0!</v>
      </c>
      <c r="M80" s="3865"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206</v>
      </c>
      <c r="F81" s="296" t="s">
        <v>211</v>
      </c>
      <c r="G81" s="297"/>
      <c r="H81" s="297"/>
      <c r="I81" s="326">
        <v>0</v>
      </c>
      <c r="J81" s="267"/>
      <c r="K81" s="267"/>
      <c r="L81" s="3865" t="e">
        <f t="shared" si="12"/>
        <v>#DIV/0!</v>
      </c>
      <c r="M81" s="3865"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326">
        <v>0</v>
      </c>
      <c r="J82" s="267"/>
      <c r="K82" s="267"/>
      <c r="L82" s="3865" t="e">
        <f t="shared" si="12"/>
        <v>#DIV/0!</v>
      </c>
      <c r="M82" s="3865"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326">
        <v>0</v>
      </c>
      <c r="J83" s="267"/>
      <c r="K83" s="267"/>
      <c r="L83" s="3865" t="e">
        <f t="shared" si="12"/>
        <v>#DIV/0!</v>
      </c>
      <c r="M83" s="3865"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326">
        <v>0</v>
      </c>
      <c r="J84" s="267"/>
      <c r="K84" s="267"/>
      <c r="L84" s="3865" t="e">
        <f t="shared" si="12"/>
        <v>#DIV/0!</v>
      </c>
      <c r="M84" s="3865"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326">
        <v>0</v>
      </c>
      <c r="J85" s="267"/>
      <c r="K85" s="267"/>
      <c r="L85" s="3865" t="e">
        <f t="shared" si="12"/>
        <v>#DIV/0!</v>
      </c>
      <c r="M85" s="3865"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326">
        <v>0</v>
      </c>
      <c r="J86" s="267"/>
      <c r="K86" s="267"/>
      <c r="L86" s="3865" t="e">
        <f t="shared" si="12"/>
        <v>#DIV/0!</v>
      </c>
      <c r="M86" s="3865"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326">
        <v>0</v>
      </c>
      <c r="J87" s="267"/>
      <c r="K87" s="267"/>
      <c r="L87" s="3865" t="e">
        <f t="shared" si="12"/>
        <v>#DIV/0!</v>
      </c>
      <c r="M87" s="3865"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326">
        <v>0</v>
      </c>
      <c r="J88" s="267"/>
      <c r="K88" s="267"/>
      <c r="L88" s="3865" t="e">
        <f t="shared" si="12"/>
        <v>#DIV/0!</v>
      </c>
      <c r="M88" s="3865"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326">
        <v>0</v>
      </c>
      <c r="J89" s="267"/>
      <c r="K89" s="267"/>
      <c r="L89" s="3865" t="e">
        <f t="shared" si="12"/>
        <v>#DIV/0!</v>
      </c>
      <c r="M89" s="3865"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326">
        <v>0</v>
      </c>
      <c r="J90" s="267"/>
      <c r="K90" s="267"/>
      <c r="L90" s="3865" t="e">
        <f t="shared" si="12"/>
        <v>#DIV/0!</v>
      </c>
      <c r="M90" s="3865"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326">
        <v>0</v>
      </c>
      <c r="J91" s="267"/>
      <c r="K91" s="267"/>
      <c r="L91" s="3865" t="e">
        <f t="shared" si="12"/>
        <v>#DIV/0!</v>
      </c>
      <c r="M91" s="3865"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326">
        <v>0</v>
      </c>
      <c r="J92" s="267"/>
      <c r="K92" s="267"/>
      <c r="L92" s="3865" t="e">
        <f t="shared" si="12"/>
        <v>#DIV/0!</v>
      </c>
      <c r="M92" s="3865"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326">
        <v>0</v>
      </c>
      <c r="J93" s="267"/>
      <c r="K93" s="267"/>
      <c r="L93" s="3865" t="e">
        <f t="shared" si="12"/>
        <v>#DIV/0!</v>
      </c>
      <c r="M93" s="3865"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326">
        <v>0</v>
      </c>
      <c r="J94" s="267"/>
      <c r="K94" s="267"/>
      <c r="L94" s="3865" t="e">
        <f t="shared" si="12"/>
        <v>#DIV/0!</v>
      </c>
      <c r="M94" s="3865"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326">
        <v>0</v>
      </c>
      <c r="J95" s="267"/>
      <c r="K95" s="267"/>
      <c r="L95" s="3865" t="e">
        <f t="shared" si="12"/>
        <v>#DIV/0!</v>
      </c>
      <c r="M95" s="3865"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326">
        <v>0</v>
      </c>
      <c r="J96" s="267"/>
      <c r="K96" s="267"/>
      <c r="L96" s="3865" t="e">
        <f t="shared" si="12"/>
        <v>#DIV/0!</v>
      </c>
      <c r="M96" s="3865"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326">
        <v>0</v>
      </c>
      <c r="J97" s="267"/>
      <c r="K97" s="267"/>
      <c r="L97" s="3865" t="e">
        <f t="shared" si="12"/>
        <v>#DIV/0!</v>
      </c>
      <c r="M97" s="3865"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326">
        <v>0</v>
      </c>
      <c r="J98" s="267"/>
      <c r="K98" s="267"/>
      <c r="L98" s="3865" t="e">
        <f t="shared" si="12"/>
        <v>#DIV/0!</v>
      </c>
      <c r="M98" s="3865"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326">
        <v>0</v>
      </c>
      <c r="J99" s="267"/>
      <c r="K99" s="267"/>
      <c r="L99" s="3865" t="e">
        <f t="shared" si="12"/>
        <v>#DIV/0!</v>
      </c>
      <c r="M99" s="3865"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1935320</v>
      </c>
      <c r="H104" s="301">
        <f>U104</f>
        <v>0</v>
      </c>
      <c r="I104" s="302">
        <f>SUM(I62:I103)</f>
        <v>1</v>
      </c>
      <c r="J104" s="303">
        <f>ROUND(SUMPRODUCT(J62:J103,R12:R53)/R54,0)</f>
        <v>1</v>
      </c>
      <c r="K104" s="274"/>
      <c r="L104" s="3866">
        <f>P104/N104</f>
        <v>2.4860500502674485</v>
      </c>
      <c r="M104" s="3867">
        <f>Q104/O104</f>
        <v>0.49799487859805369</v>
      </c>
      <c r="N104" s="306">
        <f>SUM(N62:N103)</f>
        <v>398613.46230342274</v>
      </c>
      <c r="O104" s="306">
        <f>SUM(O62:O103)</f>
        <v>2188918.7351988899</v>
      </c>
      <c r="P104" s="306">
        <f>SUM(P62:P103)</f>
        <v>990973.01799670572</v>
      </c>
      <c r="Q104" s="306">
        <f>SUM(Q62:Q103)</f>
        <v>1090070.3197963764</v>
      </c>
      <c r="R104" s="307"/>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3" right="0.18" top="0.35" bottom="0.33" header="0.3" footer="0.3"/>
  <pageSetup paperSize="17" scale="53" orientation="landscape" r:id="rId2"/>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44"/>
  <sheetViews>
    <sheetView workbookViewId="0">
      <pane xSplit="1" ySplit="1" topLeftCell="L2" activePane="bottomRight" state="frozen"/>
      <selection pane="topRight" activeCell="B1" sqref="B1"/>
      <selection pane="bottomLeft" activeCell="A2" sqref="A2"/>
      <selection pane="bottomRight" activeCell="G48" sqref="G48"/>
    </sheetView>
  </sheetViews>
  <sheetFormatPr defaultRowHeight="13.2" x14ac:dyDescent="0.25"/>
  <cols>
    <col min="1" max="1" width="15.109375" style="3369" customWidth="1"/>
    <col min="2" max="2" width="18.5546875" customWidth="1"/>
    <col min="3" max="3" width="30.6640625" customWidth="1"/>
    <col min="4" max="4" width="15.88671875" style="19" customWidth="1"/>
    <col min="5" max="5" width="15.88671875" customWidth="1"/>
    <col min="6" max="6" width="16.6640625" bestFit="1" customWidth="1"/>
    <col min="7" max="7" width="1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20.88671875" bestFit="1" customWidth="1"/>
    <col min="17" max="17" width="23.44140625" bestFit="1" customWidth="1"/>
    <col min="18" max="18" width="23.33203125" bestFit="1" customWidth="1"/>
    <col min="19" max="19" width="15.5546875" bestFit="1" customWidth="1"/>
    <col min="20" max="20" width="20.5546875" bestFit="1" customWidth="1"/>
    <col min="21" max="21" width="18.33203125"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0" customWidth="1"/>
    <col min="259" max="259" width="36.88671875" customWidth="1"/>
    <col min="260" max="260" width="19.6640625" bestFit="1" customWidth="1"/>
    <col min="261" max="261" width="21" customWidth="1"/>
    <col min="262" max="262" width="16.6640625" bestFit="1" customWidth="1"/>
    <col min="263" max="263" width="1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20.88671875" bestFit="1" customWidth="1"/>
    <col min="273" max="273" width="23.44140625" bestFit="1" customWidth="1"/>
    <col min="274" max="274" width="23.33203125" bestFit="1" customWidth="1"/>
    <col min="275" max="275" width="15.5546875" bestFit="1" customWidth="1"/>
    <col min="276" max="276" width="20.5546875" bestFit="1" customWidth="1"/>
    <col min="277" max="277" width="18.33203125"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0" customWidth="1"/>
    <col min="515" max="515" width="36.88671875" customWidth="1"/>
    <col min="516" max="516" width="19.6640625" bestFit="1" customWidth="1"/>
    <col min="517" max="517" width="21" customWidth="1"/>
    <col min="518" max="518" width="16.6640625" bestFit="1" customWidth="1"/>
    <col min="519" max="519" width="1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20.88671875" bestFit="1" customWidth="1"/>
    <col min="529" max="529" width="23.44140625" bestFit="1" customWidth="1"/>
    <col min="530" max="530" width="23.33203125" bestFit="1" customWidth="1"/>
    <col min="531" max="531" width="15.5546875" bestFit="1" customWidth="1"/>
    <col min="532" max="532" width="20.5546875" bestFit="1" customWidth="1"/>
    <col min="533" max="533" width="18.33203125"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0" customWidth="1"/>
    <col min="771" max="771" width="36.88671875" customWidth="1"/>
    <col min="772" max="772" width="19.6640625" bestFit="1" customWidth="1"/>
    <col min="773" max="773" width="21" customWidth="1"/>
    <col min="774" max="774" width="16.6640625" bestFit="1" customWidth="1"/>
    <col min="775" max="775" width="1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20.88671875" bestFit="1" customWidth="1"/>
    <col min="785" max="785" width="23.44140625" bestFit="1" customWidth="1"/>
    <col min="786" max="786" width="23.33203125" bestFit="1" customWidth="1"/>
    <col min="787" max="787" width="15.5546875" bestFit="1" customWidth="1"/>
    <col min="788" max="788" width="20.5546875" bestFit="1" customWidth="1"/>
    <col min="789" max="789" width="18.33203125"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0" customWidth="1"/>
    <col min="1027" max="1027" width="36.88671875" customWidth="1"/>
    <col min="1028" max="1028" width="19.6640625" bestFit="1" customWidth="1"/>
    <col min="1029" max="1029" width="21" customWidth="1"/>
    <col min="1030" max="1030" width="16.6640625" bestFit="1" customWidth="1"/>
    <col min="1031" max="1031" width="1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20.88671875" bestFit="1" customWidth="1"/>
    <col min="1041" max="1041" width="23.44140625" bestFit="1" customWidth="1"/>
    <col min="1042" max="1042" width="23.33203125" bestFit="1" customWidth="1"/>
    <col min="1043" max="1043" width="15.5546875" bestFit="1" customWidth="1"/>
    <col min="1044" max="1044" width="20.5546875" bestFit="1" customWidth="1"/>
    <col min="1045" max="1045" width="18.33203125"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0" customWidth="1"/>
    <col min="1283" max="1283" width="36.88671875" customWidth="1"/>
    <col min="1284" max="1284" width="19.6640625" bestFit="1" customWidth="1"/>
    <col min="1285" max="1285" width="21" customWidth="1"/>
    <col min="1286" max="1286" width="16.6640625" bestFit="1" customWidth="1"/>
    <col min="1287" max="1287" width="1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20.88671875" bestFit="1" customWidth="1"/>
    <col min="1297" max="1297" width="23.44140625" bestFit="1" customWidth="1"/>
    <col min="1298" max="1298" width="23.33203125" bestFit="1" customWidth="1"/>
    <col min="1299" max="1299" width="15.5546875" bestFit="1" customWidth="1"/>
    <col min="1300" max="1300" width="20.5546875" bestFit="1" customWidth="1"/>
    <col min="1301" max="1301" width="18.33203125"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0" customWidth="1"/>
    <col min="1539" max="1539" width="36.88671875" customWidth="1"/>
    <col min="1540" max="1540" width="19.6640625" bestFit="1" customWidth="1"/>
    <col min="1541" max="1541" width="21" customWidth="1"/>
    <col min="1542" max="1542" width="16.6640625" bestFit="1" customWidth="1"/>
    <col min="1543" max="1543" width="1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20.88671875" bestFit="1" customWidth="1"/>
    <col min="1553" max="1553" width="23.44140625" bestFit="1" customWidth="1"/>
    <col min="1554" max="1554" width="23.33203125" bestFit="1" customWidth="1"/>
    <col min="1555" max="1555" width="15.5546875" bestFit="1" customWidth="1"/>
    <col min="1556" max="1556" width="20.5546875" bestFit="1" customWidth="1"/>
    <col min="1557" max="1557" width="18.33203125"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0" customWidth="1"/>
    <col min="1795" max="1795" width="36.88671875" customWidth="1"/>
    <col min="1796" max="1796" width="19.6640625" bestFit="1" customWidth="1"/>
    <col min="1797" max="1797" width="21" customWidth="1"/>
    <col min="1798" max="1798" width="16.6640625" bestFit="1" customWidth="1"/>
    <col min="1799" max="1799" width="1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20.88671875" bestFit="1" customWidth="1"/>
    <col min="1809" max="1809" width="23.44140625" bestFit="1" customWidth="1"/>
    <col min="1810" max="1810" width="23.33203125" bestFit="1" customWidth="1"/>
    <col min="1811" max="1811" width="15.5546875" bestFit="1" customWidth="1"/>
    <col min="1812" max="1812" width="20.5546875" bestFit="1" customWidth="1"/>
    <col min="1813" max="1813" width="18.33203125"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0" customWidth="1"/>
    <col min="2051" max="2051" width="36.88671875" customWidth="1"/>
    <col min="2052" max="2052" width="19.6640625" bestFit="1" customWidth="1"/>
    <col min="2053" max="2053" width="21" customWidth="1"/>
    <col min="2054" max="2054" width="16.6640625" bestFit="1" customWidth="1"/>
    <col min="2055" max="2055" width="1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20.88671875" bestFit="1" customWidth="1"/>
    <col min="2065" max="2065" width="23.44140625" bestFit="1" customWidth="1"/>
    <col min="2066" max="2066" width="23.33203125" bestFit="1" customWidth="1"/>
    <col min="2067" max="2067" width="15.5546875" bestFit="1" customWidth="1"/>
    <col min="2068" max="2068" width="20.5546875" bestFit="1" customWidth="1"/>
    <col min="2069" max="2069" width="18.33203125"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0" customWidth="1"/>
    <col min="2307" max="2307" width="36.88671875" customWidth="1"/>
    <col min="2308" max="2308" width="19.6640625" bestFit="1" customWidth="1"/>
    <col min="2309" max="2309" width="21" customWidth="1"/>
    <col min="2310" max="2310" width="16.6640625" bestFit="1" customWidth="1"/>
    <col min="2311" max="2311" width="1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20.88671875" bestFit="1" customWidth="1"/>
    <col min="2321" max="2321" width="23.44140625" bestFit="1" customWidth="1"/>
    <col min="2322" max="2322" width="23.33203125" bestFit="1" customWidth="1"/>
    <col min="2323" max="2323" width="15.5546875" bestFit="1" customWidth="1"/>
    <col min="2324" max="2324" width="20.5546875" bestFit="1" customWidth="1"/>
    <col min="2325" max="2325" width="18.33203125"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0" customWidth="1"/>
    <col min="2563" max="2563" width="36.88671875" customWidth="1"/>
    <col min="2564" max="2564" width="19.6640625" bestFit="1" customWidth="1"/>
    <col min="2565" max="2565" width="21" customWidth="1"/>
    <col min="2566" max="2566" width="16.6640625" bestFit="1" customWidth="1"/>
    <col min="2567" max="2567" width="1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20.88671875" bestFit="1" customWidth="1"/>
    <col min="2577" max="2577" width="23.44140625" bestFit="1" customWidth="1"/>
    <col min="2578" max="2578" width="23.33203125" bestFit="1" customWidth="1"/>
    <col min="2579" max="2579" width="15.5546875" bestFit="1" customWidth="1"/>
    <col min="2580" max="2580" width="20.5546875" bestFit="1" customWidth="1"/>
    <col min="2581" max="2581" width="18.33203125"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0" customWidth="1"/>
    <col min="2819" max="2819" width="36.88671875" customWidth="1"/>
    <col min="2820" max="2820" width="19.6640625" bestFit="1" customWidth="1"/>
    <col min="2821" max="2821" width="21" customWidth="1"/>
    <col min="2822" max="2822" width="16.6640625" bestFit="1" customWidth="1"/>
    <col min="2823" max="2823" width="1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20.88671875" bestFit="1" customWidth="1"/>
    <col min="2833" max="2833" width="23.44140625" bestFit="1" customWidth="1"/>
    <col min="2834" max="2834" width="23.33203125" bestFit="1" customWidth="1"/>
    <col min="2835" max="2835" width="15.5546875" bestFit="1" customWidth="1"/>
    <col min="2836" max="2836" width="20.5546875" bestFit="1" customWidth="1"/>
    <col min="2837" max="2837" width="18.33203125"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0" customWidth="1"/>
    <col min="3075" max="3075" width="36.88671875" customWidth="1"/>
    <col min="3076" max="3076" width="19.6640625" bestFit="1" customWidth="1"/>
    <col min="3077" max="3077" width="21" customWidth="1"/>
    <col min="3078" max="3078" width="16.6640625" bestFit="1" customWidth="1"/>
    <col min="3079" max="3079" width="1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20.88671875" bestFit="1" customWidth="1"/>
    <col min="3089" max="3089" width="23.44140625" bestFit="1" customWidth="1"/>
    <col min="3090" max="3090" width="23.33203125" bestFit="1" customWidth="1"/>
    <col min="3091" max="3091" width="15.5546875" bestFit="1" customWidth="1"/>
    <col min="3092" max="3092" width="20.5546875" bestFit="1" customWidth="1"/>
    <col min="3093" max="3093" width="18.33203125"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0" customWidth="1"/>
    <col min="3331" max="3331" width="36.88671875" customWidth="1"/>
    <col min="3332" max="3332" width="19.6640625" bestFit="1" customWidth="1"/>
    <col min="3333" max="3333" width="21" customWidth="1"/>
    <col min="3334" max="3334" width="16.6640625" bestFit="1" customWidth="1"/>
    <col min="3335" max="3335" width="1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20.88671875" bestFit="1" customWidth="1"/>
    <col min="3345" max="3345" width="23.44140625" bestFit="1" customWidth="1"/>
    <col min="3346" max="3346" width="23.33203125" bestFit="1" customWidth="1"/>
    <col min="3347" max="3347" width="15.5546875" bestFit="1" customWidth="1"/>
    <col min="3348" max="3348" width="20.5546875" bestFit="1" customWidth="1"/>
    <col min="3349" max="3349" width="18.33203125"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0" customWidth="1"/>
    <col min="3587" max="3587" width="36.88671875" customWidth="1"/>
    <col min="3588" max="3588" width="19.6640625" bestFit="1" customWidth="1"/>
    <col min="3589" max="3589" width="21" customWidth="1"/>
    <col min="3590" max="3590" width="16.6640625" bestFit="1" customWidth="1"/>
    <col min="3591" max="3591" width="1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20.88671875" bestFit="1" customWidth="1"/>
    <col min="3601" max="3601" width="23.44140625" bestFit="1" customWidth="1"/>
    <col min="3602" max="3602" width="23.33203125" bestFit="1" customWidth="1"/>
    <col min="3603" max="3603" width="15.5546875" bestFit="1" customWidth="1"/>
    <col min="3604" max="3604" width="20.5546875" bestFit="1" customWidth="1"/>
    <col min="3605" max="3605" width="18.33203125"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0" customWidth="1"/>
    <col min="3843" max="3843" width="36.88671875" customWidth="1"/>
    <col min="3844" max="3844" width="19.6640625" bestFit="1" customWidth="1"/>
    <col min="3845" max="3845" width="21" customWidth="1"/>
    <col min="3846" max="3846" width="16.6640625" bestFit="1" customWidth="1"/>
    <col min="3847" max="3847" width="1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20.88671875" bestFit="1" customWidth="1"/>
    <col min="3857" max="3857" width="23.44140625" bestFit="1" customWidth="1"/>
    <col min="3858" max="3858" width="23.33203125" bestFit="1" customWidth="1"/>
    <col min="3859" max="3859" width="15.5546875" bestFit="1" customWidth="1"/>
    <col min="3860" max="3860" width="20.5546875" bestFit="1" customWidth="1"/>
    <col min="3861" max="3861" width="18.33203125"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0" customWidth="1"/>
    <col min="4099" max="4099" width="36.88671875" customWidth="1"/>
    <col min="4100" max="4100" width="19.6640625" bestFit="1" customWidth="1"/>
    <col min="4101" max="4101" width="21" customWidth="1"/>
    <col min="4102" max="4102" width="16.6640625" bestFit="1" customWidth="1"/>
    <col min="4103" max="4103" width="1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20.88671875" bestFit="1" customWidth="1"/>
    <col min="4113" max="4113" width="23.44140625" bestFit="1" customWidth="1"/>
    <col min="4114" max="4114" width="23.33203125" bestFit="1" customWidth="1"/>
    <col min="4115" max="4115" width="15.5546875" bestFit="1" customWidth="1"/>
    <col min="4116" max="4116" width="20.5546875" bestFit="1" customWidth="1"/>
    <col min="4117" max="4117" width="18.33203125"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0" customWidth="1"/>
    <col min="4355" max="4355" width="36.88671875" customWidth="1"/>
    <col min="4356" max="4356" width="19.6640625" bestFit="1" customWidth="1"/>
    <col min="4357" max="4357" width="21" customWidth="1"/>
    <col min="4358" max="4358" width="16.6640625" bestFit="1" customWidth="1"/>
    <col min="4359" max="4359" width="1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20.88671875" bestFit="1" customWidth="1"/>
    <col min="4369" max="4369" width="23.44140625" bestFit="1" customWidth="1"/>
    <col min="4370" max="4370" width="23.33203125" bestFit="1" customWidth="1"/>
    <col min="4371" max="4371" width="15.5546875" bestFit="1" customWidth="1"/>
    <col min="4372" max="4372" width="20.5546875" bestFit="1" customWidth="1"/>
    <col min="4373" max="4373" width="18.33203125"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0" customWidth="1"/>
    <col min="4611" max="4611" width="36.88671875" customWidth="1"/>
    <col min="4612" max="4612" width="19.6640625" bestFit="1" customWidth="1"/>
    <col min="4613" max="4613" width="21" customWidth="1"/>
    <col min="4614" max="4614" width="16.6640625" bestFit="1" customWidth="1"/>
    <col min="4615" max="4615" width="1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20.88671875" bestFit="1" customWidth="1"/>
    <col min="4625" max="4625" width="23.44140625" bestFit="1" customWidth="1"/>
    <col min="4626" max="4626" width="23.33203125" bestFit="1" customWidth="1"/>
    <col min="4627" max="4627" width="15.5546875" bestFit="1" customWidth="1"/>
    <col min="4628" max="4628" width="20.5546875" bestFit="1" customWidth="1"/>
    <col min="4629" max="4629" width="18.33203125"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0" customWidth="1"/>
    <col min="4867" max="4867" width="36.88671875" customWidth="1"/>
    <col min="4868" max="4868" width="19.6640625" bestFit="1" customWidth="1"/>
    <col min="4869" max="4869" width="21" customWidth="1"/>
    <col min="4870" max="4870" width="16.6640625" bestFit="1" customWidth="1"/>
    <col min="4871" max="4871" width="1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20.88671875" bestFit="1" customWidth="1"/>
    <col min="4881" max="4881" width="23.44140625" bestFit="1" customWidth="1"/>
    <col min="4882" max="4882" width="23.33203125" bestFit="1" customWidth="1"/>
    <col min="4883" max="4883" width="15.5546875" bestFit="1" customWidth="1"/>
    <col min="4884" max="4884" width="20.5546875" bestFit="1" customWidth="1"/>
    <col min="4885" max="4885" width="18.33203125"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0" customWidth="1"/>
    <col min="5123" max="5123" width="36.88671875" customWidth="1"/>
    <col min="5124" max="5124" width="19.6640625" bestFit="1" customWidth="1"/>
    <col min="5125" max="5125" width="21" customWidth="1"/>
    <col min="5126" max="5126" width="16.6640625" bestFit="1" customWidth="1"/>
    <col min="5127" max="5127" width="1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20.88671875" bestFit="1" customWidth="1"/>
    <col min="5137" max="5137" width="23.44140625" bestFit="1" customWidth="1"/>
    <col min="5138" max="5138" width="23.33203125" bestFit="1" customWidth="1"/>
    <col min="5139" max="5139" width="15.5546875" bestFit="1" customWidth="1"/>
    <col min="5140" max="5140" width="20.5546875" bestFit="1" customWidth="1"/>
    <col min="5141" max="5141" width="18.33203125"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0" customWidth="1"/>
    <col min="5379" max="5379" width="36.88671875" customWidth="1"/>
    <col min="5380" max="5380" width="19.6640625" bestFit="1" customWidth="1"/>
    <col min="5381" max="5381" width="21" customWidth="1"/>
    <col min="5382" max="5382" width="16.6640625" bestFit="1" customWidth="1"/>
    <col min="5383" max="5383" width="1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20.88671875" bestFit="1" customWidth="1"/>
    <col min="5393" max="5393" width="23.44140625" bestFit="1" customWidth="1"/>
    <col min="5394" max="5394" width="23.33203125" bestFit="1" customWidth="1"/>
    <col min="5395" max="5395" width="15.5546875" bestFit="1" customWidth="1"/>
    <col min="5396" max="5396" width="20.5546875" bestFit="1" customWidth="1"/>
    <col min="5397" max="5397" width="18.33203125"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0" customWidth="1"/>
    <col min="5635" max="5635" width="36.88671875" customWidth="1"/>
    <col min="5636" max="5636" width="19.6640625" bestFit="1" customWidth="1"/>
    <col min="5637" max="5637" width="21" customWidth="1"/>
    <col min="5638" max="5638" width="16.6640625" bestFit="1" customWidth="1"/>
    <col min="5639" max="5639" width="1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20.88671875" bestFit="1" customWidth="1"/>
    <col min="5649" max="5649" width="23.44140625" bestFit="1" customWidth="1"/>
    <col min="5650" max="5650" width="23.33203125" bestFit="1" customWidth="1"/>
    <col min="5651" max="5651" width="15.5546875" bestFit="1" customWidth="1"/>
    <col min="5652" max="5652" width="20.5546875" bestFit="1" customWidth="1"/>
    <col min="5653" max="5653" width="18.33203125"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0" customWidth="1"/>
    <col min="5891" max="5891" width="36.88671875" customWidth="1"/>
    <col min="5892" max="5892" width="19.6640625" bestFit="1" customWidth="1"/>
    <col min="5893" max="5893" width="21" customWidth="1"/>
    <col min="5894" max="5894" width="16.6640625" bestFit="1" customWidth="1"/>
    <col min="5895" max="5895" width="1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20.88671875" bestFit="1" customWidth="1"/>
    <col min="5905" max="5905" width="23.44140625" bestFit="1" customWidth="1"/>
    <col min="5906" max="5906" width="23.33203125" bestFit="1" customWidth="1"/>
    <col min="5907" max="5907" width="15.5546875" bestFit="1" customWidth="1"/>
    <col min="5908" max="5908" width="20.5546875" bestFit="1" customWidth="1"/>
    <col min="5909" max="5909" width="18.33203125"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0" customWidth="1"/>
    <col min="6147" max="6147" width="36.88671875" customWidth="1"/>
    <col min="6148" max="6148" width="19.6640625" bestFit="1" customWidth="1"/>
    <col min="6149" max="6149" width="21" customWidth="1"/>
    <col min="6150" max="6150" width="16.6640625" bestFit="1" customWidth="1"/>
    <col min="6151" max="6151" width="1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20.88671875" bestFit="1" customWidth="1"/>
    <col min="6161" max="6161" width="23.44140625" bestFit="1" customWidth="1"/>
    <col min="6162" max="6162" width="23.33203125" bestFit="1" customWidth="1"/>
    <col min="6163" max="6163" width="15.5546875" bestFit="1" customWidth="1"/>
    <col min="6164" max="6164" width="20.5546875" bestFit="1" customWidth="1"/>
    <col min="6165" max="6165" width="18.33203125"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0" customWidth="1"/>
    <col min="6403" max="6403" width="36.88671875" customWidth="1"/>
    <col min="6404" max="6404" width="19.6640625" bestFit="1" customWidth="1"/>
    <col min="6405" max="6405" width="21" customWidth="1"/>
    <col min="6406" max="6406" width="16.6640625" bestFit="1" customWidth="1"/>
    <col min="6407" max="6407" width="1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20.88671875" bestFit="1" customWidth="1"/>
    <col min="6417" max="6417" width="23.44140625" bestFit="1" customWidth="1"/>
    <col min="6418" max="6418" width="23.33203125" bestFit="1" customWidth="1"/>
    <col min="6419" max="6419" width="15.5546875" bestFit="1" customWidth="1"/>
    <col min="6420" max="6420" width="20.5546875" bestFit="1" customWidth="1"/>
    <col min="6421" max="6421" width="18.33203125"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0" customWidth="1"/>
    <col min="6659" max="6659" width="36.88671875" customWidth="1"/>
    <col min="6660" max="6660" width="19.6640625" bestFit="1" customWidth="1"/>
    <col min="6661" max="6661" width="21" customWidth="1"/>
    <col min="6662" max="6662" width="16.6640625" bestFit="1" customWidth="1"/>
    <col min="6663" max="6663" width="1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20.88671875" bestFit="1" customWidth="1"/>
    <col min="6673" max="6673" width="23.44140625" bestFit="1" customWidth="1"/>
    <col min="6674" max="6674" width="23.33203125" bestFit="1" customWidth="1"/>
    <col min="6675" max="6675" width="15.5546875" bestFit="1" customWidth="1"/>
    <col min="6676" max="6676" width="20.5546875" bestFit="1" customWidth="1"/>
    <col min="6677" max="6677" width="18.33203125"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0" customWidth="1"/>
    <col min="6915" max="6915" width="36.88671875" customWidth="1"/>
    <col min="6916" max="6916" width="19.6640625" bestFit="1" customWidth="1"/>
    <col min="6917" max="6917" width="21" customWidth="1"/>
    <col min="6918" max="6918" width="16.6640625" bestFit="1" customWidth="1"/>
    <col min="6919" max="6919" width="1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20.88671875" bestFit="1" customWidth="1"/>
    <col min="6929" max="6929" width="23.44140625" bestFit="1" customWidth="1"/>
    <col min="6930" max="6930" width="23.33203125" bestFit="1" customWidth="1"/>
    <col min="6931" max="6931" width="15.5546875" bestFit="1" customWidth="1"/>
    <col min="6932" max="6932" width="20.5546875" bestFit="1" customWidth="1"/>
    <col min="6933" max="6933" width="18.33203125"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0" customWidth="1"/>
    <col min="7171" max="7171" width="36.88671875" customWidth="1"/>
    <col min="7172" max="7172" width="19.6640625" bestFit="1" customWidth="1"/>
    <col min="7173" max="7173" width="21" customWidth="1"/>
    <col min="7174" max="7174" width="16.6640625" bestFit="1" customWidth="1"/>
    <col min="7175" max="7175" width="1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20.88671875" bestFit="1" customWidth="1"/>
    <col min="7185" max="7185" width="23.44140625" bestFit="1" customWidth="1"/>
    <col min="7186" max="7186" width="23.33203125" bestFit="1" customWidth="1"/>
    <col min="7187" max="7187" width="15.5546875" bestFit="1" customWidth="1"/>
    <col min="7188" max="7188" width="20.5546875" bestFit="1" customWidth="1"/>
    <col min="7189" max="7189" width="18.33203125"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0" customWidth="1"/>
    <col min="7427" max="7427" width="36.88671875" customWidth="1"/>
    <col min="7428" max="7428" width="19.6640625" bestFit="1" customWidth="1"/>
    <col min="7429" max="7429" width="21" customWidth="1"/>
    <col min="7430" max="7430" width="16.6640625" bestFit="1" customWidth="1"/>
    <col min="7431" max="7431" width="1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20.88671875" bestFit="1" customWidth="1"/>
    <col min="7441" max="7441" width="23.44140625" bestFit="1" customWidth="1"/>
    <col min="7442" max="7442" width="23.33203125" bestFit="1" customWidth="1"/>
    <col min="7443" max="7443" width="15.5546875" bestFit="1" customWidth="1"/>
    <col min="7444" max="7444" width="20.5546875" bestFit="1" customWidth="1"/>
    <col min="7445" max="7445" width="18.33203125"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0" customWidth="1"/>
    <col min="7683" max="7683" width="36.88671875" customWidth="1"/>
    <col min="7684" max="7684" width="19.6640625" bestFit="1" customWidth="1"/>
    <col min="7685" max="7685" width="21" customWidth="1"/>
    <col min="7686" max="7686" width="16.6640625" bestFit="1" customWidth="1"/>
    <col min="7687" max="7687" width="1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20.88671875" bestFit="1" customWidth="1"/>
    <col min="7697" max="7697" width="23.44140625" bestFit="1" customWidth="1"/>
    <col min="7698" max="7698" width="23.33203125" bestFit="1" customWidth="1"/>
    <col min="7699" max="7699" width="15.5546875" bestFit="1" customWidth="1"/>
    <col min="7700" max="7700" width="20.5546875" bestFit="1" customWidth="1"/>
    <col min="7701" max="7701" width="18.33203125"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0" customWidth="1"/>
    <col min="7939" max="7939" width="36.88671875" customWidth="1"/>
    <col min="7940" max="7940" width="19.6640625" bestFit="1" customWidth="1"/>
    <col min="7941" max="7941" width="21" customWidth="1"/>
    <col min="7942" max="7942" width="16.6640625" bestFit="1" customWidth="1"/>
    <col min="7943" max="7943" width="1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20.88671875" bestFit="1" customWidth="1"/>
    <col min="7953" max="7953" width="23.44140625" bestFit="1" customWidth="1"/>
    <col min="7954" max="7954" width="23.33203125" bestFit="1" customWidth="1"/>
    <col min="7955" max="7955" width="15.5546875" bestFit="1" customWidth="1"/>
    <col min="7956" max="7956" width="20.5546875" bestFit="1" customWidth="1"/>
    <col min="7957" max="7957" width="18.33203125"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0" customWidth="1"/>
    <col min="8195" max="8195" width="36.88671875" customWidth="1"/>
    <col min="8196" max="8196" width="19.6640625" bestFit="1" customWidth="1"/>
    <col min="8197" max="8197" width="21" customWidth="1"/>
    <col min="8198" max="8198" width="16.6640625" bestFit="1" customWidth="1"/>
    <col min="8199" max="8199" width="1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20.88671875" bestFit="1" customWidth="1"/>
    <col min="8209" max="8209" width="23.44140625" bestFit="1" customWidth="1"/>
    <col min="8210" max="8210" width="23.33203125" bestFit="1" customWidth="1"/>
    <col min="8211" max="8211" width="15.5546875" bestFit="1" customWidth="1"/>
    <col min="8212" max="8212" width="20.5546875" bestFit="1" customWidth="1"/>
    <col min="8213" max="8213" width="18.33203125"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0" customWidth="1"/>
    <col min="8451" max="8451" width="36.88671875" customWidth="1"/>
    <col min="8452" max="8452" width="19.6640625" bestFit="1" customWidth="1"/>
    <col min="8453" max="8453" width="21" customWidth="1"/>
    <col min="8454" max="8454" width="16.6640625" bestFit="1" customWidth="1"/>
    <col min="8455" max="8455" width="1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20.88671875" bestFit="1" customWidth="1"/>
    <col min="8465" max="8465" width="23.44140625" bestFit="1" customWidth="1"/>
    <col min="8466" max="8466" width="23.33203125" bestFit="1" customWidth="1"/>
    <col min="8467" max="8467" width="15.5546875" bestFit="1" customWidth="1"/>
    <col min="8468" max="8468" width="20.5546875" bestFit="1" customWidth="1"/>
    <col min="8469" max="8469" width="18.33203125"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0" customWidth="1"/>
    <col min="8707" max="8707" width="36.88671875" customWidth="1"/>
    <col min="8708" max="8708" width="19.6640625" bestFit="1" customWidth="1"/>
    <col min="8709" max="8709" width="21" customWidth="1"/>
    <col min="8710" max="8710" width="16.6640625" bestFit="1" customWidth="1"/>
    <col min="8711" max="8711" width="1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20.88671875" bestFit="1" customWidth="1"/>
    <col min="8721" max="8721" width="23.44140625" bestFit="1" customWidth="1"/>
    <col min="8722" max="8722" width="23.33203125" bestFit="1" customWidth="1"/>
    <col min="8723" max="8723" width="15.5546875" bestFit="1" customWidth="1"/>
    <col min="8724" max="8724" width="20.5546875" bestFit="1" customWidth="1"/>
    <col min="8725" max="8725" width="18.33203125"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0" customWidth="1"/>
    <col min="8963" max="8963" width="36.88671875" customWidth="1"/>
    <col min="8964" max="8964" width="19.6640625" bestFit="1" customWidth="1"/>
    <col min="8965" max="8965" width="21" customWidth="1"/>
    <col min="8966" max="8966" width="16.6640625" bestFit="1" customWidth="1"/>
    <col min="8967" max="8967" width="1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20.88671875" bestFit="1" customWidth="1"/>
    <col min="8977" max="8977" width="23.44140625" bestFit="1" customWidth="1"/>
    <col min="8978" max="8978" width="23.33203125" bestFit="1" customWidth="1"/>
    <col min="8979" max="8979" width="15.5546875" bestFit="1" customWidth="1"/>
    <col min="8980" max="8980" width="20.5546875" bestFit="1" customWidth="1"/>
    <col min="8981" max="8981" width="18.33203125"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0" customWidth="1"/>
    <col min="9219" max="9219" width="36.88671875" customWidth="1"/>
    <col min="9220" max="9220" width="19.6640625" bestFit="1" customWidth="1"/>
    <col min="9221" max="9221" width="21" customWidth="1"/>
    <col min="9222" max="9222" width="16.6640625" bestFit="1" customWidth="1"/>
    <col min="9223" max="9223" width="1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20.88671875" bestFit="1" customWidth="1"/>
    <col min="9233" max="9233" width="23.44140625" bestFit="1" customWidth="1"/>
    <col min="9234" max="9234" width="23.33203125" bestFit="1" customWidth="1"/>
    <col min="9235" max="9235" width="15.5546875" bestFit="1" customWidth="1"/>
    <col min="9236" max="9236" width="20.5546875" bestFit="1" customWidth="1"/>
    <col min="9237" max="9237" width="18.33203125"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0" customWidth="1"/>
    <col min="9475" max="9475" width="36.88671875" customWidth="1"/>
    <col min="9476" max="9476" width="19.6640625" bestFit="1" customWidth="1"/>
    <col min="9477" max="9477" width="21" customWidth="1"/>
    <col min="9478" max="9478" width="16.6640625" bestFit="1" customWidth="1"/>
    <col min="9479" max="9479" width="1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20.88671875" bestFit="1" customWidth="1"/>
    <col min="9489" max="9489" width="23.44140625" bestFit="1" customWidth="1"/>
    <col min="9490" max="9490" width="23.33203125" bestFit="1" customWidth="1"/>
    <col min="9491" max="9491" width="15.5546875" bestFit="1" customWidth="1"/>
    <col min="9492" max="9492" width="20.5546875" bestFit="1" customWidth="1"/>
    <col min="9493" max="9493" width="18.33203125"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0" customWidth="1"/>
    <col min="9731" max="9731" width="36.88671875" customWidth="1"/>
    <col min="9732" max="9732" width="19.6640625" bestFit="1" customWidth="1"/>
    <col min="9733" max="9733" width="21" customWidth="1"/>
    <col min="9734" max="9734" width="16.6640625" bestFit="1" customWidth="1"/>
    <col min="9735" max="9735" width="1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20.88671875" bestFit="1" customWidth="1"/>
    <col min="9745" max="9745" width="23.44140625" bestFit="1" customWidth="1"/>
    <col min="9746" max="9746" width="23.33203125" bestFit="1" customWidth="1"/>
    <col min="9747" max="9747" width="15.5546875" bestFit="1" customWidth="1"/>
    <col min="9748" max="9748" width="20.5546875" bestFit="1" customWidth="1"/>
    <col min="9749" max="9749" width="18.33203125"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0" customWidth="1"/>
    <col min="9987" max="9987" width="36.88671875" customWidth="1"/>
    <col min="9988" max="9988" width="19.6640625" bestFit="1" customWidth="1"/>
    <col min="9989" max="9989" width="21" customWidth="1"/>
    <col min="9990" max="9990" width="16.6640625" bestFit="1" customWidth="1"/>
    <col min="9991" max="9991" width="1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20.88671875" bestFit="1" customWidth="1"/>
    <col min="10001" max="10001" width="23.44140625" bestFit="1" customWidth="1"/>
    <col min="10002" max="10002" width="23.33203125" bestFit="1" customWidth="1"/>
    <col min="10003" max="10003" width="15.5546875" bestFit="1" customWidth="1"/>
    <col min="10004" max="10004" width="20.5546875" bestFit="1" customWidth="1"/>
    <col min="10005" max="10005" width="18.33203125"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0" customWidth="1"/>
    <col min="10243" max="10243" width="36.88671875" customWidth="1"/>
    <col min="10244" max="10244" width="19.6640625" bestFit="1" customWidth="1"/>
    <col min="10245" max="10245" width="21" customWidth="1"/>
    <col min="10246" max="10246" width="16.6640625" bestFit="1" customWidth="1"/>
    <col min="10247" max="10247" width="1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20.88671875" bestFit="1" customWidth="1"/>
    <col min="10257" max="10257" width="23.44140625" bestFit="1" customWidth="1"/>
    <col min="10258" max="10258" width="23.33203125" bestFit="1" customWidth="1"/>
    <col min="10259" max="10259" width="15.5546875" bestFit="1" customWidth="1"/>
    <col min="10260" max="10260" width="20.5546875" bestFit="1" customWidth="1"/>
    <col min="10261" max="10261" width="18.33203125"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0" customWidth="1"/>
    <col min="10499" max="10499" width="36.88671875" customWidth="1"/>
    <col min="10500" max="10500" width="19.6640625" bestFit="1" customWidth="1"/>
    <col min="10501" max="10501" width="21" customWidth="1"/>
    <col min="10502" max="10502" width="16.6640625" bestFit="1" customWidth="1"/>
    <col min="10503" max="10503" width="1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20.88671875" bestFit="1" customWidth="1"/>
    <col min="10513" max="10513" width="23.44140625" bestFit="1" customWidth="1"/>
    <col min="10514" max="10514" width="23.33203125" bestFit="1" customWidth="1"/>
    <col min="10515" max="10515" width="15.5546875" bestFit="1" customWidth="1"/>
    <col min="10516" max="10516" width="20.5546875" bestFit="1" customWidth="1"/>
    <col min="10517" max="10517" width="18.33203125"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0" customWidth="1"/>
    <col min="10755" max="10755" width="36.88671875" customWidth="1"/>
    <col min="10756" max="10756" width="19.6640625" bestFit="1" customWidth="1"/>
    <col min="10757" max="10757" width="21" customWidth="1"/>
    <col min="10758" max="10758" width="16.6640625" bestFit="1" customWidth="1"/>
    <col min="10759" max="10759" width="1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20.88671875" bestFit="1" customWidth="1"/>
    <col min="10769" max="10769" width="23.44140625" bestFit="1" customWidth="1"/>
    <col min="10770" max="10770" width="23.33203125" bestFit="1" customWidth="1"/>
    <col min="10771" max="10771" width="15.5546875" bestFit="1" customWidth="1"/>
    <col min="10772" max="10772" width="20.5546875" bestFit="1" customWidth="1"/>
    <col min="10773" max="10773" width="18.33203125"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0" customWidth="1"/>
    <col min="11011" max="11011" width="36.88671875" customWidth="1"/>
    <col min="11012" max="11012" width="19.6640625" bestFit="1" customWidth="1"/>
    <col min="11013" max="11013" width="21" customWidth="1"/>
    <col min="11014" max="11014" width="16.6640625" bestFit="1" customWidth="1"/>
    <col min="11015" max="11015" width="1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20.88671875" bestFit="1" customWidth="1"/>
    <col min="11025" max="11025" width="23.44140625" bestFit="1" customWidth="1"/>
    <col min="11026" max="11026" width="23.33203125" bestFit="1" customWidth="1"/>
    <col min="11027" max="11027" width="15.5546875" bestFit="1" customWidth="1"/>
    <col min="11028" max="11028" width="20.5546875" bestFit="1" customWidth="1"/>
    <col min="11029" max="11029" width="18.33203125"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0" customWidth="1"/>
    <col min="11267" max="11267" width="36.88671875" customWidth="1"/>
    <col min="11268" max="11268" width="19.6640625" bestFit="1" customWidth="1"/>
    <col min="11269" max="11269" width="21" customWidth="1"/>
    <col min="11270" max="11270" width="16.6640625" bestFit="1" customWidth="1"/>
    <col min="11271" max="11271" width="1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20.88671875" bestFit="1" customWidth="1"/>
    <col min="11281" max="11281" width="23.44140625" bestFit="1" customWidth="1"/>
    <col min="11282" max="11282" width="23.33203125" bestFit="1" customWidth="1"/>
    <col min="11283" max="11283" width="15.5546875" bestFit="1" customWidth="1"/>
    <col min="11284" max="11284" width="20.5546875" bestFit="1" customWidth="1"/>
    <col min="11285" max="11285" width="18.33203125"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0" customWidth="1"/>
    <col min="11523" max="11523" width="36.88671875" customWidth="1"/>
    <col min="11524" max="11524" width="19.6640625" bestFit="1" customWidth="1"/>
    <col min="11525" max="11525" width="21" customWidth="1"/>
    <col min="11526" max="11526" width="16.6640625" bestFit="1" customWidth="1"/>
    <col min="11527" max="11527" width="1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20.88671875" bestFit="1" customWidth="1"/>
    <col min="11537" max="11537" width="23.44140625" bestFit="1" customWidth="1"/>
    <col min="11538" max="11538" width="23.33203125" bestFit="1" customWidth="1"/>
    <col min="11539" max="11539" width="15.5546875" bestFit="1" customWidth="1"/>
    <col min="11540" max="11540" width="20.5546875" bestFit="1" customWidth="1"/>
    <col min="11541" max="11541" width="18.33203125"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0" customWidth="1"/>
    <col min="11779" max="11779" width="36.88671875" customWidth="1"/>
    <col min="11780" max="11780" width="19.6640625" bestFit="1" customWidth="1"/>
    <col min="11781" max="11781" width="21" customWidth="1"/>
    <col min="11782" max="11782" width="16.6640625" bestFit="1" customWidth="1"/>
    <col min="11783" max="11783" width="1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20.88671875" bestFit="1" customWidth="1"/>
    <col min="11793" max="11793" width="23.44140625" bestFit="1" customWidth="1"/>
    <col min="11794" max="11794" width="23.33203125" bestFit="1" customWidth="1"/>
    <col min="11795" max="11795" width="15.5546875" bestFit="1" customWidth="1"/>
    <col min="11796" max="11796" width="20.5546875" bestFit="1" customWidth="1"/>
    <col min="11797" max="11797" width="18.33203125"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0" customWidth="1"/>
    <col min="12035" max="12035" width="36.88671875" customWidth="1"/>
    <col min="12036" max="12036" width="19.6640625" bestFit="1" customWidth="1"/>
    <col min="12037" max="12037" width="21" customWidth="1"/>
    <col min="12038" max="12038" width="16.6640625" bestFit="1" customWidth="1"/>
    <col min="12039" max="12039" width="1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20.88671875" bestFit="1" customWidth="1"/>
    <col min="12049" max="12049" width="23.44140625" bestFit="1" customWidth="1"/>
    <col min="12050" max="12050" width="23.33203125" bestFit="1" customWidth="1"/>
    <col min="12051" max="12051" width="15.5546875" bestFit="1" customWidth="1"/>
    <col min="12052" max="12052" width="20.5546875" bestFit="1" customWidth="1"/>
    <col min="12053" max="12053" width="18.33203125"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0" customWidth="1"/>
    <col min="12291" max="12291" width="36.88671875" customWidth="1"/>
    <col min="12292" max="12292" width="19.6640625" bestFit="1" customWidth="1"/>
    <col min="12293" max="12293" width="21" customWidth="1"/>
    <col min="12294" max="12294" width="16.6640625" bestFit="1" customWidth="1"/>
    <col min="12295" max="12295" width="1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20.88671875" bestFit="1" customWidth="1"/>
    <col min="12305" max="12305" width="23.44140625" bestFit="1" customWidth="1"/>
    <col min="12306" max="12306" width="23.33203125" bestFit="1" customWidth="1"/>
    <col min="12307" max="12307" width="15.5546875" bestFit="1" customWidth="1"/>
    <col min="12308" max="12308" width="20.5546875" bestFit="1" customWidth="1"/>
    <col min="12309" max="12309" width="18.33203125"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0" customWidth="1"/>
    <col min="12547" max="12547" width="36.88671875" customWidth="1"/>
    <col min="12548" max="12548" width="19.6640625" bestFit="1" customWidth="1"/>
    <col min="12549" max="12549" width="21" customWidth="1"/>
    <col min="12550" max="12550" width="16.6640625" bestFit="1" customWidth="1"/>
    <col min="12551" max="12551" width="1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20.88671875" bestFit="1" customWidth="1"/>
    <col min="12561" max="12561" width="23.44140625" bestFit="1" customWidth="1"/>
    <col min="12562" max="12562" width="23.33203125" bestFit="1" customWidth="1"/>
    <col min="12563" max="12563" width="15.5546875" bestFit="1" customWidth="1"/>
    <col min="12564" max="12564" width="20.5546875" bestFit="1" customWidth="1"/>
    <col min="12565" max="12565" width="18.33203125"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0" customWidth="1"/>
    <col min="12803" max="12803" width="36.88671875" customWidth="1"/>
    <col min="12804" max="12804" width="19.6640625" bestFit="1" customWidth="1"/>
    <col min="12805" max="12805" width="21" customWidth="1"/>
    <col min="12806" max="12806" width="16.6640625" bestFit="1" customWidth="1"/>
    <col min="12807" max="12807" width="1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20.88671875" bestFit="1" customWidth="1"/>
    <col min="12817" max="12817" width="23.44140625" bestFit="1" customWidth="1"/>
    <col min="12818" max="12818" width="23.33203125" bestFit="1" customWidth="1"/>
    <col min="12819" max="12819" width="15.5546875" bestFit="1" customWidth="1"/>
    <col min="12820" max="12820" width="20.5546875" bestFit="1" customWidth="1"/>
    <col min="12821" max="12821" width="18.33203125"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0" customWidth="1"/>
    <col min="13059" max="13059" width="36.88671875" customWidth="1"/>
    <col min="13060" max="13060" width="19.6640625" bestFit="1" customWidth="1"/>
    <col min="13061" max="13061" width="21" customWidth="1"/>
    <col min="13062" max="13062" width="16.6640625" bestFit="1" customWidth="1"/>
    <col min="13063" max="13063" width="1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20.88671875" bestFit="1" customWidth="1"/>
    <col min="13073" max="13073" width="23.44140625" bestFit="1" customWidth="1"/>
    <col min="13074" max="13074" width="23.33203125" bestFit="1" customWidth="1"/>
    <col min="13075" max="13075" width="15.5546875" bestFit="1" customWidth="1"/>
    <col min="13076" max="13076" width="20.5546875" bestFit="1" customWidth="1"/>
    <col min="13077" max="13077" width="18.33203125"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0" customWidth="1"/>
    <col min="13315" max="13315" width="36.88671875" customWidth="1"/>
    <col min="13316" max="13316" width="19.6640625" bestFit="1" customWidth="1"/>
    <col min="13317" max="13317" width="21" customWidth="1"/>
    <col min="13318" max="13318" width="16.6640625" bestFit="1" customWidth="1"/>
    <col min="13319" max="13319" width="1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20.88671875" bestFit="1" customWidth="1"/>
    <col min="13329" max="13329" width="23.44140625" bestFit="1" customWidth="1"/>
    <col min="13330" max="13330" width="23.33203125" bestFit="1" customWidth="1"/>
    <col min="13331" max="13331" width="15.5546875" bestFit="1" customWidth="1"/>
    <col min="13332" max="13332" width="20.5546875" bestFit="1" customWidth="1"/>
    <col min="13333" max="13333" width="18.33203125"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0" customWidth="1"/>
    <col min="13571" max="13571" width="36.88671875" customWidth="1"/>
    <col min="13572" max="13572" width="19.6640625" bestFit="1" customWidth="1"/>
    <col min="13573" max="13573" width="21" customWidth="1"/>
    <col min="13574" max="13574" width="16.6640625" bestFit="1" customWidth="1"/>
    <col min="13575" max="13575" width="1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20.88671875" bestFit="1" customWidth="1"/>
    <col min="13585" max="13585" width="23.44140625" bestFit="1" customWidth="1"/>
    <col min="13586" max="13586" width="23.33203125" bestFit="1" customWidth="1"/>
    <col min="13587" max="13587" width="15.5546875" bestFit="1" customWidth="1"/>
    <col min="13588" max="13588" width="20.5546875" bestFit="1" customWidth="1"/>
    <col min="13589" max="13589" width="18.33203125"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0" customWidth="1"/>
    <col min="13827" max="13827" width="36.88671875" customWidth="1"/>
    <col min="13828" max="13828" width="19.6640625" bestFit="1" customWidth="1"/>
    <col min="13829" max="13829" width="21" customWidth="1"/>
    <col min="13830" max="13830" width="16.6640625" bestFit="1" customWidth="1"/>
    <col min="13831" max="13831" width="1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20.88671875" bestFit="1" customWidth="1"/>
    <col min="13841" max="13841" width="23.44140625" bestFit="1" customWidth="1"/>
    <col min="13842" max="13842" width="23.33203125" bestFit="1" customWidth="1"/>
    <col min="13843" max="13843" width="15.5546875" bestFit="1" customWidth="1"/>
    <col min="13844" max="13844" width="20.5546875" bestFit="1" customWidth="1"/>
    <col min="13845" max="13845" width="18.33203125"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0" customWidth="1"/>
    <col min="14083" max="14083" width="36.88671875" customWidth="1"/>
    <col min="14084" max="14084" width="19.6640625" bestFit="1" customWidth="1"/>
    <col min="14085" max="14085" width="21" customWidth="1"/>
    <col min="14086" max="14086" width="16.6640625" bestFit="1" customWidth="1"/>
    <col min="14087" max="14087" width="1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20.88671875" bestFit="1" customWidth="1"/>
    <col min="14097" max="14097" width="23.44140625" bestFit="1" customWidth="1"/>
    <col min="14098" max="14098" width="23.33203125" bestFit="1" customWidth="1"/>
    <col min="14099" max="14099" width="15.5546875" bestFit="1" customWidth="1"/>
    <col min="14100" max="14100" width="20.5546875" bestFit="1" customWidth="1"/>
    <col min="14101" max="14101" width="18.33203125"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0" customWidth="1"/>
    <col min="14339" max="14339" width="36.88671875" customWidth="1"/>
    <col min="14340" max="14340" width="19.6640625" bestFit="1" customWidth="1"/>
    <col min="14341" max="14341" width="21" customWidth="1"/>
    <col min="14342" max="14342" width="16.6640625" bestFit="1" customWidth="1"/>
    <col min="14343" max="14343" width="1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20.88671875" bestFit="1" customWidth="1"/>
    <col min="14353" max="14353" width="23.44140625" bestFit="1" customWidth="1"/>
    <col min="14354" max="14354" width="23.33203125" bestFit="1" customWidth="1"/>
    <col min="14355" max="14355" width="15.5546875" bestFit="1" customWidth="1"/>
    <col min="14356" max="14356" width="20.5546875" bestFit="1" customWidth="1"/>
    <col min="14357" max="14357" width="18.33203125"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0" customWidth="1"/>
    <col min="14595" max="14595" width="36.88671875" customWidth="1"/>
    <col min="14596" max="14596" width="19.6640625" bestFit="1" customWidth="1"/>
    <col min="14597" max="14597" width="21" customWidth="1"/>
    <col min="14598" max="14598" width="16.6640625" bestFit="1" customWidth="1"/>
    <col min="14599" max="14599" width="1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20.88671875" bestFit="1" customWidth="1"/>
    <col min="14609" max="14609" width="23.44140625" bestFit="1" customWidth="1"/>
    <col min="14610" max="14610" width="23.33203125" bestFit="1" customWidth="1"/>
    <col min="14611" max="14611" width="15.5546875" bestFit="1" customWidth="1"/>
    <col min="14612" max="14612" width="20.5546875" bestFit="1" customWidth="1"/>
    <col min="14613" max="14613" width="18.33203125"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0" customWidth="1"/>
    <col min="14851" max="14851" width="36.88671875" customWidth="1"/>
    <col min="14852" max="14852" width="19.6640625" bestFit="1" customWidth="1"/>
    <col min="14853" max="14853" width="21" customWidth="1"/>
    <col min="14854" max="14854" width="16.6640625" bestFit="1" customWidth="1"/>
    <col min="14855" max="14855" width="1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20.88671875" bestFit="1" customWidth="1"/>
    <col min="14865" max="14865" width="23.44140625" bestFit="1" customWidth="1"/>
    <col min="14866" max="14866" width="23.33203125" bestFit="1" customWidth="1"/>
    <col min="14867" max="14867" width="15.5546875" bestFit="1" customWidth="1"/>
    <col min="14868" max="14868" width="20.5546875" bestFit="1" customWidth="1"/>
    <col min="14869" max="14869" width="18.33203125"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0" customWidth="1"/>
    <col min="15107" max="15107" width="36.88671875" customWidth="1"/>
    <col min="15108" max="15108" width="19.6640625" bestFit="1" customWidth="1"/>
    <col min="15109" max="15109" width="21" customWidth="1"/>
    <col min="15110" max="15110" width="16.6640625" bestFit="1" customWidth="1"/>
    <col min="15111" max="15111" width="1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20.88671875" bestFit="1" customWidth="1"/>
    <col min="15121" max="15121" width="23.44140625" bestFit="1" customWidth="1"/>
    <col min="15122" max="15122" width="23.33203125" bestFit="1" customWidth="1"/>
    <col min="15123" max="15123" width="15.5546875" bestFit="1" customWidth="1"/>
    <col min="15124" max="15124" width="20.5546875" bestFit="1" customWidth="1"/>
    <col min="15125" max="15125" width="18.33203125"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0" customWidth="1"/>
    <col min="15363" max="15363" width="36.88671875" customWidth="1"/>
    <col min="15364" max="15364" width="19.6640625" bestFit="1" customWidth="1"/>
    <col min="15365" max="15365" width="21" customWidth="1"/>
    <col min="15366" max="15366" width="16.6640625" bestFit="1" customWidth="1"/>
    <col min="15367" max="15367" width="1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20.88671875" bestFit="1" customWidth="1"/>
    <col min="15377" max="15377" width="23.44140625" bestFit="1" customWidth="1"/>
    <col min="15378" max="15378" width="23.33203125" bestFit="1" customWidth="1"/>
    <col min="15379" max="15379" width="15.5546875" bestFit="1" customWidth="1"/>
    <col min="15380" max="15380" width="20.5546875" bestFit="1" customWidth="1"/>
    <col min="15381" max="15381" width="18.33203125"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0" customWidth="1"/>
    <col min="15619" max="15619" width="36.88671875" customWidth="1"/>
    <col min="15620" max="15620" width="19.6640625" bestFit="1" customWidth="1"/>
    <col min="15621" max="15621" width="21" customWidth="1"/>
    <col min="15622" max="15622" width="16.6640625" bestFit="1" customWidth="1"/>
    <col min="15623" max="15623" width="1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20.88671875" bestFit="1" customWidth="1"/>
    <col min="15633" max="15633" width="23.44140625" bestFit="1" customWidth="1"/>
    <col min="15634" max="15634" width="23.33203125" bestFit="1" customWidth="1"/>
    <col min="15635" max="15635" width="15.5546875" bestFit="1" customWidth="1"/>
    <col min="15636" max="15636" width="20.5546875" bestFit="1" customWidth="1"/>
    <col min="15637" max="15637" width="18.33203125"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0" customWidth="1"/>
    <col min="15875" max="15875" width="36.88671875" customWidth="1"/>
    <col min="15876" max="15876" width="19.6640625" bestFit="1" customWidth="1"/>
    <col min="15877" max="15877" width="21" customWidth="1"/>
    <col min="15878" max="15878" width="16.6640625" bestFit="1" customWidth="1"/>
    <col min="15879" max="15879" width="1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20.88671875" bestFit="1" customWidth="1"/>
    <col min="15889" max="15889" width="23.44140625" bestFit="1" customWidth="1"/>
    <col min="15890" max="15890" width="23.33203125" bestFit="1" customWidth="1"/>
    <col min="15891" max="15891" width="15.5546875" bestFit="1" customWidth="1"/>
    <col min="15892" max="15892" width="20.5546875" bestFit="1" customWidth="1"/>
    <col min="15893" max="15893" width="18.33203125"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0" customWidth="1"/>
    <col min="16131" max="16131" width="36.88671875" customWidth="1"/>
    <col min="16132" max="16132" width="19.6640625" bestFit="1" customWidth="1"/>
    <col min="16133" max="16133" width="21" customWidth="1"/>
    <col min="16134" max="16134" width="16.6640625" bestFit="1" customWidth="1"/>
    <col min="16135" max="16135" width="1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20.88671875" bestFit="1" customWidth="1"/>
    <col min="16145" max="16145" width="23.44140625" bestFit="1" customWidth="1"/>
    <col min="16146" max="16146" width="23.33203125" bestFit="1" customWidth="1"/>
    <col min="16147" max="16147" width="15.5546875" bestFit="1" customWidth="1"/>
    <col min="16148" max="16148" width="20.5546875" bestFit="1" customWidth="1"/>
    <col min="16149" max="16149" width="18.33203125"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F1" s="202"/>
      <c r="G1" s="202">
        <f>C3</f>
        <v>18230661</v>
      </c>
      <c r="H1" s="202" t="str">
        <f>C4</f>
        <v>Low Income Weatherization TG</v>
      </c>
      <c r="I1" s="202"/>
    </row>
    <row r="2" spans="2:22" ht="16.2" thickBot="1" x14ac:dyDescent="0.35">
      <c r="B2" s="202" t="s">
        <v>131</v>
      </c>
      <c r="C2" s="203" t="s">
        <v>630</v>
      </c>
      <c r="G2" s="204" t="s">
        <v>8</v>
      </c>
      <c r="Q2" s="4765" t="s">
        <v>612</v>
      </c>
      <c r="R2" s="4765"/>
      <c r="S2" s="4762" t="s">
        <v>132</v>
      </c>
      <c r="T2" s="4763"/>
      <c r="U2" s="4764"/>
      <c r="V2" s="4766" t="s">
        <v>133</v>
      </c>
    </row>
    <row r="3" spans="2:22" ht="16.2" thickBot="1" x14ac:dyDescent="0.35">
      <c r="B3" s="203" t="s">
        <v>6</v>
      </c>
      <c r="C3" s="203">
        <v>18230661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631</v>
      </c>
      <c r="F4" s="202">
        <v>2011</v>
      </c>
      <c r="G4" s="210">
        <f>B12</f>
        <v>31825</v>
      </c>
      <c r="H4" s="211">
        <f>B17</f>
        <v>0</v>
      </c>
      <c r="I4" s="211">
        <f>B22</f>
        <v>20049</v>
      </c>
      <c r="J4" s="211">
        <f>B27</f>
        <v>550</v>
      </c>
      <c r="K4" s="211">
        <f>B32</f>
        <v>293</v>
      </c>
      <c r="L4" s="211">
        <f>B37</f>
        <v>5613</v>
      </c>
      <c r="M4" s="211">
        <f>B42</f>
        <v>300</v>
      </c>
      <c r="N4" s="211">
        <f>B47</f>
        <v>1878</v>
      </c>
      <c r="O4" s="211">
        <f>B52</f>
        <v>828873</v>
      </c>
      <c r="P4" s="211">
        <f>B53</f>
        <v>0</v>
      </c>
      <c r="Q4" s="213">
        <f>B54</f>
        <v>889381</v>
      </c>
      <c r="R4" s="372">
        <f>T72</f>
        <v>46000</v>
      </c>
      <c r="S4" s="331">
        <f>O4/Q4</f>
        <v>0.93196616523177356</v>
      </c>
      <c r="T4" s="331">
        <f>(J4+(H4*1.63))/Q4</f>
        <v>6.1840763407358603E-4</v>
      </c>
      <c r="U4" s="331">
        <f>L4/Q4</f>
        <v>6.3111310001000695E-3</v>
      </c>
      <c r="V4" s="216">
        <f>Q4/R4</f>
        <v>19.33436956521739</v>
      </c>
    </row>
    <row r="5" spans="2:22" ht="16.2" thickBot="1" x14ac:dyDescent="0.35">
      <c r="B5" s="202" t="s">
        <v>34</v>
      </c>
      <c r="F5" s="202">
        <v>2012</v>
      </c>
      <c r="G5" s="217">
        <f>D12</f>
        <v>19343.232</v>
      </c>
      <c r="H5" s="218">
        <f>D17</f>
        <v>2160</v>
      </c>
      <c r="I5" s="218">
        <f>D22</f>
        <v>13547.03616</v>
      </c>
      <c r="J5" s="218">
        <f>D27</f>
        <v>1000</v>
      </c>
      <c r="K5" s="218">
        <f>D32</f>
        <v>2400</v>
      </c>
      <c r="L5" s="218">
        <f>D37</f>
        <v>4800</v>
      </c>
      <c r="M5" s="218">
        <f>D42</f>
        <v>4038</v>
      </c>
      <c r="N5" s="218">
        <f>D47</f>
        <v>297</v>
      </c>
      <c r="O5" s="218">
        <f>D52</f>
        <v>557007.38749999995</v>
      </c>
      <c r="P5" s="218">
        <f>D53</f>
        <v>0</v>
      </c>
      <c r="Q5" s="219">
        <f>SUM(G5:P5)</f>
        <v>604592.65565999993</v>
      </c>
      <c r="R5" s="373">
        <f>P72</f>
        <v>42305.26</v>
      </c>
      <c r="S5" s="332">
        <f>O5/Q5</f>
        <v>0.92129367150837482</v>
      </c>
      <c r="T5" s="332">
        <f>(J5+(H5*1.63))/Q5</f>
        <v>7.4774312219603378E-3</v>
      </c>
      <c r="U5" s="332">
        <f>L5/Q5</f>
        <v>7.9392297525680468E-3</v>
      </c>
      <c r="V5" s="222">
        <f>Q5/R5</f>
        <v>14.291193474759401</v>
      </c>
    </row>
    <row r="6" spans="2:22" ht="16.2" thickBot="1" x14ac:dyDescent="0.35">
      <c r="C6" s="202" t="s">
        <v>382</v>
      </c>
      <c r="F6" s="202">
        <v>2013</v>
      </c>
      <c r="G6" s="374">
        <f>E12</f>
        <v>20610.539999999997</v>
      </c>
      <c r="H6" s="375">
        <f>E17</f>
        <v>2214</v>
      </c>
      <c r="I6" s="375">
        <f>E22</f>
        <v>14379.460199999998</v>
      </c>
      <c r="J6" s="375">
        <f>E27</f>
        <v>1000</v>
      </c>
      <c r="K6" s="375">
        <f>E32</f>
        <v>2400</v>
      </c>
      <c r="L6" s="375">
        <f>E37</f>
        <v>4800</v>
      </c>
      <c r="M6" s="375">
        <f>E42</f>
        <v>4038</v>
      </c>
      <c r="N6" s="375">
        <f>E47</f>
        <v>297</v>
      </c>
      <c r="O6" s="375">
        <f>E52</f>
        <v>467114.18749999994</v>
      </c>
      <c r="P6" s="375">
        <f>E53</f>
        <v>0</v>
      </c>
      <c r="Q6" s="219">
        <f>SUM(G6:P6)</f>
        <v>516853.18769999995</v>
      </c>
      <c r="R6" s="373">
        <f>Q72</f>
        <v>35686.26</v>
      </c>
      <c r="S6" s="332">
        <f>O6/Q6</f>
        <v>0.90376570874731588</v>
      </c>
      <c r="T6" s="332">
        <f>(J6+(H6*1.63))/Q6</f>
        <v>8.9170776338040568E-3</v>
      </c>
      <c r="U6" s="332">
        <f>L6/Q6</f>
        <v>9.2869699060192153E-3</v>
      </c>
      <c r="V6" s="222">
        <f>Q6/R6</f>
        <v>14.483254555114486</v>
      </c>
    </row>
    <row r="7" spans="2:22" ht="16.2" thickBot="1" x14ac:dyDescent="0.35">
      <c r="C7" s="227" t="s">
        <v>383</v>
      </c>
      <c r="F7" s="376" t="s">
        <v>178</v>
      </c>
      <c r="G7" s="377">
        <f>SUM(G5:G6)</f>
        <v>39953.771999999997</v>
      </c>
      <c r="H7" s="377">
        <f t="shared" ref="H7:P7" si="0">SUM(H5:H6)</f>
        <v>4374</v>
      </c>
      <c r="I7" s="377">
        <f t="shared" si="0"/>
        <v>27926.496359999997</v>
      </c>
      <c r="J7" s="377">
        <f t="shared" si="0"/>
        <v>2000</v>
      </c>
      <c r="K7" s="377">
        <f t="shared" si="0"/>
        <v>4800</v>
      </c>
      <c r="L7" s="377">
        <f t="shared" si="0"/>
        <v>9600</v>
      </c>
      <c r="M7" s="377">
        <f t="shared" si="0"/>
        <v>8076</v>
      </c>
      <c r="N7" s="377">
        <f t="shared" si="0"/>
        <v>594</v>
      </c>
      <c r="O7" s="377">
        <f t="shared" si="0"/>
        <v>1024121.575</v>
      </c>
      <c r="P7" s="377">
        <f t="shared" si="0"/>
        <v>0</v>
      </c>
      <c r="Q7" s="378">
        <f>SUM(G7:P7)</f>
        <v>1121445.8433599998</v>
      </c>
      <c r="R7" s="379">
        <f>R72</f>
        <v>77991.520000000004</v>
      </c>
      <c r="S7" s="332">
        <f>O7/Q7</f>
        <v>0.91321536484686272</v>
      </c>
      <c r="T7" s="332">
        <f>(J7+(H7*1.63))/Q7</f>
        <v>8.1409370359307332E-3</v>
      </c>
      <c r="U7" s="332">
        <f>L7/Q7</f>
        <v>8.5603777095799218E-3</v>
      </c>
      <c r="V7" s="222">
        <f>Q7/R7</f>
        <v>14.379074075745669</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31825</v>
      </c>
      <c r="C12" s="244" t="s">
        <v>161</v>
      </c>
      <c r="D12" s="245">
        <f>SUM(D13:D16)</f>
        <v>19343.232</v>
      </c>
      <c r="E12" s="245">
        <f>SUM(E13:E16)</f>
        <v>20610.539999999997</v>
      </c>
      <c r="F12" s="246">
        <f>D12+E12</f>
        <v>39953.771999999997</v>
      </c>
      <c r="H12" s="135"/>
      <c r="I12" s="247" t="str">
        <f t="shared" ref="I12:I71" si="1">C84</f>
        <v>Furnace Replacement (90% AFUE) - MF</v>
      </c>
      <c r="J12" s="248"/>
      <c r="K12" s="249"/>
      <c r="L12" s="380">
        <f t="shared" ref="L12:L71" si="2">D84</f>
        <v>66</v>
      </c>
      <c r="M12" s="4698">
        <v>1</v>
      </c>
      <c r="N12" s="4698">
        <v>0</v>
      </c>
      <c r="O12" s="252">
        <f>M12+N12</f>
        <v>1</v>
      </c>
      <c r="P12" s="381">
        <f t="shared" ref="P12:R27" si="3">M12*$D84</f>
        <v>66</v>
      </c>
      <c r="Q12" s="381">
        <f t="shared" si="3"/>
        <v>0</v>
      </c>
      <c r="R12" s="382">
        <f t="shared" si="3"/>
        <v>66</v>
      </c>
      <c r="T12" s="267">
        <v>46000</v>
      </c>
    </row>
    <row r="13" spans="2:22" ht="13.8" x14ac:dyDescent="0.3">
      <c r="B13" s="256"/>
      <c r="C13" s="257" t="s">
        <v>265</v>
      </c>
      <c r="D13" s="4699">
        <v>3335.04</v>
      </c>
      <c r="E13" s="4699">
        <v>3435.0899999999997</v>
      </c>
      <c r="F13" s="258">
        <f>SUM(D13:E13)</f>
        <v>6770.1299999999992</v>
      </c>
      <c r="H13" s="135"/>
      <c r="I13" s="247" t="str">
        <f t="shared" si="1"/>
        <v>Furnace Replacement (90% AFUE) - MH</v>
      </c>
      <c r="J13" s="260"/>
      <c r="K13" s="261"/>
      <c r="L13" s="380">
        <f t="shared" si="2"/>
        <v>89</v>
      </c>
      <c r="M13" s="4698">
        <v>1</v>
      </c>
      <c r="N13" s="4698">
        <v>0</v>
      </c>
      <c r="O13" s="252">
        <f t="shared" ref="O13:O71" si="4">M13+N13</f>
        <v>1</v>
      </c>
      <c r="P13" s="381">
        <f t="shared" si="3"/>
        <v>89</v>
      </c>
      <c r="Q13" s="381">
        <f t="shared" si="3"/>
        <v>0</v>
      </c>
      <c r="R13" s="382">
        <f t="shared" si="3"/>
        <v>89</v>
      </c>
      <c r="T13" s="296"/>
    </row>
    <row r="14" spans="2:22" ht="13.8" x14ac:dyDescent="0.3">
      <c r="B14" s="264"/>
      <c r="C14" s="265" t="s">
        <v>34</v>
      </c>
      <c r="D14" s="4699">
        <v>13340.16</v>
      </c>
      <c r="E14" s="4699">
        <v>13740.359999999999</v>
      </c>
      <c r="F14" s="258">
        <f t="shared" ref="F14:F24" si="5">SUM(D14:E14)</f>
        <v>27080.519999999997</v>
      </c>
      <c r="H14" s="135"/>
      <c r="I14" s="247" t="str">
        <f t="shared" si="1"/>
        <v>Furnace Replacement (90% AFUE) - SF</v>
      </c>
      <c r="J14" s="260"/>
      <c r="K14" s="261"/>
      <c r="L14" s="380">
        <f t="shared" si="2"/>
        <v>89</v>
      </c>
      <c r="M14" s="4698">
        <v>5</v>
      </c>
      <c r="N14" s="4698">
        <v>5</v>
      </c>
      <c r="O14" s="252">
        <f t="shared" si="4"/>
        <v>10</v>
      </c>
      <c r="P14" s="381">
        <f t="shared" si="3"/>
        <v>445</v>
      </c>
      <c r="Q14" s="381">
        <f t="shared" si="3"/>
        <v>445</v>
      </c>
      <c r="R14" s="382">
        <f t="shared" si="3"/>
        <v>890</v>
      </c>
      <c r="T14" s="296"/>
    </row>
    <row r="15" spans="2:22" ht="13.8" x14ac:dyDescent="0.3">
      <c r="B15" s="264"/>
      <c r="C15" s="265" t="s">
        <v>266</v>
      </c>
      <c r="D15" s="4699">
        <v>2668.0320000000002</v>
      </c>
      <c r="E15" s="4699">
        <v>3435.0899999999997</v>
      </c>
      <c r="F15" s="258">
        <f t="shared" si="5"/>
        <v>6103.1219999999994</v>
      </c>
      <c r="H15" s="135"/>
      <c r="I15" s="247" t="str">
        <f t="shared" si="1"/>
        <v>Boiler Space Heat Replacement - MF</v>
      </c>
      <c r="J15" s="260"/>
      <c r="K15" s="261"/>
      <c r="L15" s="380">
        <f t="shared" si="2"/>
        <v>845</v>
      </c>
      <c r="M15" s="4698">
        <v>2</v>
      </c>
      <c r="N15" s="4698">
        <v>2</v>
      </c>
      <c r="O15" s="252">
        <f t="shared" si="4"/>
        <v>4</v>
      </c>
      <c r="P15" s="381">
        <f t="shared" si="3"/>
        <v>1690</v>
      </c>
      <c r="Q15" s="381">
        <f t="shared" si="3"/>
        <v>1690</v>
      </c>
      <c r="R15" s="382">
        <f t="shared" si="3"/>
        <v>3380</v>
      </c>
      <c r="T15" s="296"/>
    </row>
    <row r="16" spans="2:22" ht="14.4" thickBot="1" x14ac:dyDescent="0.35">
      <c r="B16" s="264"/>
      <c r="C16" s="265" t="s">
        <v>613</v>
      </c>
      <c r="D16" s="258"/>
      <c r="E16" s="258"/>
      <c r="F16" s="258">
        <f t="shared" si="5"/>
        <v>0</v>
      </c>
      <c r="H16" s="135"/>
      <c r="I16" s="247" t="str">
        <f t="shared" si="1"/>
        <v>Boiler Water Heat Replacement - MF</v>
      </c>
      <c r="J16" s="260"/>
      <c r="K16" s="261"/>
      <c r="L16" s="380">
        <f t="shared" si="2"/>
        <v>1100</v>
      </c>
      <c r="M16" s="4698">
        <v>2</v>
      </c>
      <c r="N16" s="4698">
        <v>2</v>
      </c>
      <c r="O16" s="252">
        <f t="shared" si="4"/>
        <v>4</v>
      </c>
      <c r="P16" s="381">
        <f t="shared" si="3"/>
        <v>2200</v>
      </c>
      <c r="Q16" s="381">
        <f t="shared" si="3"/>
        <v>2200</v>
      </c>
      <c r="R16" s="382">
        <f t="shared" si="3"/>
        <v>4400</v>
      </c>
      <c r="T16" s="296"/>
    </row>
    <row r="17" spans="2:20" ht="14.4" thickBot="1" x14ac:dyDescent="0.35">
      <c r="B17" s="272">
        <v>0</v>
      </c>
      <c r="C17" s="244" t="s">
        <v>166</v>
      </c>
      <c r="D17" s="245">
        <f>SUM(D18:D21)</f>
        <v>2160</v>
      </c>
      <c r="E17" s="245">
        <f>SUM(E18:E21)</f>
        <v>2214</v>
      </c>
      <c r="F17" s="246">
        <f>D17+E17</f>
        <v>4374</v>
      </c>
      <c r="H17" s="135"/>
      <c r="I17" s="247" t="str">
        <f t="shared" si="1"/>
        <v>Tankless Water Heater (.90 EF) - MF</v>
      </c>
      <c r="J17" s="260"/>
      <c r="K17" s="261"/>
      <c r="L17" s="380">
        <f t="shared" si="2"/>
        <v>93</v>
      </c>
      <c r="M17" s="4698">
        <v>12</v>
      </c>
      <c r="N17" s="4698">
        <v>13</v>
      </c>
      <c r="O17" s="252">
        <f t="shared" si="4"/>
        <v>25</v>
      </c>
      <c r="P17" s="381">
        <f t="shared" si="3"/>
        <v>1116</v>
      </c>
      <c r="Q17" s="381">
        <f t="shared" si="3"/>
        <v>1209</v>
      </c>
      <c r="R17" s="382">
        <f t="shared" si="3"/>
        <v>2325</v>
      </c>
      <c r="T17" s="296"/>
    </row>
    <row r="18" spans="2:20" ht="13.8" x14ac:dyDescent="0.3">
      <c r="B18" s="256"/>
      <c r="C18" s="257" t="s">
        <v>268</v>
      </c>
      <c r="D18" s="258">
        <v>2160</v>
      </c>
      <c r="E18" s="258">
        <v>2214</v>
      </c>
      <c r="F18" s="258">
        <f t="shared" si="5"/>
        <v>4374</v>
      </c>
      <c r="H18" s="135"/>
      <c r="I18" s="247" t="str">
        <f t="shared" si="1"/>
        <v>Tankless Water Heater (.90 EF) - MH</v>
      </c>
      <c r="J18" s="260"/>
      <c r="K18" s="261"/>
      <c r="L18" s="380">
        <f t="shared" si="2"/>
        <v>93</v>
      </c>
      <c r="M18" s="4698">
        <v>0</v>
      </c>
      <c r="N18" s="4698">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47" t="str">
        <f t="shared" si="1"/>
        <v>Tankless Water Heater (.90 EF) - SF</v>
      </c>
      <c r="J19" s="260"/>
      <c r="K19" s="261"/>
      <c r="L19" s="380">
        <f t="shared" si="2"/>
        <v>93</v>
      </c>
      <c r="M19" s="4698">
        <v>0</v>
      </c>
      <c r="N19" s="4698">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47" t="str">
        <f t="shared" si="1"/>
        <v>Water Heater (.67 EF) - MF</v>
      </c>
      <c r="J20" s="260"/>
      <c r="K20" s="261"/>
      <c r="L20" s="380">
        <f t="shared" si="2"/>
        <v>24</v>
      </c>
      <c r="M20" s="4698">
        <v>4</v>
      </c>
      <c r="N20" s="4698">
        <v>4</v>
      </c>
      <c r="O20" s="252">
        <f t="shared" si="4"/>
        <v>8</v>
      </c>
      <c r="P20" s="381">
        <f t="shared" si="3"/>
        <v>96</v>
      </c>
      <c r="Q20" s="381">
        <f t="shared" si="3"/>
        <v>96</v>
      </c>
      <c r="R20" s="382">
        <f t="shared" si="3"/>
        <v>192</v>
      </c>
      <c r="T20" s="296"/>
    </row>
    <row r="21" spans="2:20" ht="14.4" thickBot="1" x14ac:dyDescent="0.35">
      <c r="B21" s="264"/>
      <c r="C21" s="265" t="s">
        <v>165</v>
      </c>
      <c r="D21" s="268">
        <v>0</v>
      </c>
      <c r="E21" s="268"/>
      <c r="F21" s="258">
        <f t="shared" si="5"/>
        <v>0</v>
      </c>
      <c r="H21" s="135"/>
      <c r="I21" s="247" t="str">
        <f t="shared" si="1"/>
        <v>Water Heater (.67 EF) - MH</v>
      </c>
      <c r="J21" s="260"/>
      <c r="K21" s="261"/>
      <c r="L21" s="380">
        <f t="shared" si="2"/>
        <v>24</v>
      </c>
      <c r="M21" s="4698">
        <v>4</v>
      </c>
      <c r="N21" s="4698">
        <v>4</v>
      </c>
      <c r="O21" s="252">
        <f t="shared" si="4"/>
        <v>8</v>
      </c>
      <c r="P21" s="381">
        <f t="shared" si="3"/>
        <v>96</v>
      </c>
      <c r="Q21" s="381">
        <f t="shared" si="3"/>
        <v>96</v>
      </c>
      <c r="R21" s="382">
        <f t="shared" si="3"/>
        <v>192</v>
      </c>
      <c r="T21" s="296"/>
    </row>
    <row r="22" spans="2:20" ht="14.4" thickBot="1" x14ac:dyDescent="0.35">
      <c r="B22" s="272">
        <v>20049</v>
      </c>
      <c r="C22" s="244" t="s">
        <v>167</v>
      </c>
      <c r="D22" s="245">
        <f>SUM(D23:D26)</f>
        <v>13547.03616</v>
      </c>
      <c r="E22" s="245">
        <f>SUM(E23:E26)</f>
        <v>14379.460199999998</v>
      </c>
      <c r="F22" s="246">
        <f>D22+E22</f>
        <v>27926.496359999997</v>
      </c>
      <c r="G22" s="55"/>
      <c r="H22" s="135"/>
      <c r="I22" s="247" t="str">
        <f t="shared" si="1"/>
        <v>Water Heater (.67 EF) - SF</v>
      </c>
      <c r="J22" s="260"/>
      <c r="K22" s="261"/>
      <c r="L22" s="380">
        <f t="shared" si="2"/>
        <v>24</v>
      </c>
      <c r="M22" s="4698">
        <v>4</v>
      </c>
      <c r="N22" s="4698">
        <v>4</v>
      </c>
      <c r="O22" s="252">
        <f t="shared" si="4"/>
        <v>8</v>
      </c>
      <c r="P22" s="381">
        <f t="shared" si="3"/>
        <v>96</v>
      </c>
      <c r="Q22" s="381">
        <f t="shared" si="3"/>
        <v>96</v>
      </c>
      <c r="R22" s="382">
        <f t="shared" si="3"/>
        <v>192</v>
      </c>
      <c r="T22" s="296"/>
    </row>
    <row r="23" spans="2:20" ht="13.8" x14ac:dyDescent="0.3">
      <c r="B23" s="256"/>
      <c r="C23" s="257" t="s">
        <v>168</v>
      </c>
      <c r="D23" s="258">
        <f>0.63*D12</f>
        <v>12186.23616</v>
      </c>
      <c r="E23" s="258">
        <f>0.63*E12</f>
        <v>12984.640199999998</v>
      </c>
      <c r="F23" s="258">
        <f t="shared" si="5"/>
        <v>25170.876359999998</v>
      </c>
      <c r="H23" s="135"/>
      <c r="I23" s="247" t="str">
        <f t="shared" si="1"/>
        <v>Insulation-Attic R0 to R38 - MF</v>
      </c>
      <c r="J23" s="260"/>
      <c r="K23" s="261"/>
      <c r="L23" s="380">
        <f t="shared" si="2"/>
        <v>0.09</v>
      </c>
      <c r="M23" s="4698">
        <v>5000</v>
      </c>
      <c r="N23" s="4698">
        <v>5000</v>
      </c>
      <c r="O23" s="252">
        <f t="shared" si="4"/>
        <v>10000</v>
      </c>
      <c r="P23" s="381">
        <f t="shared" si="3"/>
        <v>450</v>
      </c>
      <c r="Q23" s="381">
        <f t="shared" si="3"/>
        <v>450</v>
      </c>
      <c r="R23" s="382">
        <f t="shared" si="3"/>
        <v>900</v>
      </c>
      <c r="T23" s="296"/>
    </row>
    <row r="24" spans="2:20" ht="13.8" x14ac:dyDescent="0.3">
      <c r="B24" s="256"/>
      <c r="C24" s="257" t="s">
        <v>169</v>
      </c>
      <c r="D24" s="266">
        <f>0.63*D17</f>
        <v>1360.8</v>
      </c>
      <c r="E24" s="266">
        <f>0.63*E17</f>
        <v>1394.82</v>
      </c>
      <c r="F24" s="258">
        <f t="shared" si="5"/>
        <v>2755.62</v>
      </c>
      <c r="H24" s="135"/>
      <c r="I24" s="247" t="str">
        <f t="shared" si="1"/>
        <v>Insulation-Attic R0 to R38 - SF</v>
      </c>
      <c r="J24" s="260"/>
      <c r="K24" s="261"/>
      <c r="L24" s="380">
        <f t="shared" si="2"/>
        <v>0.09</v>
      </c>
      <c r="M24" s="4698">
        <v>8515</v>
      </c>
      <c r="N24" s="4698">
        <v>8515</v>
      </c>
      <c r="O24" s="252">
        <f t="shared" si="4"/>
        <v>17030</v>
      </c>
      <c r="P24" s="381">
        <f t="shared" si="3"/>
        <v>766.35</v>
      </c>
      <c r="Q24" s="381">
        <f t="shared" si="3"/>
        <v>766.35</v>
      </c>
      <c r="R24" s="382">
        <f t="shared" si="3"/>
        <v>1532.7</v>
      </c>
      <c r="T24" s="296"/>
    </row>
    <row r="25" spans="2:20" ht="13.8" x14ac:dyDescent="0.3">
      <c r="B25" s="264"/>
      <c r="C25" s="265"/>
      <c r="D25" s="268"/>
      <c r="E25" s="268"/>
      <c r="F25" s="268"/>
      <c r="H25" s="135"/>
      <c r="I25" s="247" t="str">
        <f t="shared" si="1"/>
        <v>Insulation-Attic R11 to R38 - MF</v>
      </c>
      <c r="J25" s="260"/>
      <c r="K25" s="261"/>
      <c r="L25" s="380">
        <f t="shared" si="2"/>
        <v>0.05</v>
      </c>
      <c r="M25" s="4698">
        <v>42000</v>
      </c>
      <c r="N25" s="4698">
        <v>42000</v>
      </c>
      <c r="O25" s="252">
        <f t="shared" si="4"/>
        <v>84000</v>
      </c>
      <c r="P25" s="381">
        <f t="shared" si="3"/>
        <v>2100</v>
      </c>
      <c r="Q25" s="381">
        <f t="shared" si="3"/>
        <v>2100</v>
      </c>
      <c r="R25" s="382">
        <f t="shared" si="3"/>
        <v>4200</v>
      </c>
      <c r="T25" s="296"/>
    </row>
    <row r="26" spans="2:20" ht="14.4" thickBot="1" x14ac:dyDescent="0.35">
      <c r="B26" s="264"/>
      <c r="C26" s="265"/>
      <c r="D26" s="268"/>
      <c r="E26" s="268"/>
      <c r="F26" s="268"/>
      <c r="H26" s="135"/>
      <c r="I26" s="247" t="str">
        <f t="shared" si="1"/>
        <v>Insulation-Attic R11 to R38 - SF</v>
      </c>
      <c r="J26" s="260"/>
      <c r="K26" s="261"/>
      <c r="L26" s="380">
        <f t="shared" si="2"/>
        <v>0.05</v>
      </c>
      <c r="M26" s="4698">
        <v>17000</v>
      </c>
      <c r="N26" s="4698">
        <v>17000</v>
      </c>
      <c r="O26" s="252">
        <f t="shared" si="4"/>
        <v>34000</v>
      </c>
      <c r="P26" s="381">
        <f t="shared" si="3"/>
        <v>850</v>
      </c>
      <c r="Q26" s="381">
        <f t="shared" si="3"/>
        <v>850</v>
      </c>
      <c r="R26" s="382">
        <f t="shared" si="3"/>
        <v>1700</v>
      </c>
      <c r="T26" s="296"/>
    </row>
    <row r="27" spans="2:20" ht="14.4" thickBot="1" x14ac:dyDescent="0.35">
      <c r="B27" s="272">
        <v>550</v>
      </c>
      <c r="C27" s="244" t="s">
        <v>170</v>
      </c>
      <c r="D27" s="245">
        <f>SUM(D28:D31)</f>
        <v>1000</v>
      </c>
      <c r="E27" s="245">
        <f>SUM(E28:E31)</f>
        <v>1000</v>
      </c>
      <c r="F27" s="246">
        <f>D27+E27</f>
        <v>2000</v>
      </c>
      <c r="H27" s="135"/>
      <c r="I27" s="247" t="str">
        <f t="shared" si="1"/>
        <v>Insulation-Attic R0 to R19 - MF</v>
      </c>
      <c r="J27" s="260"/>
      <c r="K27" s="261"/>
      <c r="L27" s="380">
        <f t="shared" si="2"/>
        <v>7.0000000000000007E-2</v>
      </c>
      <c r="M27" s="4698">
        <v>0</v>
      </c>
      <c r="N27" s="4698">
        <v>0</v>
      </c>
      <c r="O27" s="252">
        <f t="shared" si="4"/>
        <v>0</v>
      </c>
      <c r="P27" s="381">
        <f t="shared" si="3"/>
        <v>0</v>
      </c>
      <c r="Q27" s="381">
        <f t="shared" si="3"/>
        <v>0</v>
      </c>
      <c r="R27" s="382">
        <f t="shared" si="3"/>
        <v>0</v>
      </c>
      <c r="T27" s="296"/>
    </row>
    <row r="28" spans="2:20" ht="13.8" x14ac:dyDescent="0.3">
      <c r="B28" s="256"/>
      <c r="C28" s="257" t="s">
        <v>63</v>
      </c>
      <c r="D28" s="258">
        <v>1000</v>
      </c>
      <c r="E28" s="258">
        <v>1000</v>
      </c>
      <c r="F28" s="258">
        <f t="shared" ref="F28:F36" si="6">SUM(D28:E28)</f>
        <v>2000</v>
      </c>
      <c r="H28" s="135"/>
      <c r="I28" s="247" t="str">
        <f t="shared" si="1"/>
        <v>Insulation-Attic R0 to R19 - SF</v>
      </c>
      <c r="J28" s="260"/>
      <c r="K28" s="261"/>
      <c r="L28" s="380">
        <f t="shared" si="2"/>
        <v>7.0000000000000007E-2</v>
      </c>
      <c r="M28" s="4698">
        <v>0</v>
      </c>
      <c r="N28" s="4698">
        <v>0</v>
      </c>
      <c r="O28" s="252">
        <f t="shared" si="4"/>
        <v>0</v>
      </c>
      <c r="P28" s="381">
        <f t="shared" ref="P28:R43" si="7">M28*$D100</f>
        <v>0</v>
      </c>
      <c r="Q28" s="381">
        <f t="shared" si="7"/>
        <v>0</v>
      </c>
      <c r="R28" s="382">
        <f t="shared" si="7"/>
        <v>0</v>
      </c>
      <c r="T28" s="296"/>
    </row>
    <row r="29" spans="2:20" ht="13.8" x14ac:dyDescent="0.3">
      <c r="B29" s="264"/>
      <c r="C29" s="265" t="s">
        <v>163</v>
      </c>
      <c r="D29" s="266">
        <v>0</v>
      </c>
      <c r="E29" s="266"/>
      <c r="F29" s="258">
        <f t="shared" si="6"/>
        <v>0</v>
      </c>
      <c r="H29" s="135"/>
      <c r="I29" s="247" t="str">
        <f t="shared" si="1"/>
        <v>Insulation-Attic R19 to R38 - MF</v>
      </c>
      <c r="J29" s="260"/>
      <c r="K29" s="261"/>
      <c r="L29" s="380">
        <f t="shared" si="2"/>
        <v>0.02</v>
      </c>
      <c r="M29" s="4698">
        <v>0</v>
      </c>
      <c r="N29" s="4698">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47" t="str">
        <f t="shared" si="1"/>
        <v>Insulation-Attic R19 to R38 - SF</v>
      </c>
      <c r="J30" s="260"/>
      <c r="K30" s="261"/>
      <c r="L30" s="380">
        <f t="shared" si="2"/>
        <v>0.02</v>
      </c>
      <c r="M30" s="4698">
        <v>0</v>
      </c>
      <c r="N30" s="4698">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47" t="str">
        <f t="shared" si="1"/>
        <v>Insulation-Attic R0 to R49 - MF</v>
      </c>
      <c r="J31" s="260"/>
      <c r="K31" s="261"/>
      <c r="L31" s="380">
        <f t="shared" si="2"/>
        <v>0.1</v>
      </c>
      <c r="M31" s="4698">
        <v>0</v>
      </c>
      <c r="N31" s="4698">
        <v>0</v>
      </c>
      <c r="O31" s="252">
        <f t="shared" si="4"/>
        <v>0</v>
      </c>
      <c r="P31" s="381">
        <f t="shared" si="7"/>
        <v>0</v>
      </c>
      <c r="Q31" s="381">
        <f t="shared" si="7"/>
        <v>0</v>
      </c>
      <c r="R31" s="382">
        <f t="shared" si="7"/>
        <v>0</v>
      </c>
      <c r="T31" s="296"/>
    </row>
    <row r="32" spans="2:20" ht="14.4" thickBot="1" x14ac:dyDescent="0.35">
      <c r="B32" s="272">
        <v>293</v>
      </c>
      <c r="C32" s="244" t="s">
        <v>171</v>
      </c>
      <c r="D32" s="245">
        <f>SUM(D33:D36)</f>
        <v>2400</v>
      </c>
      <c r="E32" s="245">
        <f>SUM(E33:E36)</f>
        <v>2400</v>
      </c>
      <c r="F32" s="246">
        <f>D32+E32</f>
        <v>4800</v>
      </c>
      <c r="H32" s="135"/>
      <c r="I32" s="247" t="str">
        <f t="shared" si="1"/>
        <v>Insulation-Attic R0 to R49 - SF</v>
      </c>
      <c r="J32" s="260"/>
      <c r="K32" s="261"/>
      <c r="L32" s="380">
        <f t="shared" si="2"/>
        <v>0.1</v>
      </c>
      <c r="M32" s="4698">
        <v>0</v>
      </c>
      <c r="N32" s="4698">
        <v>0</v>
      </c>
      <c r="O32" s="252">
        <f t="shared" si="4"/>
        <v>0</v>
      </c>
      <c r="P32" s="381">
        <f t="shared" si="7"/>
        <v>0</v>
      </c>
      <c r="Q32" s="381">
        <f t="shared" si="7"/>
        <v>0</v>
      </c>
      <c r="R32" s="382">
        <f t="shared" si="7"/>
        <v>0</v>
      </c>
      <c r="T32" s="296"/>
    </row>
    <row r="33" spans="2:20" ht="13.8" x14ac:dyDescent="0.3">
      <c r="B33" s="264"/>
      <c r="C33" s="265" t="s">
        <v>43</v>
      </c>
      <c r="D33" s="266">
        <v>1200</v>
      </c>
      <c r="E33" s="266">
        <v>1200</v>
      </c>
      <c r="F33" s="258">
        <f t="shared" si="6"/>
        <v>2400</v>
      </c>
      <c r="H33" s="135"/>
      <c r="I33" s="247" t="str">
        <f t="shared" si="1"/>
        <v>Insulation-Attic R0 to R30 - MH</v>
      </c>
      <c r="J33" s="260"/>
      <c r="K33" s="261"/>
      <c r="L33" s="380">
        <f t="shared" si="2"/>
        <v>0.04</v>
      </c>
      <c r="M33" s="4698">
        <v>3000</v>
      </c>
      <c r="N33" s="4698">
        <v>3000</v>
      </c>
      <c r="O33" s="252">
        <f t="shared" si="4"/>
        <v>6000</v>
      </c>
      <c r="P33" s="381">
        <f t="shared" si="7"/>
        <v>120</v>
      </c>
      <c r="Q33" s="381">
        <f t="shared" si="7"/>
        <v>120</v>
      </c>
      <c r="R33" s="382">
        <f t="shared" si="7"/>
        <v>240</v>
      </c>
      <c r="T33" s="296"/>
    </row>
    <row r="34" spans="2:20" ht="13.8" x14ac:dyDescent="0.3">
      <c r="B34" s="264"/>
      <c r="C34" s="265" t="s">
        <v>72</v>
      </c>
      <c r="D34" s="266">
        <v>1200</v>
      </c>
      <c r="E34" s="266">
        <v>1200</v>
      </c>
      <c r="F34" s="258">
        <f t="shared" si="6"/>
        <v>2400</v>
      </c>
      <c r="H34" s="135"/>
      <c r="I34" s="247" t="str">
        <f t="shared" si="1"/>
        <v>Insulation-Attic R0 to R33 - MH</v>
      </c>
      <c r="J34" s="260"/>
      <c r="K34" s="261"/>
      <c r="L34" s="380">
        <f t="shared" si="2"/>
        <v>0.1</v>
      </c>
      <c r="M34" s="4698">
        <v>0</v>
      </c>
      <c r="N34" s="4698">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47" t="str">
        <f t="shared" si="1"/>
        <v>Insulation-Attic R0 to R22 - MH</v>
      </c>
      <c r="J35" s="260"/>
      <c r="K35" s="261"/>
      <c r="L35" s="380">
        <f t="shared" si="2"/>
        <v>7.0000000000000007E-2</v>
      </c>
      <c r="M35" s="4698">
        <v>0</v>
      </c>
      <c r="N35" s="4698">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47" t="str">
        <f t="shared" si="1"/>
        <v>Insulation-Attic R11 to R33 - MH</v>
      </c>
      <c r="J36" s="260"/>
      <c r="K36" s="261"/>
      <c r="L36" s="380">
        <f t="shared" si="2"/>
        <v>0.05</v>
      </c>
      <c r="M36" s="4698">
        <v>0</v>
      </c>
      <c r="N36" s="4698">
        <v>0</v>
      </c>
      <c r="O36" s="252">
        <f t="shared" si="4"/>
        <v>0</v>
      </c>
      <c r="P36" s="381">
        <f t="shared" si="7"/>
        <v>0</v>
      </c>
      <c r="Q36" s="381">
        <f t="shared" si="7"/>
        <v>0</v>
      </c>
      <c r="R36" s="382">
        <f t="shared" si="7"/>
        <v>0</v>
      </c>
      <c r="T36" s="296"/>
    </row>
    <row r="37" spans="2:20" ht="14.4" thickBot="1" x14ac:dyDescent="0.35">
      <c r="B37" s="272">
        <v>5613</v>
      </c>
      <c r="C37" s="244" t="s">
        <v>172</v>
      </c>
      <c r="D37" s="245">
        <f>SUM(D38:D41)</f>
        <v>4800</v>
      </c>
      <c r="E37" s="245">
        <f>SUM(E38:E41)</f>
        <v>4800</v>
      </c>
      <c r="F37" s="246">
        <f>D37+E37</f>
        <v>9600</v>
      </c>
      <c r="H37" s="135"/>
      <c r="I37" s="247" t="str">
        <f t="shared" si="1"/>
        <v>Insulation-Duct R0 to R11 - MF</v>
      </c>
      <c r="J37" s="260"/>
      <c r="K37" s="270"/>
      <c r="L37" s="380">
        <f t="shared" si="2"/>
        <v>0.2</v>
      </c>
      <c r="M37" s="4698">
        <v>30</v>
      </c>
      <c r="N37" s="4698">
        <v>30</v>
      </c>
      <c r="O37" s="252">
        <f t="shared" si="4"/>
        <v>60</v>
      </c>
      <c r="P37" s="381">
        <f t="shared" si="7"/>
        <v>6</v>
      </c>
      <c r="Q37" s="381">
        <f t="shared" si="7"/>
        <v>6</v>
      </c>
      <c r="R37" s="382">
        <f t="shared" si="7"/>
        <v>12</v>
      </c>
      <c r="T37" s="296"/>
    </row>
    <row r="38" spans="2:20" ht="13.8" x14ac:dyDescent="0.3">
      <c r="B38" s="264"/>
      <c r="C38" s="265" t="s">
        <v>269</v>
      </c>
      <c r="D38" s="266">
        <v>4800</v>
      </c>
      <c r="E38" s="266">
        <v>4800</v>
      </c>
      <c r="F38" s="258">
        <f t="shared" ref="F38:F51" si="8">SUM(D38:E38)</f>
        <v>9600</v>
      </c>
      <c r="H38" s="135"/>
      <c r="I38" s="247" t="str">
        <f t="shared" si="1"/>
        <v>Insulation-Duct R0 to R11 - SF</v>
      </c>
      <c r="J38" s="260"/>
      <c r="K38" s="270"/>
      <c r="L38" s="380">
        <f t="shared" si="2"/>
        <v>0.2</v>
      </c>
      <c r="M38" s="4698">
        <v>8288</v>
      </c>
      <c r="N38" s="4698">
        <v>8288</v>
      </c>
      <c r="O38" s="252">
        <f t="shared" si="4"/>
        <v>16576</v>
      </c>
      <c r="P38" s="381">
        <f t="shared" si="7"/>
        <v>1657.6000000000001</v>
      </c>
      <c r="Q38" s="381">
        <f t="shared" si="7"/>
        <v>1657.6000000000001</v>
      </c>
      <c r="R38" s="382">
        <f t="shared" si="7"/>
        <v>3315.2000000000003</v>
      </c>
      <c r="T38" s="296"/>
    </row>
    <row r="39" spans="2:20" ht="13.8" x14ac:dyDescent="0.3">
      <c r="B39" s="264"/>
      <c r="C39" s="265" t="s">
        <v>270</v>
      </c>
      <c r="D39" s="266"/>
      <c r="E39" s="266"/>
      <c r="F39" s="258">
        <f t="shared" si="8"/>
        <v>0</v>
      </c>
      <c r="H39" s="135"/>
      <c r="I39" s="247" t="str">
        <f t="shared" si="1"/>
        <v>Insulation-Floor R0 to R19 - MF</v>
      </c>
      <c r="J39" s="260"/>
      <c r="K39" s="270"/>
      <c r="L39" s="380">
        <f t="shared" si="2"/>
        <v>0.04</v>
      </c>
      <c r="M39" s="4698">
        <v>0</v>
      </c>
      <c r="N39" s="4698">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47" t="str">
        <f t="shared" si="1"/>
        <v>Insulation-Floor R0 to R19 - SF</v>
      </c>
      <c r="J40" s="260"/>
      <c r="K40" s="270"/>
      <c r="L40" s="380">
        <f t="shared" si="2"/>
        <v>0.04</v>
      </c>
      <c r="M40" s="4698">
        <v>0</v>
      </c>
      <c r="N40" s="4698">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47" t="str">
        <f t="shared" si="1"/>
        <v>Insulation-Floor R0 to R30 - MF</v>
      </c>
      <c r="J41" s="260"/>
      <c r="K41" s="270"/>
      <c r="L41" s="380">
        <f t="shared" si="2"/>
        <v>0.06</v>
      </c>
      <c r="M41" s="4698">
        <v>10000</v>
      </c>
      <c r="N41" s="4698">
        <v>10000</v>
      </c>
      <c r="O41" s="252">
        <f t="shared" si="4"/>
        <v>20000</v>
      </c>
      <c r="P41" s="381">
        <f t="shared" si="7"/>
        <v>600</v>
      </c>
      <c r="Q41" s="381">
        <f t="shared" si="7"/>
        <v>600</v>
      </c>
      <c r="R41" s="382">
        <f t="shared" si="7"/>
        <v>1200</v>
      </c>
      <c r="T41" s="296"/>
    </row>
    <row r="42" spans="2:20" ht="14.4" thickBot="1" x14ac:dyDescent="0.35">
      <c r="B42" s="272">
        <v>300</v>
      </c>
      <c r="C42" s="244" t="s">
        <v>173</v>
      </c>
      <c r="D42" s="245">
        <f>SUM(D43:D46)</f>
        <v>4038</v>
      </c>
      <c r="E42" s="245">
        <f>SUM(E43:E46)</f>
        <v>4038</v>
      </c>
      <c r="F42" s="246">
        <f>D42+E42</f>
        <v>8076</v>
      </c>
      <c r="H42" s="135"/>
      <c r="I42" s="247" t="str">
        <f t="shared" si="1"/>
        <v>Insulation-Floor R0 to R30 - MH</v>
      </c>
      <c r="J42" s="260"/>
      <c r="K42" s="270"/>
      <c r="L42" s="380">
        <f t="shared" si="2"/>
        <v>0.09</v>
      </c>
      <c r="M42" s="4698">
        <v>2000</v>
      </c>
      <c r="N42" s="4698">
        <v>2000</v>
      </c>
      <c r="O42" s="252">
        <f t="shared" si="4"/>
        <v>4000</v>
      </c>
      <c r="P42" s="381">
        <f t="shared" si="7"/>
        <v>180</v>
      </c>
      <c r="Q42" s="381">
        <f t="shared" si="7"/>
        <v>180</v>
      </c>
      <c r="R42" s="382">
        <f t="shared" si="7"/>
        <v>360</v>
      </c>
      <c r="T42" s="296"/>
    </row>
    <row r="43" spans="2:20" ht="13.8" x14ac:dyDescent="0.3">
      <c r="B43" s="264"/>
      <c r="C43" s="265" t="s">
        <v>271</v>
      </c>
      <c r="D43" s="266">
        <v>4038</v>
      </c>
      <c r="E43" s="266">
        <v>4038</v>
      </c>
      <c r="F43" s="258">
        <f t="shared" si="8"/>
        <v>8076</v>
      </c>
      <c r="H43" s="135"/>
      <c r="I43" s="247" t="str">
        <f t="shared" si="1"/>
        <v>Insulation-Floor R0 to R30 - SF</v>
      </c>
      <c r="J43" s="260"/>
      <c r="K43" s="270"/>
      <c r="L43" s="380">
        <f t="shared" si="2"/>
        <v>0.06</v>
      </c>
      <c r="M43" s="4698">
        <v>1000</v>
      </c>
      <c r="N43" s="4698">
        <v>1000</v>
      </c>
      <c r="O43" s="252">
        <f t="shared" si="4"/>
        <v>2000</v>
      </c>
      <c r="P43" s="381">
        <f t="shared" si="7"/>
        <v>60</v>
      </c>
      <c r="Q43" s="381">
        <f t="shared" si="7"/>
        <v>60</v>
      </c>
      <c r="R43" s="382">
        <f t="shared" si="7"/>
        <v>120</v>
      </c>
      <c r="T43" s="296"/>
    </row>
    <row r="44" spans="2:20" ht="13.8" x14ac:dyDescent="0.3">
      <c r="B44" s="264"/>
      <c r="C44" s="265" t="s">
        <v>163</v>
      </c>
      <c r="D44" s="266">
        <v>0</v>
      </c>
      <c r="E44" s="266"/>
      <c r="F44" s="258">
        <f t="shared" si="8"/>
        <v>0</v>
      </c>
      <c r="H44" s="135"/>
      <c r="I44" s="247" t="str">
        <f t="shared" si="1"/>
        <v>Insulation-Floor R11 to R30 - MF</v>
      </c>
      <c r="J44" s="260"/>
      <c r="K44" s="270"/>
      <c r="L44" s="380">
        <f t="shared" si="2"/>
        <v>0.03</v>
      </c>
      <c r="M44" s="4698">
        <v>0</v>
      </c>
      <c r="N44" s="4698">
        <v>0</v>
      </c>
      <c r="O44" s="252">
        <f t="shared" si="4"/>
        <v>0</v>
      </c>
      <c r="P44" s="381">
        <f t="shared" ref="P44:R59" si="9">M44*$D116</f>
        <v>0</v>
      </c>
      <c r="Q44" s="381">
        <f t="shared" si="9"/>
        <v>0</v>
      </c>
      <c r="R44" s="382">
        <f t="shared" si="9"/>
        <v>0</v>
      </c>
      <c r="T44" s="296"/>
    </row>
    <row r="45" spans="2:20" ht="13.8" x14ac:dyDescent="0.3">
      <c r="B45" s="264"/>
      <c r="C45" s="265" t="s">
        <v>164</v>
      </c>
      <c r="D45" s="266">
        <v>0</v>
      </c>
      <c r="E45" s="266"/>
      <c r="F45" s="258">
        <f t="shared" si="8"/>
        <v>0</v>
      </c>
      <c r="H45" s="135"/>
      <c r="I45" s="247" t="str">
        <f t="shared" si="1"/>
        <v>Insulation-Floor R11 to R30 - SF</v>
      </c>
      <c r="J45" s="260"/>
      <c r="K45" s="270"/>
      <c r="L45" s="380">
        <f t="shared" si="2"/>
        <v>0.05</v>
      </c>
      <c r="M45" s="4698">
        <v>0</v>
      </c>
      <c r="N45" s="4698">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47" t="str">
        <f t="shared" si="1"/>
        <v>Insulation-Floor R0 to R22 - MH</v>
      </c>
      <c r="J46" s="260"/>
      <c r="K46" s="270"/>
      <c r="L46" s="380">
        <f t="shared" si="2"/>
        <v>0.05</v>
      </c>
      <c r="M46" s="4698">
        <v>15000</v>
      </c>
      <c r="N46" s="4698">
        <v>15000</v>
      </c>
      <c r="O46" s="252">
        <f t="shared" si="4"/>
        <v>30000</v>
      </c>
      <c r="P46" s="381">
        <f t="shared" si="9"/>
        <v>750</v>
      </c>
      <c r="Q46" s="381">
        <f t="shared" si="9"/>
        <v>750</v>
      </c>
      <c r="R46" s="382">
        <f t="shared" si="9"/>
        <v>1500</v>
      </c>
      <c r="T46" s="296"/>
    </row>
    <row r="47" spans="2:20" ht="14.4" thickBot="1" x14ac:dyDescent="0.35">
      <c r="B47" s="272">
        <v>1878</v>
      </c>
      <c r="C47" s="244" t="s">
        <v>174</v>
      </c>
      <c r="D47" s="245">
        <f>SUM(D48:D51)</f>
        <v>297</v>
      </c>
      <c r="E47" s="245">
        <f>SUM(E48:E51)</f>
        <v>297</v>
      </c>
      <c r="F47" s="246">
        <f>D47+E47</f>
        <v>594</v>
      </c>
      <c r="H47" s="135"/>
      <c r="I47" s="247" t="str">
        <f t="shared" si="1"/>
        <v>Insulation-Floor R11 to R22 - MH</v>
      </c>
      <c r="J47" s="260"/>
      <c r="K47" s="270"/>
      <c r="L47" s="380">
        <f t="shared" si="2"/>
        <v>0.03</v>
      </c>
      <c r="M47" s="4698">
        <v>0</v>
      </c>
      <c r="N47" s="4698">
        <v>0</v>
      </c>
      <c r="O47" s="252">
        <f t="shared" si="4"/>
        <v>0</v>
      </c>
      <c r="P47" s="381">
        <f t="shared" si="9"/>
        <v>0</v>
      </c>
      <c r="Q47" s="381">
        <f t="shared" si="9"/>
        <v>0</v>
      </c>
      <c r="R47" s="382">
        <f t="shared" si="9"/>
        <v>0</v>
      </c>
      <c r="T47" s="296"/>
    </row>
    <row r="48" spans="2:20" ht="13.8" x14ac:dyDescent="0.3">
      <c r="B48" s="264"/>
      <c r="C48" s="265" t="s">
        <v>162</v>
      </c>
      <c r="D48" s="266">
        <v>297</v>
      </c>
      <c r="E48" s="266">
        <v>297</v>
      </c>
      <c r="F48" s="258">
        <f t="shared" si="8"/>
        <v>594</v>
      </c>
      <c r="H48" s="135"/>
      <c r="I48" s="247" t="str">
        <f t="shared" si="1"/>
        <v>Insulation-Wall R0 to R11 - MF</v>
      </c>
      <c r="J48" s="260"/>
      <c r="K48" s="270"/>
      <c r="L48" s="380">
        <f t="shared" si="2"/>
        <v>0.06</v>
      </c>
      <c r="M48" s="4698">
        <v>15000</v>
      </c>
      <c r="N48" s="4698">
        <v>15000</v>
      </c>
      <c r="O48" s="252">
        <f t="shared" si="4"/>
        <v>30000</v>
      </c>
      <c r="P48" s="381">
        <f t="shared" si="9"/>
        <v>900</v>
      </c>
      <c r="Q48" s="381">
        <f t="shared" si="9"/>
        <v>900</v>
      </c>
      <c r="R48" s="382">
        <f t="shared" si="9"/>
        <v>1800</v>
      </c>
      <c r="T48" s="296"/>
    </row>
    <row r="49" spans="2:24" ht="13.8" x14ac:dyDescent="0.3">
      <c r="B49" s="264"/>
      <c r="C49" s="265" t="s">
        <v>163</v>
      </c>
      <c r="D49" s="266">
        <v>0</v>
      </c>
      <c r="E49" s="266"/>
      <c r="F49" s="258">
        <f t="shared" si="8"/>
        <v>0</v>
      </c>
      <c r="I49" s="247" t="str">
        <f t="shared" si="1"/>
        <v>Insulation-Wall R0 to R11 - MH</v>
      </c>
      <c r="J49" s="260"/>
      <c r="K49" s="261"/>
      <c r="L49" s="380">
        <f t="shared" si="2"/>
        <v>0.06</v>
      </c>
      <c r="M49" s="4698">
        <v>2000</v>
      </c>
      <c r="N49" s="4698">
        <v>2000</v>
      </c>
      <c r="O49" s="252">
        <f t="shared" si="4"/>
        <v>4000</v>
      </c>
      <c r="P49" s="381">
        <f t="shared" si="9"/>
        <v>120</v>
      </c>
      <c r="Q49" s="381">
        <f t="shared" si="9"/>
        <v>120</v>
      </c>
      <c r="R49" s="382">
        <f t="shared" si="9"/>
        <v>240</v>
      </c>
      <c r="T49" s="296"/>
    </row>
    <row r="50" spans="2:24" ht="13.8" x14ac:dyDescent="0.3">
      <c r="B50" s="264"/>
      <c r="C50" s="265" t="s">
        <v>164</v>
      </c>
      <c r="D50" s="266">
        <v>0</v>
      </c>
      <c r="E50" s="266"/>
      <c r="F50" s="258">
        <f t="shared" si="8"/>
        <v>0</v>
      </c>
      <c r="I50" s="247" t="str">
        <f t="shared" si="1"/>
        <v>Insulation-Wall R0 to R11 - SF</v>
      </c>
      <c r="J50" s="260"/>
      <c r="K50" s="261"/>
      <c r="L50" s="380">
        <f t="shared" si="2"/>
        <v>0.06</v>
      </c>
      <c r="M50" s="4698">
        <v>15000</v>
      </c>
      <c r="N50" s="4698">
        <v>15000</v>
      </c>
      <c r="O50" s="252">
        <f t="shared" si="4"/>
        <v>30000</v>
      </c>
      <c r="P50" s="381">
        <f t="shared" si="9"/>
        <v>900</v>
      </c>
      <c r="Q50" s="381">
        <f t="shared" si="9"/>
        <v>900</v>
      </c>
      <c r="R50" s="382">
        <f t="shared" si="9"/>
        <v>1800</v>
      </c>
      <c r="T50" s="296"/>
    </row>
    <row r="51" spans="2:24" ht="14.4" thickBot="1" x14ac:dyDescent="0.35">
      <c r="B51" s="264"/>
      <c r="C51" s="265" t="s">
        <v>165</v>
      </c>
      <c r="D51" s="266">
        <v>0</v>
      </c>
      <c r="E51" s="266"/>
      <c r="F51" s="258">
        <f t="shared" si="8"/>
        <v>0</v>
      </c>
      <c r="I51" s="247" t="str">
        <f t="shared" si="1"/>
        <v>Insulation-Wall R0 to R15 - SF</v>
      </c>
      <c r="J51" s="260"/>
      <c r="K51" s="261"/>
      <c r="L51" s="380">
        <f t="shared" si="2"/>
        <v>0.14000000000000001</v>
      </c>
      <c r="M51" s="4698">
        <v>0</v>
      </c>
      <c r="N51" s="4698">
        <v>0</v>
      </c>
      <c r="O51" s="252">
        <f t="shared" si="4"/>
        <v>0</v>
      </c>
      <c r="P51" s="381">
        <f t="shared" si="9"/>
        <v>0</v>
      </c>
      <c r="Q51" s="381">
        <f t="shared" si="9"/>
        <v>0</v>
      </c>
      <c r="R51" s="382">
        <f t="shared" si="9"/>
        <v>0</v>
      </c>
      <c r="T51" s="296"/>
    </row>
    <row r="52" spans="2:24" ht="14.4" thickBot="1" x14ac:dyDescent="0.35">
      <c r="B52" s="272">
        <v>828873</v>
      </c>
      <c r="C52" s="244" t="s">
        <v>175</v>
      </c>
      <c r="D52" s="245">
        <f>S144*1.15</f>
        <v>557007.38749999995</v>
      </c>
      <c r="E52" s="3988">
        <f>T144*1.15</f>
        <v>467114.18749999994</v>
      </c>
      <c r="F52" s="246">
        <f>SUM(D52:E52)</f>
        <v>1024121.575</v>
      </c>
      <c r="G52" s="271" t="s">
        <v>176</v>
      </c>
      <c r="I52" s="247" t="str">
        <f t="shared" si="1"/>
        <v>Insulation-Tapered Roof R5 to R38 - MF</v>
      </c>
      <c r="J52" s="260"/>
      <c r="K52" s="261"/>
      <c r="L52" s="380">
        <f t="shared" si="2"/>
        <v>0.1</v>
      </c>
      <c r="M52" s="4698">
        <v>0</v>
      </c>
      <c r="N52" s="4698">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47" t="str">
        <f t="shared" si="1"/>
        <v>Showerhead - MF</v>
      </c>
      <c r="J53" s="260"/>
      <c r="K53" s="261"/>
      <c r="L53" s="380">
        <f t="shared" si="2"/>
        <v>6</v>
      </c>
      <c r="M53" s="4698">
        <v>400</v>
      </c>
      <c r="N53" s="4698">
        <v>0</v>
      </c>
      <c r="O53" s="252">
        <f t="shared" si="4"/>
        <v>400</v>
      </c>
      <c r="P53" s="381">
        <f t="shared" si="9"/>
        <v>2400</v>
      </c>
      <c r="Q53" s="381">
        <f t="shared" si="9"/>
        <v>0</v>
      </c>
      <c r="R53" s="382">
        <f t="shared" si="9"/>
        <v>2400</v>
      </c>
      <c r="T53" s="296"/>
    </row>
    <row r="54" spans="2:24" ht="13.8" x14ac:dyDescent="0.3">
      <c r="B54" s="273">
        <f>B12+B17+B22+B27+B32+B37+B42+B47+B52+B53</f>
        <v>889381</v>
      </c>
      <c r="C54" s="274" t="s">
        <v>178</v>
      </c>
      <c r="D54" s="273">
        <f>D12+D17+D22+D27+D32+D37+D42+D47+D52+D53</f>
        <v>604592.65565999993</v>
      </c>
      <c r="E54" s="273">
        <f>E12+E17+E22+E27+E32+E37+E42+E47+E52+E53</f>
        <v>516853.18769999995</v>
      </c>
      <c r="F54" s="273">
        <f>F12+F17+F22+F27+F32+F37+F42+F47+F52+F53</f>
        <v>1121445.8433599998</v>
      </c>
      <c r="I54" s="247" t="str">
        <f t="shared" si="1"/>
        <v>Showerhead - MH</v>
      </c>
      <c r="J54" s="260"/>
      <c r="K54" s="261"/>
      <c r="L54" s="380">
        <f t="shared" si="2"/>
        <v>6</v>
      </c>
      <c r="M54" s="4698">
        <v>75</v>
      </c>
      <c r="N54" s="4698">
        <v>0</v>
      </c>
      <c r="O54" s="252">
        <f t="shared" si="4"/>
        <v>75</v>
      </c>
      <c r="P54" s="381">
        <f t="shared" si="9"/>
        <v>450</v>
      </c>
      <c r="Q54" s="381">
        <f t="shared" si="9"/>
        <v>0</v>
      </c>
      <c r="R54" s="382">
        <f t="shared" si="9"/>
        <v>450</v>
      </c>
      <c r="T54" s="296"/>
    </row>
    <row r="55" spans="2:24" ht="13.8" x14ac:dyDescent="0.3">
      <c r="C55" s="274"/>
      <c r="D55" s="273"/>
      <c r="E55" s="273"/>
      <c r="F55" s="273"/>
      <c r="I55" s="247" t="str">
        <f t="shared" si="1"/>
        <v>Showerhead - SF</v>
      </c>
      <c r="J55" s="260"/>
      <c r="K55" s="261"/>
      <c r="L55" s="380">
        <f t="shared" si="2"/>
        <v>6</v>
      </c>
      <c r="M55" s="4698">
        <v>75</v>
      </c>
      <c r="N55" s="4698">
        <v>0</v>
      </c>
      <c r="O55" s="252">
        <f t="shared" si="4"/>
        <v>75</v>
      </c>
      <c r="P55" s="381">
        <f t="shared" si="9"/>
        <v>450</v>
      </c>
      <c r="Q55" s="381">
        <f t="shared" si="9"/>
        <v>0</v>
      </c>
      <c r="R55" s="382">
        <f t="shared" si="9"/>
        <v>450</v>
      </c>
      <c r="T55" s="296"/>
    </row>
    <row r="56" spans="2:24" ht="13.8" x14ac:dyDescent="0.3">
      <c r="C56" s="274" t="s">
        <v>179</v>
      </c>
      <c r="D56" s="273">
        <f>D54-D52</f>
        <v>47585.268159999978</v>
      </c>
      <c r="E56" s="273">
        <f>E54-E52</f>
        <v>49739.000200000009</v>
      </c>
      <c r="F56" s="273">
        <f>F54-F52</f>
        <v>97324.268359999871</v>
      </c>
      <c r="I56" s="247" t="str">
        <f t="shared" si="1"/>
        <v>Duct Sealing - MH</v>
      </c>
      <c r="J56" s="260"/>
      <c r="K56" s="261"/>
      <c r="L56" s="380">
        <f t="shared" si="2"/>
        <v>43</v>
      </c>
      <c r="M56" s="4698">
        <v>7</v>
      </c>
      <c r="N56" s="4698">
        <v>8</v>
      </c>
      <c r="O56" s="252">
        <f t="shared" si="4"/>
        <v>15</v>
      </c>
      <c r="P56" s="381">
        <f t="shared" si="9"/>
        <v>301</v>
      </c>
      <c r="Q56" s="381">
        <f t="shared" si="9"/>
        <v>344</v>
      </c>
      <c r="R56" s="382">
        <f t="shared" si="9"/>
        <v>645</v>
      </c>
      <c r="T56" s="296"/>
    </row>
    <row r="57" spans="2:24" ht="13.8" x14ac:dyDescent="0.3">
      <c r="C57" s="274" t="s">
        <v>180</v>
      </c>
      <c r="D57" s="276">
        <f>D52</f>
        <v>557007.38749999995</v>
      </c>
      <c r="E57" s="276">
        <f>E52</f>
        <v>467114.18749999994</v>
      </c>
      <c r="F57" s="276">
        <f>F52</f>
        <v>1024121.575</v>
      </c>
      <c r="G57" s="335">
        <f>F57/(F56+F57)</f>
        <v>0.91321536484686272</v>
      </c>
      <c r="H57" s="278" t="s">
        <v>181</v>
      </c>
      <c r="I57" s="247" t="str">
        <f t="shared" si="1"/>
        <v>Duct Sealing - SF</v>
      </c>
      <c r="J57" s="260"/>
      <c r="K57" s="261"/>
      <c r="L57" s="380">
        <f t="shared" si="2"/>
        <v>50</v>
      </c>
      <c r="M57" s="4698">
        <v>20</v>
      </c>
      <c r="N57" s="4698">
        <v>20</v>
      </c>
      <c r="O57" s="252">
        <f t="shared" si="4"/>
        <v>40</v>
      </c>
      <c r="P57" s="381">
        <f t="shared" si="9"/>
        <v>1000</v>
      </c>
      <c r="Q57" s="381">
        <f t="shared" si="9"/>
        <v>1000</v>
      </c>
      <c r="R57" s="382">
        <f t="shared" si="9"/>
        <v>2000</v>
      </c>
      <c r="T57" s="296"/>
    </row>
    <row r="58" spans="2:24" ht="13.8" x14ac:dyDescent="0.3">
      <c r="C58" s="274"/>
      <c r="D58" s="276"/>
      <c r="E58" s="276"/>
      <c r="F58" s="276"/>
      <c r="I58" s="247" t="str">
        <f t="shared" si="1"/>
        <v>Structure Sealing - MH</v>
      </c>
      <c r="J58" s="260"/>
      <c r="K58" s="261"/>
      <c r="L58" s="380">
        <f t="shared" si="2"/>
        <v>7.0000000000000007E-2</v>
      </c>
      <c r="M58" s="4698">
        <v>15000</v>
      </c>
      <c r="N58" s="4698">
        <v>15000</v>
      </c>
      <c r="O58" s="252">
        <f t="shared" si="4"/>
        <v>30000</v>
      </c>
      <c r="P58" s="381">
        <f t="shared" si="9"/>
        <v>1050</v>
      </c>
      <c r="Q58" s="381">
        <f t="shared" si="9"/>
        <v>1050</v>
      </c>
      <c r="R58" s="382">
        <f t="shared" si="9"/>
        <v>2100</v>
      </c>
      <c r="T58" s="296"/>
    </row>
    <row r="59" spans="2:24" ht="41.4" x14ac:dyDescent="0.3">
      <c r="B59" s="321" t="s">
        <v>273</v>
      </c>
      <c r="C59" s="383" t="s">
        <v>274</v>
      </c>
      <c r="D59" s="273"/>
      <c r="E59" s="273"/>
      <c r="F59" s="276"/>
      <c r="I59" s="247" t="str">
        <f t="shared" si="1"/>
        <v>Structure Sealing - SF</v>
      </c>
      <c r="J59" s="260"/>
      <c r="K59" s="261"/>
      <c r="L59" s="380">
        <f t="shared" si="2"/>
        <v>0.04</v>
      </c>
      <c r="M59" s="4698">
        <v>15000</v>
      </c>
      <c r="N59" s="4698">
        <v>15000</v>
      </c>
      <c r="O59" s="252">
        <f t="shared" si="4"/>
        <v>30000</v>
      </c>
      <c r="P59" s="381">
        <f t="shared" si="9"/>
        <v>600</v>
      </c>
      <c r="Q59" s="381">
        <f t="shared" si="9"/>
        <v>600</v>
      </c>
      <c r="R59" s="382">
        <f t="shared" si="9"/>
        <v>1200</v>
      </c>
      <c r="T59" s="296"/>
    </row>
    <row r="60" spans="2:24" ht="15.6" x14ac:dyDescent="0.3">
      <c r="B60" s="317" t="s">
        <v>276</v>
      </c>
      <c r="C60" s="273"/>
      <c r="D60" s="273"/>
      <c r="E60" s="273"/>
      <c r="F60" s="276"/>
      <c r="I60" s="247" t="str">
        <f t="shared" si="1"/>
        <v>Structure Sealing - MF</v>
      </c>
      <c r="J60" s="260"/>
      <c r="K60" s="261"/>
      <c r="L60" s="380">
        <f t="shared" si="2"/>
        <v>0.08</v>
      </c>
      <c r="M60" s="4698">
        <v>0</v>
      </c>
      <c r="N60" s="4698">
        <v>0</v>
      </c>
      <c r="O60" s="252">
        <f t="shared" si="4"/>
        <v>0</v>
      </c>
      <c r="P60" s="381">
        <f t="shared" ref="P60:R71" si="10">M60*$D132</f>
        <v>0</v>
      </c>
      <c r="Q60" s="381">
        <f t="shared" si="10"/>
        <v>0</v>
      </c>
      <c r="R60" s="382">
        <f t="shared" si="10"/>
        <v>0</v>
      </c>
      <c r="T60" s="296"/>
      <c r="W60" s="296"/>
    </row>
    <row r="61" spans="2:24" ht="13.8" x14ac:dyDescent="0.3">
      <c r="B61" s="318"/>
      <c r="C61" s="273"/>
      <c r="D61" s="273"/>
      <c r="E61" s="273"/>
      <c r="F61" s="276"/>
      <c r="I61" s="247" t="str">
        <f t="shared" si="1"/>
        <v>Water Heater Pipe Wrap - MF</v>
      </c>
      <c r="J61" s="260"/>
      <c r="K61" s="261"/>
      <c r="L61" s="380">
        <f t="shared" si="2"/>
        <v>0.9</v>
      </c>
      <c r="M61" s="4698">
        <v>0</v>
      </c>
      <c r="N61" s="4698">
        <v>0</v>
      </c>
      <c r="O61" s="252">
        <f t="shared" si="4"/>
        <v>0</v>
      </c>
      <c r="P61" s="381">
        <f t="shared" si="10"/>
        <v>0</v>
      </c>
      <c r="Q61" s="381">
        <f t="shared" si="10"/>
        <v>0</v>
      </c>
      <c r="R61" s="382">
        <f t="shared" si="10"/>
        <v>0</v>
      </c>
      <c r="T61" s="296"/>
      <c r="W61" s="296"/>
    </row>
    <row r="62" spans="2:24" ht="13.8" x14ac:dyDescent="0.3">
      <c r="B62" s="318" t="s">
        <v>614</v>
      </c>
      <c r="C62" s="273" t="s">
        <v>278</v>
      </c>
      <c r="D62" s="273" t="s">
        <v>279</v>
      </c>
      <c r="E62" s="273" t="s">
        <v>29</v>
      </c>
      <c r="F62" s="276"/>
      <c r="I62" s="247" t="str">
        <f t="shared" si="1"/>
        <v>Water Heater Pipe Wrap - MH</v>
      </c>
      <c r="J62" s="260"/>
      <c r="K62" s="261"/>
      <c r="L62" s="380">
        <f t="shared" si="2"/>
        <v>0.9</v>
      </c>
      <c r="M62" s="4698">
        <v>14</v>
      </c>
      <c r="N62" s="4698">
        <v>14</v>
      </c>
      <c r="O62" s="252">
        <f t="shared" si="4"/>
        <v>28</v>
      </c>
      <c r="P62" s="381">
        <f t="shared" si="10"/>
        <v>12.6</v>
      </c>
      <c r="Q62" s="381">
        <f t="shared" si="10"/>
        <v>12.6</v>
      </c>
      <c r="R62" s="382">
        <f t="shared" si="10"/>
        <v>25.2</v>
      </c>
      <c r="T62" s="296"/>
      <c r="V62" s="384"/>
      <c r="W62" s="384"/>
      <c r="X62" s="384"/>
    </row>
    <row r="63" spans="2:24" ht="13.8" x14ac:dyDescent="0.3">
      <c r="B63" s="274" t="s">
        <v>615</v>
      </c>
      <c r="C63" s="273">
        <f>C69+C74</f>
        <v>890540.5</v>
      </c>
      <c r="D63" s="273">
        <f>D69+D74</f>
        <v>133581.07500000001</v>
      </c>
      <c r="E63" s="273">
        <f>E74+E69</f>
        <v>1024121.575</v>
      </c>
      <c r="F63" s="276"/>
      <c r="I63" s="247" t="str">
        <f t="shared" si="1"/>
        <v>Water Heater Pipe Wrap - SF</v>
      </c>
      <c r="J63" s="260"/>
      <c r="K63" s="261"/>
      <c r="L63" s="380">
        <f t="shared" si="2"/>
        <v>0.9</v>
      </c>
      <c r="M63" s="4698">
        <v>22</v>
      </c>
      <c r="N63" s="4698">
        <v>22</v>
      </c>
      <c r="O63" s="252">
        <f t="shared" si="4"/>
        <v>44</v>
      </c>
      <c r="P63" s="381">
        <f t="shared" si="10"/>
        <v>19.8</v>
      </c>
      <c r="Q63" s="381">
        <f t="shared" si="10"/>
        <v>19.8</v>
      </c>
      <c r="R63" s="382">
        <f t="shared" si="10"/>
        <v>39.6</v>
      </c>
      <c r="T63" s="296"/>
      <c r="V63" s="384"/>
      <c r="W63" s="384"/>
      <c r="X63" s="384"/>
    </row>
    <row r="64" spans="2:24" ht="13.8" x14ac:dyDescent="0.3">
      <c r="B64" s="274" t="s">
        <v>282</v>
      </c>
      <c r="C64" s="273">
        <f>C70+C75</f>
        <v>147826</v>
      </c>
      <c r="D64" s="273">
        <f>C64*0.15</f>
        <v>22173.899999999998</v>
      </c>
      <c r="E64" s="273">
        <f>C64+D64</f>
        <v>169999.9</v>
      </c>
      <c r="F64" s="276"/>
      <c r="I64" s="247" t="str">
        <f t="shared" si="1"/>
        <v>Windows-Single to Double - MF</v>
      </c>
      <c r="J64" s="260"/>
      <c r="K64" s="261"/>
      <c r="L64" s="380">
        <f t="shared" si="2"/>
        <v>0.83</v>
      </c>
      <c r="M64" s="4698">
        <v>20000</v>
      </c>
      <c r="N64" s="4698">
        <v>20000</v>
      </c>
      <c r="O64" s="252">
        <f t="shared" si="4"/>
        <v>40000</v>
      </c>
      <c r="P64" s="381">
        <f t="shared" si="10"/>
        <v>16600</v>
      </c>
      <c r="Q64" s="381">
        <f t="shared" si="10"/>
        <v>16600</v>
      </c>
      <c r="R64" s="382">
        <f t="shared" si="10"/>
        <v>33200</v>
      </c>
      <c r="T64" s="296"/>
      <c r="V64" s="384"/>
      <c r="W64" s="384"/>
      <c r="X64" s="384"/>
    </row>
    <row r="65" spans="2:24" ht="13.8" x14ac:dyDescent="0.3">
      <c r="B65" s="274" t="s">
        <v>29</v>
      </c>
      <c r="C65" s="273">
        <f>SUM(C63:C64)</f>
        <v>1038366.5</v>
      </c>
      <c r="D65" s="273">
        <f>SUM(D63:D64)</f>
        <v>155754.97500000001</v>
      </c>
      <c r="E65" s="273">
        <f>SUM(E63:E64)</f>
        <v>1194121.4749999999</v>
      </c>
      <c r="F65" s="276"/>
      <c r="I65" s="247" t="str">
        <f t="shared" si="1"/>
        <v>Windows-Single to Double - MH</v>
      </c>
      <c r="J65" s="260"/>
      <c r="K65" s="261"/>
      <c r="L65" s="380">
        <f t="shared" si="2"/>
        <v>0.81</v>
      </c>
      <c r="M65" s="4698">
        <v>411</v>
      </c>
      <c r="N65" s="4698">
        <v>411</v>
      </c>
      <c r="O65" s="252">
        <f t="shared" si="4"/>
        <v>822</v>
      </c>
      <c r="P65" s="381">
        <f t="shared" si="10"/>
        <v>332.91</v>
      </c>
      <c r="Q65" s="381">
        <f t="shared" si="10"/>
        <v>332.91</v>
      </c>
      <c r="R65" s="382">
        <f t="shared" si="10"/>
        <v>665.82</v>
      </c>
      <c r="T65" s="296"/>
      <c r="V65" s="384"/>
      <c r="W65" s="384"/>
      <c r="X65" s="384"/>
    </row>
    <row r="66" spans="2:24" ht="13.8" x14ac:dyDescent="0.3">
      <c r="B66" s="274"/>
      <c r="C66" s="273"/>
      <c r="D66" s="273"/>
      <c r="E66" s="273"/>
      <c r="F66" s="276"/>
      <c r="I66" s="247" t="str">
        <f t="shared" si="1"/>
        <v>Windows-Single to Double - SF</v>
      </c>
      <c r="J66" s="260"/>
      <c r="K66" s="261"/>
      <c r="L66" s="380">
        <f t="shared" si="2"/>
        <v>0.87</v>
      </c>
      <c r="M66" s="4698">
        <v>500</v>
      </c>
      <c r="N66" s="4698">
        <v>500</v>
      </c>
      <c r="O66" s="252">
        <f t="shared" si="4"/>
        <v>1000</v>
      </c>
      <c r="P66" s="381">
        <f t="shared" si="10"/>
        <v>435</v>
      </c>
      <c r="Q66" s="381">
        <f t="shared" si="10"/>
        <v>435</v>
      </c>
      <c r="R66" s="382">
        <f t="shared" si="10"/>
        <v>870</v>
      </c>
      <c r="T66" s="296"/>
      <c r="V66" s="384"/>
      <c r="W66" s="384"/>
      <c r="X66" s="384"/>
    </row>
    <row r="67" spans="2:24" ht="13.8" x14ac:dyDescent="0.3">
      <c r="B67" s="274"/>
      <c r="C67" s="273"/>
      <c r="D67" s="273"/>
      <c r="E67" s="273"/>
      <c r="F67" s="276"/>
      <c r="I67" s="247" t="str">
        <f t="shared" si="1"/>
        <v>Windows-Single to Triple - MF</v>
      </c>
      <c r="J67" s="260"/>
      <c r="K67" s="261"/>
      <c r="L67" s="380">
        <f t="shared" si="2"/>
        <v>0.96</v>
      </c>
      <c r="M67" s="4698">
        <v>0</v>
      </c>
      <c r="N67" s="4698">
        <v>0</v>
      </c>
      <c r="O67" s="252">
        <f t="shared" si="4"/>
        <v>0</v>
      </c>
      <c r="P67" s="381">
        <f t="shared" si="10"/>
        <v>0</v>
      </c>
      <c r="Q67" s="381">
        <f t="shared" si="10"/>
        <v>0</v>
      </c>
      <c r="R67" s="382">
        <f t="shared" si="10"/>
        <v>0</v>
      </c>
      <c r="T67" s="296"/>
      <c r="V67" s="384"/>
      <c r="W67" s="384"/>
      <c r="X67" s="384"/>
    </row>
    <row r="68" spans="2:24" ht="13.8" x14ac:dyDescent="0.3">
      <c r="B68" s="274" t="s">
        <v>283</v>
      </c>
      <c r="C68" s="273" t="s">
        <v>278</v>
      </c>
      <c r="D68" s="273" t="s">
        <v>279</v>
      </c>
      <c r="E68" s="273" t="s">
        <v>29</v>
      </c>
      <c r="F68" s="276"/>
      <c r="I68" s="247" t="str">
        <f t="shared" si="1"/>
        <v>Windows-Single to Triple - SF</v>
      </c>
      <c r="J68" s="260"/>
      <c r="K68" s="261"/>
      <c r="L68" s="380">
        <f t="shared" si="2"/>
        <v>0.92</v>
      </c>
      <c r="M68" s="4698">
        <v>0</v>
      </c>
      <c r="N68" s="4698">
        <v>0</v>
      </c>
      <c r="O68" s="252">
        <f t="shared" si="4"/>
        <v>0</v>
      </c>
      <c r="P68" s="381">
        <f t="shared" si="10"/>
        <v>0</v>
      </c>
      <c r="Q68" s="381">
        <f t="shared" si="10"/>
        <v>0</v>
      </c>
      <c r="R68" s="382">
        <f t="shared" si="10"/>
        <v>0</v>
      </c>
      <c r="T68" s="296"/>
      <c r="V68" s="384"/>
      <c r="W68" s="384"/>
      <c r="X68" s="384"/>
    </row>
    <row r="69" spans="2:24" ht="13.8" x14ac:dyDescent="0.3">
      <c r="B69" s="274" t="s">
        <v>615</v>
      </c>
      <c r="C69" s="273">
        <f>D52/1.15</f>
        <v>484354.25</v>
      </c>
      <c r="D69" s="273">
        <f>C69*0.15</f>
        <v>72653.137499999997</v>
      </c>
      <c r="E69" s="273">
        <f>SUM(C69:D69)</f>
        <v>557007.38749999995</v>
      </c>
      <c r="F69" s="276"/>
      <c r="I69" s="247" t="str">
        <f t="shared" si="1"/>
        <v>Shareholder Repairs</v>
      </c>
      <c r="J69" s="260"/>
      <c r="K69" s="261"/>
      <c r="L69" s="380">
        <f t="shared" si="2"/>
        <v>0</v>
      </c>
      <c r="M69" s="4698">
        <v>1</v>
      </c>
      <c r="N69" s="4698">
        <v>1</v>
      </c>
      <c r="O69" s="252">
        <f t="shared" si="4"/>
        <v>2</v>
      </c>
      <c r="P69" s="381">
        <f t="shared" si="10"/>
        <v>0</v>
      </c>
      <c r="Q69" s="381">
        <f t="shared" si="10"/>
        <v>0</v>
      </c>
      <c r="R69" s="382">
        <f t="shared" si="10"/>
        <v>0</v>
      </c>
      <c r="T69" s="296"/>
      <c r="V69" s="384"/>
      <c r="W69" s="384"/>
      <c r="X69" s="384"/>
    </row>
    <row r="70" spans="2:24" ht="13.8" x14ac:dyDescent="0.3">
      <c r="B70" s="274" t="s">
        <v>282</v>
      </c>
      <c r="C70" s="273">
        <v>73913</v>
      </c>
      <c r="D70" s="273">
        <f>C70*0.15</f>
        <v>11086.949999999999</v>
      </c>
      <c r="E70" s="273">
        <f>C70+D70</f>
        <v>84999.95</v>
      </c>
      <c r="F70" s="276"/>
      <c r="I70" s="247" t="s">
        <v>285</v>
      </c>
      <c r="J70" s="260"/>
      <c r="K70" s="261"/>
      <c r="L70" s="380">
        <f t="shared" si="2"/>
        <v>3300</v>
      </c>
      <c r="M70" s="4698">
        <v>1</v>
      </c>
      <c r="N70" s="4698">
        <v>0</v>
      </c>
      <c r="O70" s="252">
        <f t="shared" si="4"/>
        <v>1</v>
      </c>
      <c r="P70" s="381">
        <f t="shared" si="10"/>
        <v>3300</v>
      </c>
      <c r="Q70" s="381">
        <f t="shared" si="10"/>
        <v>0</v>
      </c>
      <c r="R70" s="382">
        <f t="shared" si="10"/>
        <v>3300</v>
      </c>
      <c r="T70" s="296"/>
      <c r="V70" s="384"/>
      <c r="W70" s="384"/>
      <c r="X70" s="384"/>
    </row>
    <row r="71" spans="2:24" ht="13.8" x14ac:dyDescent="0.3">
      <c r="B71" s="274" t="s">
        <v>29</v>
      </c>
      <c r="C71" s="273">
        <f>SUM(C69:C70)</f>
        <v>558267.25</v>
      </c>
      <c r="D71" s="273">
        <f>SUM(D69:D70)</f>
        <v>83740.087499999994</v>
      </c>
      <c r="E71" s="273">
        <f>SUM(E69:E70)</f>
        <v>642007.33749999991</v>
      </c>
      <c r="F71" s="276"/>
      <c r="I71" s="247" t="str">
        <f t="shared" si="1"/>
        <v>MeasureName</v>
      </c>
      <c r="J71" s="260"/>
      <c r="K71" s="261"/>
      <c r="L71" s="380">
        <f t="shared" si="2"/>
        <v>1</v>
      </c>
      <c r="M71" s="4698">
        <v>0</v>
      </c>
      <c r="N71" s="4698">
        <v>0</v>
      </c>
      <c r="O71" s="252">
        <f t="shared" si="4"/>
        <v>0</v>
      </c>
      <c r="P71" s="381">
        <f t="shared" si="10"/>
        <v>0</v>
      </c>
      <c r="Q71" s="381">
        <f t="shared" si="10"/>
        <v>0</v>
      </c>
      <c r="R71" s="382">
        <f t="shared" si="10"/>
        <v>0</v>
      </c>
      <c r="T71" s="296"/>
      <c r="V71" s="384"/>
      <c r="W71" s="384"/>
      <c r="X71" s="384"/>
    </row>
    <row r="72" spans="2:24" ht="13.8" x14ac:dyDescent="0.3">
      <c r="B72" s="274"/>
      <c r="C72" s="273"/>
      <c r="D72" s="273"/>
      <c r="E72" s="273"/>
      <c r="F72" s="276"/>
      <c r="I72" s="4585"/>
      <c r="J72" s="2608"/>
      <c r="K72" s="4584"/>
      <c r="L72" s="4583"/>
      <c r="M72" s="4582"/>
      <c r="N72" s="4582"/>
      <c r="O72" s="4581"/>
      <c r="P72" s="385">
        <f>SUM(P12:P71)</f>
        <v>42305.26</v>
      </c>
      <c r="Q72" s="385">
        <f>SUM(Q12:Q71)</f>
        <v>35686.26</v>
      </c>
      <c r="R72" s="4580">
        <f>SUM(P72:Q72)</f>
        <v>77991.520000000004</v>
      </c>
      <c r="T72" s="385">
        <f>SUM(T12:T71)</f>
        <v>46000</v>
      </c>
      <c r="V72" s="384"/>
      <c r="W72" s="384"/>
      <c r="X72" s="384"/>
    </row>
    <row r="73" spans="2:24" ht="13.8" x14ac:dyDescent="0.3">
      <c r="B73" s="274" t="s">
        <v>284</v>
      </c>
      <c r="C73" s="273" t="s">
        <v>278</v>
      </c>
      <c r="D73" s="273" t="s">
        <v>279</v>
      </c>
      <c r="E73" s="273" t="s">
        <v>29</v>
      </c>
      <c r="F73" s="276"/>
      <c r="I73" s="4579"/>
      <c r="J73" s="4579"/>
      <c r="K73" s="4579"/>
      <c r="L73" s="4578"/>
      <c r="M73" s="3372"/>
      <c r="N73" s="3372"/>
      <c r="O73" s="4577"/>
      <c r="P73" s="4576"/>
      <c r="Q73" s="4576"/>
      <c r="R73" s="4575"/>
      <c r="S73" s="3372"/>
      <c r="T73" s="3372"/>
      <c r="V73" s="384"/>
      <c r="W73" s="384"/>
      <c r="X73" s="384"/>
    </row>
    <row r="74" spans="2:24" ht="13.8" x14ac:dyDescent="0.3">
      <c r="B74" s="274" t="s">
        <v>615</v>
      </c>
      <c r="C74" s="273">
        <f>E52/1.15</f>
        <v>406186.25</v>
      </c>
      <c r="D74" s="273">
        <f>C74*0.15</f>
        <v>60927.9375</v>
      </c>
      <c r="E74" s="273">
        <f>SUM(C74:D74)</f>
        <v>467114.1875</v>
      </c>
      <c r="F74" s="276"/>
      <c r="I74" s="4579"/>
      <c r="J74" s="4579"/>
      <c r="K74" s="4579"/>
      <c r="L74" s="4578"/>
      <c r="M74" s="3372"/>
      <c r="N74" s="3372"/>
      <c r="O74" s="4577"/>
      <c r="P74" s="4576"/>
      <c r="Q74" s="4576"/>
      <c r="R74" s="4575"/>
      <c r="S74" s="3372"/>
      <c r="T74" s="3372"/>
      <c r="V74" s="384"/>
      <c r="W74" s="384"/>
      <c r="X74" s="384"/>
    </row>
    <row r="75" spans="2:24" ht="13.8" x14ac:dyDescent="0.3">
      <c r="B75" s="274" t="s">
        <v>282</v>
      </c>
      <c r="C75" s="273">
        <f>C70</f>
        <v>73913</v>
      </c>
      <c r="D75" s="273">
        <f>C75*0.15</f>
        <v>11086.949999999999</v>
      </c>
      <c r="E75" s="273">
        <f>SUM(C75:D75)</f>
        <v>84999.95</v>
      </c>
      <c r="F75" s="276"/>
      <c r="I75" s="4579"/>
      <c r="J75" s="4579"/>
      <c r="K75" s="4579"/>
      <c r="L75" s="4578"/>
      <c r="M75" s="3372"/>
      <c r="N75" s="3372"/>
      <c r="O75" s="4577"/>
      <c r="P75" s="4576"/>
      <c r="Q75" s="4576"/>
      <c r="R75" s="4575"/>
      <c r="S75" s="3372"/>
      <c r="T75" s="3372"/>
      <c r="V75" s="384"/>
      <c r="W75" s="384"/>
      <c r="X75" s="384"/>
    </row>
    <row r="76" spans="2:24" ht="13.8" x14ac:dyDescent="0.3">
      <c r="B76" s="274" t="s">
        <v>29</v>
      </c>
      <c r="C76" s="273">
        <f>SUM(C74:C75)</f>
        <v>480099.25</v>
      </c>
      <c r="D76" s="273">
        <f>SUM(D74:D75)</f>
        <v>72014.887499999997</v>
      </c>
      <c r="E76" s="273">
        <f>SUM(E74:E75)</f>
        <v>552114.13749999995</v>
      </c>
      <c r="F76" s="276"/>
      <c r="I76" s="4579"/>
      <c r="J76" s="4579"/>
      <c r="K76" s="4579"/>
      <c r="L76" s="4578"/>
      <c r="M76" s="3372"/>
      <c r="N76" s="3372"/>
      <c r="O76" s="4577"/>
      <c r="P76" s="4576"/>
      <c r="Q76" s="4576"/>
      <c r="R76" s="4575"/>
      <c r="S76" s="3372"/>
      <c r="T76" s="3372"/>
      <c r="V76" s="384"/>
      <c r="W76" s="384"/>
      <c r="X76" s="384"/>
    </row>
    <row r="77" spans="2:24" ht="13.8" x14ac:dyDescent="0.3">
      <c r="B77" s="274"/>
      <c r="C77" s="273"/>
      <c r="D77" s="273"/>
      <c r="E77" s="273"/>
      <c r="F77" s="276"/>
      <c r="I77" s="4579"/>
      <c r="J77" s="4579"/>
      <c r="K77" s="4579"/>
      <c r="L77" s="4578"/>
      <c r="M77" s="3372"/>
      <c r="N77" s="3372"/>
      <c r="O77" s="4577"/>
      <c r="P77" s="4576"/>
      <c r="Q77" s="4576"/>
      <c r="R77" s="4575"/>
      <c r="S77" s="3372"/>
      <c r="T77" s="3372"/>
      <c r="V77" s="384"/>
      <c r="W77" s="384"/>
      <c r="X77" s="384"/>
    </row>
    <row r="78" spans="2:24" ht="41.4" x14ac:dyDescent="0.3">
      <c r="B78" s="321" t="s">
        <v>286</v>
      </c>
      <c r="C78" s="273"/>
      <c r="D78" s="273"/>
      <c r="E78" s="315" t="s">
        <v>287</v>
      </c>
      <c r="F78" s="276"/>
      <c r="G78" s="321"/>
      <c r="H78" s="322"/>
      <c r="I78" s="4579"/>
      <c r="J78" s="4579"/>
      <c r="K78" s="4579"/>
      <c r="L78" s="4578"/>
      <c r="M78" s="3372"/>
      <c r="N78" s="3372"/>
      <c r="O78" s="4577"/>
      <c r="P78" s="4576"/>
      <c r="Q78" s="4576"/>
      <c r="R78" s="4575"/>
      <c r="S78" s="3372"/>
      <c r="T78" s="3372"/>
      <c r="V78" s="384"/>
      <c r="W78" s="384"/>
      <c r="X78" s="384"/>
    </row>
    <row r="79" spans="2:24" ht="13.8" x14ac:dyDescent="0.3">
      <c r="C79" s="274"/>
      <c r="D79" s="276"/>
      <c r="E79" s="276"/>
      <c r="F79" s="276"/>
      <c r="I79" s="4579"/>
      <c r="J79" s="4579"/>
      <c r="K79" s="4579"/>
      <c r="L79" s="4578"/>
      <c r="M79" s="3372"/>
      <c r="N79" s="3372"/>
      <c r="O79" s="4577"/>
      <c r="P79" s="4576"/>
      <c r="Q79" s="4576"/>
      <c r="R79" s="4575"/>
      <c r="S79" s="3372"/>
      <c r="T79" s="3372"/>
      <c r="V79" s="384"/>
      <c r="W79" s="384"/>
      <c r="X79" s="384"/>
    </row>
    <row r="80" spans="2:24" ht="14.4" thickBot="1" x14ac:dyDescent="0.35">
      <c r="C80" s="274"/>
      <c r="D80" s="276"/>
      <c r="E80" s="276"/>
      <c r="F80" s="276"/>
      <c r="I80" s="4579"/>
      <c r="J80" s="4579"/>
      <c r="K80" s="4579"/>
      <c r="L80" s="4578"/>
      <c r="M80" s="3372"/>
      <c r="N80" s="3372"/>
      <c r="O80" s="4577"/>
      <c r="P80" s="4576"/>
      <c r="Q80" s="4576"/>
      <c r="R80" s="4575"/>
      <c r="S80" s="3372"/>
      <c r="T80" s="3372"/>
      <c r="V80" s="384"/>
      <c r="W80" s="384"/>
      <c r="X80" s="384"/>
    </row>
    <row r="81" spans="2:21" ht="16.2" thickBot="1" x14ac:dyDescent="0.35">
      <c r="B81" s="279" t="s">
        <v>182</v>
      </c>
      <c r="C81" s="280"/>
      <c r="D81" s="4760" t="s">
        <v>183</v>
      </c>
      <c r="E81" s="4761"/>
      <c r="F81" s="4761"/>
      <c r="G81" s="4761"/>
      <c r="H81" s="4761"/>
      <c r="K81" s="281"/>
    </row>
    <row r="82" spans="2:21" ht="16.2" thickBot="1" x14ac:dyDescent="0.35">
      <c r="B82" s="4762" t="s">
        <v>184</v>
      </c>
      <c r="C82" s="4763"/>
      <c r="D82" s="4763"/>
      <c r="E82" s="4763"/>
      <c r="F82" s="4763"/>
      <c r="G82" s="4763"/>
      <c r="H82" s="4763"/>
      <c r="I82" s="4763"/>
      <c r="J82" s="4763"/>
      <c r="K82" s="4764"/>
      <c r="L82" s="4762" t="s">
        <v>185</v>
      </c>
      <c r="M82" s="4763"/>
      <c r="N82" s="4763"/>
      <c r="O82" s="4763"/>
      <c r="P82" s="4763"/>
      <c r="Q82" s="4763"/>
      <c r="R82" s="4764"/>
      <c r="S82" s="4762" t="s">
        <v>186</v>
      </c>
      <c r="T82" s="4763"/>
      <c r="U82" s="4764"/>
    </row>
    <row r="83" spans="2:21" ht="14.4" thickBot="1" x14ac:dyDescent="0.35">
      <c r="B83" s="282" t="s">
        <v>187</v>
      </c>
      <c r="C83" s="283" t="s">
        <v>152</v>
      </c>
      <c r="D83" s="283" t="s">
        <v>153</v>
      </c>
      <c r="E83" s="283" t="s">
        <v>188</v>
      </c>
      <c r="F83" s="283" t="s">
        <v>189</v>
      </c>
      <c r="G83" s="283" t="s">
        <v>190</v>
      </c>
      <c r="H83" s="283" t="s">
        <v>191</v>
      </c>
      <c r="I83" s="283" t="s">
        <v>192</v>
      </c>
      <c r="J83" s="283" t="s">
        <v>193</v>
      </c>
      <c r="K83" s="284" t="s">
        <v>194</v>
      </c>
      <c r="L83" s="285" t="s">
        <v>195</v>
      </c>
      <c r="M83" s="286" t="s">
        <v>196</v>
      </c>
      <c r="N83" s="286" t="s">
        <v>197</v>
      </c>
      <c r="O83" s="286" t="s">
        <v>198</v>
      </c>
      <c r="P83" s="287" t="s">
        <v>199</v>
      </c>
      <c r="Q83" s="287" t="s">
        <v>200</v>
      </c>
      <c r="R83" s="287" t="s">
        <v>201</v>
      </c>
      <c r="S83" s="208" t="s">
        <v>202</v>
      </c>
      <c r="T83" s="208" t="s">
        <v>203</v>
      </c>
      <c r="U83" s="209" t="s">
        <v>204</v>
      </c>
    </row>
    <row r="84" spans="2:21" ht="13.8" x14ac:dyDescent="0.3">
      <c r="B84" s="267"/>
      <c r="C84" s="4685" t="s">
        <v>616</v>
      </c>
      <c r="D84" s="4685">
        <v>66</v>
      </c>
      <c r="E84" s="4685" t="s">
        <v>617</v>
      </c>
      <c r="F84" s="4685" t="s">
        <v>211</v>
      </c>
      <c r="G84" s="4686">
        <v>692</v>
      </c>
      <c r="H84" s="4686">
        <v>692</v>
      </c>
      <c r="I84" s="4691">
        <v>8.462458482665807E-4</v>
      </c>
      <c r="J84" s="4685">
        <v>18</v>
      </c>
      <c r="K84" s="4685" t="s">
        <v>618</v>
      </c>
      <c r="L84" s="4688">
        <v>1.0292484302167257</v>
      </c>
      <c r="M84" s="4688">
        <v>1.0292484302167257</v>
      </c>
      <c r="N84" s="4690">
        <v>716.33696395488664</v>
      </c>
      <c r="O84" s="4690">
        <v>716.33696395488664</v>
      </c>
      <c r="P84" s="4690">
        <v>737.28869565678235</v>
      </c>
      <c r="Q84" s="4690">
        <v>737.28869565678235</v>
      </c>
      <c r="R84" s="4687">
        <v>1.081</v>
      </c>
      <c r="S84" s="293">
        <f t="shared" ref="S84:T115" si="11">M12*$H84</f>
        <v>692</v>
      </c>
      <c r="T84" s="293">
        <f t="shared" si="11"/>
        <v>0</v>
      </c>
      <c r="U84" s="293">
        <f>SUM(S84:T84)</f>
        <v>692</v>
      </c>
    </row>
    <row r="85" spans="2:21" ht="13.8" x14ac:dyDescent="0.3">
      <c r="B85" s="296"/>
      <c r="C85" s="4684" t="s">
        <v>619</v>
      </c>
      <c r="D85" s="4684">
        <v>89</v>
      </c>
      <c r="E85" s="4684" t="s">
        <v>617</v>
      </c>
      <c r="F85" s="4684" t="s">
        <v>211</v>
      </c>
      <c r="G85" s="4686">
        <v>692</v>
      </c>
      <c r="H85" s="4686">
        <v>692</v>
      </c>
      <c r="I85" s="4691">
        <v>1.1411497044806923E-3</v>
      </c>
      <c r="J85" s="4685">
        <v>18</v>
      </c>
      <c r="K85" s="4685" t="s">
        <v>618</v>
      </c>
      <c r="L85" s="4688">
        <v>1.3383216454631783</v>
      </c>
      <c r="M85" s="4688">
        <v>1.3383216454631783</v>
      </c>
      <c r="N85" s="4690">
        <v>742.88765964645086</v>
      </c>
      <c r="O85" s="4690">
        <v>742.88765964645086</v>
      </c>
      <c r="P85" s="4690">
        <v>994.22263505232775</v>
      </c>
      <c r="Q85" s="4690">
        <v>994.22263505232775</v>
      </c>
      <c r="R85" s="4687">
        <v>1.081</v>
      </c>
      <c r="S85" s="293">
        <f t="shared" si="11"/>
        <v>692</v>
      </c>
      <c r="T85" s="293">
        <f t="shared" si="11"/>
        <v>0</v>
      </c>
      <c r="U85" s="3923">
        <f t="shared" ref="U85:U143" si="12">SUM(S85:T85)</f>
        <v>692</v>
      </c>
    </row>
    <row r="86" spans="2:21" ht="13.8" x14ac:dyDescent="0.3">
      <c r="B86" s="296"/>
      <c r="C86" s="4684" t="s">
        <v>620</v>
      </c>
      <c r="D86" s="4684">
        <v>89</v>
      </c>
      <c r="E86" s="4684" t="s">
        <v>617</v>
      </c>
      <c r="F86" s="4684" t="s">
        <v>211</v>
      </c>
      <c r="G86" s="4686">
        <v>692</v>
      </c>
      <c r="H86" s="4686">
        <v>692</v>
      </c>
      <c r="I86" s="4691">
        <v>1.1411497044806922E-2</v>
      </c>
      <c r="J86" s="4685">
        <v>18</v>
      </c>
      <c r="K86" s="4685" t="s">
        <v>618</v>
      </c>
      <c r="L86" s="4688">
        <v>1.3383216454631781</v>
      </c>
      <c r="M86" s="4688">
        <v>1.3383216454631781</v>
      </c>
      <c r="N86" s="4690">
        <v>7428.8765964645099</v>
      </c>
      <c r="O86" s="4690">
        <v>7428.8765964645099</v>
      </c>
      <c r="P86" s="4690">
        <v>9942.2263505232768</v>
      </c>
      <c r="Q86" s="4690">
        <v>9942.2263505232768</v>
      </c>
      <c r="R86" s="4687">
        <v>1.081</v>
      </c>
      <c r="S86" s="293">
        <f t="shared" si="11"/>
        <v>3460</v>
      </c>
      <c r="T86" s="293">
        <f t="shared" si="11"/>
        <v>3460</v>
      </c>
      <c r="U86" s="3923">
        <f t="shared" si="12"/>
        <v>6920</v>
      </c>
    </row>
    <row r="87" spans="2:21" ht="13.8" x14ac:dyDescent="0.3">
      <c r="B87" s="296"/>
      <c r="C87" s="4684" t="s">
        <v>621</v>
      </c>
      <c r="D87" s="4684">
        <v>845</v>
      </c>
      <c r="E87" s="4684" t="s">
        <v>617</v>
      </c>
      <c r="F87" s="4684" t="s">
        <v>341</v>
      </c>
      <c r="G87" s="4686">
        <v>11280</v>
      </c>
      <c r="H87" s="4686">
        <v>6400</v>
      </c>
      <c r="I87" s="4691">
        <v>4.3338044956682469E-2</v>
      </c>
      <c r="J87" s="4685">
        <v>24</v>
      </c>
      <c r="K87" s="4685" t="s">
        <v>618</v>
      </c>
      <c r="L87" s="4688">
        <v>1.6307284523653887</v>
      </c>
      <c r="M87" s="4688">
        <v>0.98554785425428981</v>
      </c>
      <c r="N87" s="4690">
        <v>27583.574021796394</v>
      </c>
      <c r="O87" s="4690">
        <v>45640.928323369015</v>
      </c>
      <c r="P87" s="4690">
        <v>44981.318975270173</v>
      </c>
      <c r="Q87" s="4690">
        <v>44981.318975270173</v>
      </c>
      <c r="R87" s="4687">
        <v>1.081</v>
      </c>
      <c r="S87" s="293">
        <f t="shared" si="11"/>
        <v>12800</v>
      </c>
      <c r="T87" s="293">
        <f t="shared" si="11"/>
        <v>12800</v>
      </c>
      <c r="U87" s="3923">
        <f t="shared" si="12"/>
        <v>25600</v>
      </c>
    </row>
    <row r="88" spans="2:21" ht="13.8" x14ac:dyDescent="0.3">
      <c r="B88" s="296"/>
      <c r="C88" s="4684" t="s">
        <v>622</v>
      </c>
      <c r="D88" s="4684">
        <v>1100</v>
      </c>
      <c r="E88" s="4684" t="s">
        <v>617</v>
      </c>
      <c r="F88" s="4684" t="s">
        <v>341</v>
      </c>
      <c r="G88" s="4686">
        <v>11560</v>
      </c>
      <c r="H88" s="4686">
        <v>6150</v>
      </c>
      <c r="I88" s="4691">
        <v>5.6416389884438714E-2</v>
      </c>
      <c r="J88" s="4685">
        <v>15</v>
      </c>
      <c r="K88" s="4685" t="s">
        <v>259</v>
      </c>
      <c r="L88" s="4688">
        <v>1.1343535072917095</v>
      </c>
      <c r="M88" s="4688">
        <v>0.65983030245746088</v>
      </c>
      <c r="N88" s="4690">
        <v>27835.970276610078</v>
      </c>
      <c r="O88" s="4690">
        <v>47854.47166421415</v>
      </c>
      <c r="P88" s="4690">
        <v>31575.830512140416</v>
      </c>
      <c r="Q88" s="4690">
        <v>31575.830512140416</v>
      </c>
      <c r="R88" s="4687">
        <v>1.081</v>
      </c>
      <c r="S88" s="293">
        <f t="shared" si="11"/>
        <v>12300</v>
      </c>
      <c r="T88" s="293">
        <f t="shared" si="11"/>
        <v>12300</v>
      </c>
      <c r="U88" s="3923">
        <f t="shared" si="12"/>
        <v>24600</v>
      </c>
    </row>
    <row r="89" spans="2:21" ht="13.8" x14ac:dyDescent="0.3">
      <c r="B89" s="296"/>
      <c r="C89" s="4684" t="s">
        <v>623</v>
      </c>
      <c r="D89" s="4684">
        <v>93</v>
      </c>
      <c r="E89" s="4684" t="s">
        <v>617</v>
      </c>
      <c r="F89" s="4684" t="s">
        <v>211</v>
      </c>
      <c r="G89" s="4686">
        <v>923</v>
      </c>
      <c r="H89" s="4686">
        <v>923</v>
      </c>
      <c r="I89" s="4691">
        <v>2.9810933291209093E-2</v>
      </c>
      <c r="J89" s="4685">
        <v>20</v>
      </c>
      <c r="K89" s="4685" t="s">
        <v>259</v>
      </c>
      <c r="L89" s="4688">
        <v>0.84407853516616993</v>
      </c>
      <c r="M89" s="4688">
        <v>0.84407853516616993</v>
      </c>
      <c r="N89" s="4690">
        <v>24029.904969191204</v>
      </c>
      <c r="O89" s="4690">
        <v>24029.904969191204</v>
      </c>
      <c r="P89" s="4690">
        <v>20283.126986577179</v>
      </c>
      <c r="Q89" s="4690">
        <v>20283.126986577179</v>
      </c>
      <c r="R89" s="4687">
        <v>1.081</v>
      </c>
      <c r="S89" s="293">
        <f t="shared" si="11"/>
        <v>11076</v>
      </c>
      <c r="T89" s="293">
        <f t="shared" si="11"/>
        <v>11999</v>
      </c>
      <c r="U89" s="3923">
        <f t="shared" si="12"/>
        <v>23075</v>
      </c>
    </row>
    <row r="90" spans="2:21" ht="13.8" x14ac:dyDescent="0.3">
      <c r="B90" s="296"/>
      <c r="C90" s="4684" t="s">
        <v>624</v>
      </c>
      <c r="D90" s="4684">
        <v>93</v>
      </c>
      <c r="E90" s="4684" t="s">
        <v>617</v>
      </c>
      <c r="F90" s="4684" t="s">
        <v>211</v>
      </c>
      <c r="G90" s="4686">
        <v>923</v>
      </c>
      <c r="H90" s="4686">
        <v>923</v>
      </c>
      <c r="I90" s="4691">
        <v>0</v>
      </c>
      <c r="J90" s="4685">
        <v>20</v>
      </c>
      <c r="K90" s="4685" t="s">
        <v>259</v>
      </c>
      <c r="L90" s="4688" t="e">
        <v>#DIV/0!</v>
      </c>
      <c r="M90" s="4688" t="e">
        <v>#DIV/0!</v>
      </c>
      <c r="N90" s="4690">
        <v>0</v>
      </c>
      <c r="O90" s="4690">
        <v>0</v>
      </c>
      <c r="P90" s="4690">
        <v>0</v>
      </c>
      <c r="Q90" s="4690">
        <v>0</v>
      </c>
      <c r="R90" s="4687">
        <v>1.081</v>
      </c>
      <c r="S90" s="293">
        <f t="shared" si="11"/>
        <v>0</v>
      </c>
      <c r="T90" s="293">
        <f t="shared" si="11"/>
        <v>0</v>
      </c>
      <c r="U90" s="3923">
        <f t="shared" si="12"/>
        <v>0</v>
      </c>
    </row>
    <row r="91" spans="2:21" ht="13.8" x14ac:dyDescent="0.3">
      <c r="B91" s="296"/>
      <c r="C91" s="4684" t="s">
        <v>625</v>
      </c>
      <c r="D91" s="4684">
        <v>93</v>
      </c>
      <c r="E91" s="4684" t="s">
        <v>617</v>
      </c>
      <c r="F91" s="4684" t="s">
        <v>211</v>
      </c>
      <c r="G91" s="4686">
        <v>923</v>
      </c>
      <c r="H91" s="4686">
        <v>923</v>
      </c>
      <c r="I91" s="4691">
        <v>0</v>
      </c>
      <c r="J91" s="4685">
        <v>20</v>
      </c>
      <c r="K91" s="4685" t="s">
        <v>259</v>
      </c>
      <c r="L91" s="4688" t="e">
        <v>#DIV/0!</v>
      </c>
      <c r="M91" s="4688" t="e">
        <v>#DIV/0!</v>
      </c>
      <c r="N91" s="4690">
        <v>0</v>
      </c>
      <c r="O91" s="4690">
        <v>0</v>
      </c>
      <c r="P91" s="4690">
        <v>0</v>
      </c>
      <c r="Q91" s="4690">
        <v>0</v>
      </c>
      <c r="R91" s="4687">
        <v>1.081</v>
      </c>
      <c r="S91" s="293">
        <f t="shared" si="11"/>
        <v>0</v>
      </c>
      <c r="T91" s="293">
        <f t="shared" si="11"/>
        <v>0</v>
      </c>
      <c r="U91" s="3923">
        <f t="shared" si="12"/>
        <v>0</v>
      </c>
    </row>
    <row r="92" spans="2:21" ht="13.8" x14ac:dyDescent="0.3">
      <c r="B92" s="296"/>
      <c r="C92" s="4684" t="s">
        <v>626</v>
      </c>
      <c r="D92" s="4684">
        <v>24</v>
      </c>
      <c r="E92" s="4684" t="s">
        <v>617</v>
      </c>
      <c r="F92" s="4684" t="s">
        <v>211</v>
      </c>
      <c r="G92" s="4686">
        <v>158</v>
      </c>
      <c r="H92" s="4686">
        <v>158</v>
      </c>
      <c r="I92" s="4691">
        <v>2.4618061040482348E-3</v>
      </c>
      <c r="J92" s="4685">
        <v>13</v>
      </c>
      <c r="K92" s="4685" t="s">
        <v>259</v>
      </c>
      <c r="L92" s="4688">
        <v>0.89296924199142391</v>
      </c>
      <c r="M92" s="4688">
        <v>0.89296924199142391</v>
      </c>
      <c r="N92" s="4690">
        <v>1390.9282866981277</v>
      </c>
      <c r="O92" s="4690">
        <v>1390.9282866981277</v>
      </c>
      <c r="P92" s="4690">
        <v>1242.0561778372571</v>
      </c>
      <c r="Q92" s="4690">
        <v>1242.0561778372571</v>
      </c>
      <c r="R92" s="4687">
        <v>1.081</v>
      </c>
      <c r="S92" s="293">
        <f t="shared" si="11"/>
        <v>632</v>
      </c>
      <c r="T92" s="293">
        <f t="shared" si="11"/>
        <v>632</v>
      </c>
      <c r="U92" s="3923">
        <f t="shared" si="12"/>
        <v>1264</v>
      </c>
    </row>
    <row r="93" spans="2:21" ht="13.8" x14ac:dyDescent="0.3">
      <c r="B93" s="296"/>
      <c r="C93" s="4684" t="s">
        <v>627</v>
      </c>
      <c r="D93" s="4684">
        <v>24</v>
      </c>
      <c r="E93" s="4684" t="s">
        <v>617</v>
      </c>
      <c r="F93" s="4684" t="s">
        <v>211</v>
      </c>
      <c r="G93" s="4686">
        <v>158</v>
      </c>
      <c r="H93" s="4686">
        <v>158</v>
      </c>
      <c r="I93" s="4691">
        <v>2.4618061040482348E-3</v>
      </c>
      <c r="J93" s="4685">
        <v>13</v>
      </c>
      <c r="K93" s="4685" t="s">
        <v>259</v>
      </c>
      <c r="L93" s="4688">
        <v>0.89296924199142391</v>
      </c>
      <c r="M93" s="4688">
        <v>0.89296924199142391</v>
      </c>
      <c r="N93" s="4690">
        <v>1390.9282866981277</v>
      </c>
      <c r="O93" s="4690">
        <v>1390.9282866981277</v>
      </c>
      <c r="P93" s="4690">
        <v>1242.0561778372571</v>
      </c>
      <c r="Q93" s="4690">
        <v>1242.0561778372571</v>
      </c>
      <c r="R93" s="4687">
        <v>1.081</v>
      </c>
      <c r="S93" s="293">
        <f t="shared" si="11"/>
        <v>632</v>
      </c>
      <c r="T93" s="293">
        <f t="shared" si="11"/>
        <v>632</v>
      </c>
      <c r="U93" s="3923">
        <f t="shared" si="12"/>
        <v>1264</v>
      </c>
    </row>
    <row r="94" spans="2:21" ht="13.8" x14ac:dyDescent="0.3">
      <c r="B94" s="296"/>
      <c r="C94" s="4684" t="s">
        <v>628</v>
      </c>
      <c r="D94" s="4684">
        <v>24</v>
      </c>
      <c r="E94" s="4684" t="s">
        <v>617</v>
      </c>
      <c r="F94" s="4684" t="s">
        <v>211</v>
      </c>
      <c r="G94" s="4686">
        <v>158</v>
      </c>
      <c r="H94" s="4686">
        <v>158</v>
      </c>
      <c r="I94" s="4691">
        <v>2.4618061040482348E-3</v>
      </c>
      <c r="J94" s="4685">
        <v>13</v>
      </c>
      <c r="K94" s="4685" t="s">
        <v>259</v>
      </c>
      <c r="L94" s="4688">
        <v>0.89296924199142391</v>
      </c>
      <c r="M94" s="4688">
        <v>0.89296924199142391</v>
      </c>
      <c r="N94" s="4690">
        <v>1390.9282866981277</v>
      </c>
      <c r="O94" s="4690">
        <v>1390.9282866981277</v>
      </c>
      <c r="P94" s="4690">
        <v>1242.0561778372571</v>
      </c>
      <c r="Q94" s="4690">
        <v>1242.0561778372571</v>
      </c>
      <c r="R94" s="4687">
        <v>1.081</v>
      </c>
      <c r="S94" s="293">
        <f t="shared" si="11"/>
        <v>632</v>
      </c>
      <c r="T94" s="293">
        <f t="shared" si="11"/>
        <v>632</v>
      </c>
      <c r="U94" s="3923">
        <f t="shared" si="12"/>
        <v>1264</v>
      </c>
    </row>
    <row r="95" spans="2:21" ht="13.8" x14ac:dyDescent="0.3">
      <c r="B95" s="296"/>
      <c r="C95" s="4684" t="s">
        <v>294</v>
      </c>
      <c r="D95" s="4684">
        <v>0.09</v>
      </c>
      <c r="E95" s="4684" t="s">
        <v>617</v>
      </c>
      <c r="F95" s="4684" t="s">
        <v>295</v>
      </c>
      <c r="G95" s="4686">
        <v>0.95</v>
      </c>
      <c r="H95" s="4686">
        <v>0.95</v>
      </c>
      <c r="I95" s="4691">
        <v>1.1539716112726101E-2</v>
      </c>
      <c r="J95" s="4685">
        <v>30</v>
      </c>
      <c r="K95" s="4685" t="s">
        <v>618</v>
      </c>
      <c r="L95" s="4688">
        <v>1.3591527683212017</v>
      </c>
      <c r="M95" s="4688">
        <v>1.3591527683212017</v>
      </c>
      <c r="N95" s="4690">
        <v>9827.0993781250418</v>
      </c>
      <c r="O95" s="4690">
        <v>9827.0993781250418</v>
      </c>
      <c r="P95" s="4690">
        <v>13356.529324346211</v>
      </c>
      <c r="Q95" s="4690">
        <v>13356.529324346211</v>
      </c>
      <c r="R95" s="4687">
        <v>1.081</v>
      </c>
      <c r="S95" s="293">
        <f t="shared" si="11"/>
        <v>4750</v>
      </c>
      <c r="T95" s="293">
        <f t="shared" si="11"/>
        <v>4750</v>
      </c>
      <c r="U95" s="3923">
        <f t="shared" si="12"/>
        <v>9500</v>
      </c>
    </row>
    <row r="96" spans="2:21" ht="13.8" x14ac:dyDescent="0.3">
      <c r="B96" s="296"/>
      <c r="C96" s="4684" t="s">
        <v>297</v>
      </c>
      <c r="D96" s="4684">
        <v>0.09</v>
      </c>
      <c r="E96" s="4684" t="s">
        <v>617</v>
      </c>
      <c r="F96" s="4684" t="s">
        <v>295</v>
      </c>
      <c r="G96" s="4686">
        <v>0.95</v>
      </c>
      <c r="H96" s="4686">
        <v>0.95</v>
      </c>
      <c r="I96" s="4691">
        <v>1.965213653997255E-2</v>
      </c>
      <c r="J96" s="4685">
        <v>30</v>
      </c>
      <c r="K96" s="4685" t="s">
        <v>618</v>
      </c>
      <c r="L96" s="4688">
        <v>1.3591527683212019</v>
      </c>
      <c r="M96" s="4688">
        <v>1.3591527683212019</v>
      </c>
      <c r="N96" s="4690">
        <v>16735.550240946945</v>
      </c>
      <c r="O96" s="4690">
        <v>16735.550240946945</v>
      </c>
      <c r="P96" s="4690">
        <v>22746.169439361598</v>
      </c>
      <c r="Q96" s="4690">
        <v>22746.169439361598</v>
      </c>
      <c r="R96" s="4687">
        <v>1.081</v>
      </c>
      <c r="S96" s="293">
        <f t="shared" si="11"/>
        <v>8089.25</v>
      </c>
      <c r="T96" s="293">
        <f t="shared" si="11"/>
        <v>8089.25</v>
      </c>
      <c r="U96" s="3923">
        <f t="shared" si="12"/>
        <v>16178.5</v>
      </c>
    </row>
    <row r="97" spans="2:21" ht="13.8" x14ac:dyDescent="0.3">
      <c r="B97" s="296"/>
      <c r="C97" s="4684" t="s">
        <v>299</v>
      </c>
      <c r="D97" s="4684">
        <v>0.05</v>
      </c>
      <c r="E97" s="4684" t="s">
        <v>617</v>
      </c>
      <c r="F97" s="4684" t="s">
        <v>295</v>
      </c>
      <c r="G97" s="4686">
        <v>0.95</v>
      </c>
      <c r="H97" s="4686">
        <v>0.95</v>
      </c>
      <c r="I97" s="4691">
        <v>5.3852008526055137E-2</v>
      </c>
      <c r="J97" s="4685">
        <v>30</v>
      </c>
      <c r="K97" s="4685" t="s">
        <v>618</v>
      </c>
      <c r="L97" s="4688">
        <v>0.79231374544320166</v>
      </c>
      <c r="M97" s="4688">
        <v>0.79231374544320166</v>
      </c>
      <c r="N97" s="4690">
        <v>78668.92444913488</v>
      </c>
      <c r="O97" s="4690">
        <v>78668.92444913488</v>
      </c>
      <c r="P97" s="4690">
        <v>62330.470180282318</v>
      </c>
      <c r="Q97" s="4690">
        <v>62330.470180282318</v>
      </c>
      <c r="R97" s="4687">
        <v>1.081</v>
      </c>
      <c r="S97" s="293">
        <f t="shared" si="11"/>
        <v>39900</v>
      </c>
      <c r="T97" s="293">
        <f t="shared" si="11"/>
        <v>39900</v>
      </c>
      <c r="U97" s="3923">
        <f t="shared" si="12"/>
        <v>79800</v>
      </c>
    </row>
    <row r="98" spans="2:21" ht="13.8" x14ac:dyDescent="0.3">
      <c r="B98" s="296"/>
      <c r="C98" s="4684" t="s">
        <v>300</v>
      </c>
      <c r="D98" s="4684">
        <v>0.05</v>
      </c>
      <c r="E98" s="4684" t="s">
        <v>617</v>
      </c>
      <c r="F98" s="4684" t="s">
        <v>295</v>
      </c>
      <c r="G98" s="4686">
        <v>1.1399999999999999</v>
      </c>
      <c r="H98" s="4686">
        <v>0.95</v>
      </c>
      <c r="I98" s="4691">
        <v>2.1797241546260414E-2</v>
      </c>
      <c r="J98" s="4685">
        <v>30</v>
      </c>
      <c r="K98" s="4685" t="s">
        <v>618</v>
      </c>
      <c r="L98" s="4688">
        <v>0.79231374544320166</v>
      </c>
      <c r="M98" s="4688">
        <v>0.66711385693090763</v>
      </c>
      <c r="N98" s="4690">
        <v>31842.183705602212</v>
      </c>
      <c r="O98" s="4690">
        <v>37818.131901716923</v>
      </c>
      <c r="P98" s="4690">
        <v>25228.999834876176</v>
      </c>
      <c r="Q98" s="4690">
        <v>25228.999834876176</v>
      </c>
      <c r="R98" s="4687">
        <v>1.081</v>
      </c>
      <c r="S98" s="293">
        <f t="shared" si="11"/>
        <v>16150</v>
      </c>
      <c r="T98" s="293">
        <f t="shared" si="11"/>
        <v>16150</v>
      </c>
      <c r="U98" s="3923">
        <f t="shared" si="12"/>
        <v>32300</v>
      </c>
    </row>
    <row r="99" spans="2:21" ht="13.8" x14ac:dyDescent="0.3">
      <c r="B99" s="296"/>
      <c r="C99" s="4684" t="s">
        <v>303</v>
      </c>
      <c r="D99" s="4684">
        <v>7.0000000000000007E-2</v>
      </c>
      <c r="E99" s="4684" t="s">
        <v>617</v>
      </c>
      <c r="F99" s="4684" t="s">
        <v>295</v>
      </c>
      <c r="G99" s="4692">
        <v>1.42</v>
      </c>
      <c r="H99" s="4692">
        <v>0.95</v>
      </c>
      <c r="I99" s="4691">
        <v>0</v>
      </c>
      <c r="J99" s="4685">
        <v>30</v>
      </c>
      <c r="K99" s="4685" t="s">
        <v>618</v>
      </c>
      <c r="L99" s="4688" t="e">
        <v>#DIV/0!</v>
      </c>
      <c r="M99" s="4688" t="e">
        <v>#DIV/0!</v>
      </c>
      <c r="N99" s="4690">
        <v>0</v>
      </c>
      <c r="O99" s="4690">
        <v>0</v>
      </c>
      <c r="P99" s="4690">
        <v>0</v>
      </c>
      <c r="Q99" s="4690">
        <v>0</v>
      </c>
      <c r="R99" s="4687">
        <v>1.081</v>
      </c>
      <c r="S99" s="293">
        <f t="shared" si="11"/>
        <v>0</v>
      </c>
      <c r="T99" s="293">
        <f t="shared" si="11"/>
        <v>0</v>
      </c>
      <c r="U99" s="3923">
        <f t="shared" si="12"/>
        <v>0</v>
      </c>
    </row>
    <row r="100" spans="2:21" ht="13.8" x14ac:dyDescent="0.3">
      <c r="B100" s="296"/>
      <c r="C100" s="4684" t="s">
        <v>305</v>
      </c>
      <c r="D100" s="4684">
        <v>7.0000000000000007E-2</v>
      </c>
      <c r="E100" s="4684" t="s">
        <v>617</v>
      </c>
      <c r="F100" s="4684" t="s">
        <v>295</v>
      </c>
      <c r="G100" s="4686">
        <v>1.42</v>
      </c>
      <c r="H100" s="4686">
        <v>0.95</v>
      </c>
      <c r="I100" s="4691">
        <v>0</v>
      </c>
      <c r="J100" s="4685">
        <v>30</v>
      </c>
      <c r="K100" s="4685" t="s">
        <v>618</v>
      </c>
      <c r="L100" s="4688" t="e">
        <v>#DIV/0!</v>
      </c>
      <c r="M100" s="4688" t="e">
        <v>#DIV/0!</v>
      </c>
      <c r="N100" s="4690">
        <v>0</v>
      </c>
      <c r="O100" s="4690">
        <v>0</v>
      </c>
      <c r="P100" s="4690">
        <v>0</v>
      </c>
      <c r="Q100" s="4690">
        <v>0</v>
      </c>
      <c r="R100" s="4687">
        <v>1.081</v>
      </c>
      <c r="S100" s="293">
        <f t="shared" si="11"/>
        <v>0</v>
      </c>
      <c r="T100" s="293">
        <f t="shared" si="11"/>
        <v>0</v>
      </c>
      <c r="U100" s="3923">
        <f t="shared" si="12"/>
        <v>0</v>
      </c>
    </row>
    <row r="101" spans="2:21" ht="13.8" x14ac:dyDescent="0.3">
      <c r="B101" s="296"/>
      <c r="C101" s="4684" t="s">
        <v>301</v>
      </c>
      <c r="D101" s="4684">
        <v>0.02</v>
      </c>
      <c r="E101" s="4684" t="s">
        <v>617</v>
      </c>
      <c r="F101" s="4684" t="s">
        <v>295</v>
      </c>
      <c r="G101" s="4692">
        <v>0.95</v>
      </c>
      <c r="H101" s="4692">
        <v>0.95</v>
      </c>
      <c r="I101" s="4691">
        <v>0</v>
      </c>
      <c r="J101" s="4685">
        <v>30</v>
      </c>
      <c r="K101" s="4685" t="s">
        <v>618</v>
      </c>
      <c r="L101" s="4688" t="e">
        <v>#DIV/0!</v>
      </c>
      <c r="M101" s="4688" t="e">
        <v>#DIV/0!</v>
      </c>
      <c r="N101" s="4690">
        <v>0</v>
      </c>
      <c r="O101" s="4690">
        <v>0</v>
      </c>
      <c r="P101" s="4690">
        <v>0</v>
      </c>
      <c r="Q101" s="4690">
        <v>0</v>
      </c>
      <c r="R101" s="4687">
        <v>1.081</v>
      </c>
      <c r="S101" s="293">
        <f t="shared" si="11"/>
        <v>0</v>
      </c>
      <c r="T101" s="293">
        <f t="shared" si="11"/>
        <v>0</v>
      </c>
      <c r="U101" s="3923">
        <f t="shared" si="12"/>
        <v>0</v>
      </c>
    </row>
    <row r="102" spans="2:21" ht="13.8" x14ac:dyDescent="0.3">
      <c r="B102" s="296"/>
      <c r="C102" s="4684" t="s">
        <v>302</v>
      </c>
      <c r="D102" s="4684">
        <v>0.02</v>
      </c>
      <c r="E102" s="4684" t="s">
        <v>617</v>
      </c>
      <c r="F102" s="4684" t="s">
        <v>295</v>
      </c>
      <c r="G102" s="4692">
        <v>0.95</v>
      </c>
      <c r="H102" s="4692">
        <v>0.95</v>
      </c>
      <c r="I102" s="4691">
        <v>0</v>
      </c>
      <c r="J102" s="4685">
        <v>30</v>
      </c>
      <c r="K102" s="4685" t="s">
        <v>618</v>
      </c>
      <c r="L102" s="4688" t="e">
        <v>#DIV/0!</v>
      </c>
      <c r="M102" s="4688" t="e">
        <v>#DIV/0!</v>
      </c>
      <c r="N102" s="4690">
        <v>0</v>
      </c>
      <c r="O102" s="4690">
        <v>0</v>
      </c>
      <c r="P102" s="4690">
        <v>0</v>
      </c>
      <c r="Q102" s="4690">
        <v>0</v>
      </c>
      <c r="R102" s="4687">
        <v>1.081</v>
      </c>
      <c r="S102" s="293">
        <f t="shared" si="11"/>
        <v>0</v>
      </c>
      <c r="T102" s="293">
        <f t="shared" si="11"/>
        <v>0</v>
      </c>
      <c r="U102" s="3923">
        <f t="shared" si="12"/>
        <v>0</v>
      </c>
    </row>
    <row r="103" spans="2:21" ht="13.8" x14ac:dyDescent="0.3">
      <c r="B103" s="296"/>
      <c r="C103" s="4684" t="s">
        <v>307</v>
      </c>
      <c r="D103" s="4684">
        <v>0.1</v>
      </c>
      <c r="E103" s="4684" t="s">
        <v>617</v>
      </c>
      <c r="F103" s="4684" t="s">
        <v>295</v>
      </c>
      <c r="G103" s="4692">
        <v>2</v>
      </c>
      <c r="H103" s="4692">
        <v>0.95</v>
      </c>
      <c r="I103" s="4691">
        <v>0</v>
      </c>
      <c r="J103" s="4685">
        <v>30</v>
      </c>
      <c r="K103" s="4685" t="s">
        <v>618</v>
      </c>
      <c r="L103" s="4688" t="e">
        <v>#DIV/0!</v>
      </c>
      <c r="M103" s="4688" t="e">
        <v>#DIV/0!</v>
      </c>
      <c r="N103" s="4690">
        <v>0</v>
      </c>
      <c r="O103" s="4690">
        <v>0</v>
      </c>
      <c r="P103" s="4690">
        <v>0</v>
      </c>
      <c r="Q103" s="4690">
        <v>0</v>
      </c>
      <c r="R103" s="4687">
        <v>1.081</v>
      </c>
      <c r="S103" s="293">
        <f t="shared" si="11"/>
        <v>0</v>
      </c>
      <c r="T103" s="293">
        <f t="shared" si="11"/>
        <v>0</v>
      </c>
      <c r="U103" s="3923">
        <f t="shared" si="12"/>
        <v>0</v>
      </c>
    </row>
    <row r="104" spans="2:21" ht="13.8" x14ac:dyDescent="0.3">
      <c r="B104" s="296"/>
      <c r="C104" s="4684" t="s">
        <v>308</v>
      </c>
      <c r="D104" s="4684">
        <v>0.1</v>
      </c>
      <c r="E104" s="4684" t="s">
        <v>617</v>
      </c>
      <c r="F104" s="4684" t="s">
        <v>295</v>
      </c>
      <c r="G104" s="4692">
        <v>2</v>
      </c>
      <c r="H104" s="4692">
        <v>0.95</v>
      </c>
      <c r="I104" s="4691">
        <v>0</v>
      </c>
      <c r="J104" s="4685">
        <v>30</v>
      </c>
      <c r="K104" s="4685" t="s">
        <v>618</v>
      </c>
      <c r="L104" s="4688" t="e">
        <v>#DIV/0!</v>
      </c>
      <c r="M104" s="4688" t="e">
        <v>#DIV/0!</v>
      </c>
      <c r="N104" s="4690">
        <v>0</v>
      </c>
      <c r="O104" s="4690">
        <v>0</v>
      </c>
      <c r="P104" s="4690">
        <v>0</v>
      </c>
      <c r="Q104" s="4690">
        <v>0</v>
      </c>
      <c r="R104" s="4687">
        <v>1.081</v>
      </c>
      <c r="S104" s="293">
        <f t="shared" si="11"/>
        <v>0</v>
      </c>
      <c r="T104" s="293">
        <f t="shared" si="11"/>
        <v>0</v>
      </c>
      <c r="U104" s="3923">
        <f t="shared" si="12"/>
        <v>0</v>
      </c>
    </row>
    <row r="105" spans="2:21" ht="13.8" x14ac:dyDescent="0.3">
      <c r="B105" s="296"/>
      <c r="C105" s="4684" t="s">
        <v>309</v>
      </c>
      <c r="D105" s="4689">
        <v>0.04</v>
      </c>
      <c r="E105" s="4684" t="s">
        <v>617</v>
      </c>
      <c r="F105" s="4684" t="s">
        <v>295</v>
      </c>
      <c r="G105" s="4692">
        <v>0.95</v>
      </c>
      <c r="H105" s="4692">
        <v>0.7</v>
      </c>
      <c r="I105" s="4691">
        <v>3.0772576300602938E-3</v>
      </c>
      <c r="J105" s="4685">
        <v>30</v>
      </c>
      <c r="K105" s="4685" t="s">
        <v>618</v>
      </c>
      <c r="L105" s="4688">
        <v>0.85570600350992509</v>
      </c>
      <c r="M105" s="4688">
        <v>0.64176138321329745</v>
      </c>
      <c r="N105" s="4690">
        <v>4162.3421345058705</v>
      </c>
      <c r="O105" s="4690">
        <v>5549.9462048111427</v>
      </c>
      <c r="P105" s="4690">
        <v>3561.7411531589896</v>
      </c>
      <c r="Q105" s="4690">
        <v>3561.7411531589896</v>
      </c>
      <c r="R105" s="4687">
        <v>1.081</v>
      </c>
      <c r="S105" s="293">
        <f t="shared" si="11"/>
        <v>2100</v>
      </c>
      <c r="T105" s="293">
        <f t="shared" si="11"/>
        <v>2100</v>
      </c>
      <c r="U105" s="3923">
        <f t="shared" si="12"/>
        <v>4200</v>
      </c>
    </row>
    <row r="106" spans="2:21" ht="13.8" x14ac:dyDescent="0.3">
      <c r="B106" s="296"/>
      <c r="C106" s="4684" t="s">
        <v>310</v>
      </c>
      <c r="D106" s="4689">
        <v>0.1</v>
      </c>
      <c r="E106" s="4684" t="s">
        <v>617</v>
      </c>
      <c r="F106" s="4684" t="s">
        <v>295</v>
      </c>
      <c r="G106" s="4692">
        <v>2</v>
      </c>
      <c r="H106" s="4692">
        <v>0.95</v>
      </c>
      <c r="I106" s="4691">
        <v>0</v>
      </c>
      <c r="J106" s="4685">
        <v>25</v>
      </c>
      <c r="K106" s="4685" t="s">
        <v>618</v>
      </c>
      <c r="L106" s="4688" t="e">
        <v>#DIV/0!</v>
      </c>
      <c r="M106" s="4688" t="e">
        <v>#DIV/0!</v>
      </c>
      <c r="N106" s="4690">
        <v>0</v>
      </c>
      <c r="O106" s="4690">
        <v>0</v>
      </c>
      <c r="P106" s="4690">
        <v>0</v>
      </c>
      <c r="Q106" s="4690">
        <v>0</v>
      </c>
      <c r="R106" s="4687">
        <v>1.081</v>
      </c>
      <c r="S106" s="293">
        <f t="shared" si="11"/>
        <v>0</v>
      </c>
      <c r="T106" s="293">
        <f t="shared" si="11"/>
        <v>0</v>
      </c>
      <c r="U106" s="3923">
        <f t="shared" si="12"/>
        <v>0</v>
      </c>
    </row>
    <row r="107" spans="2:21" ht="13.8" x14ac:dyDescent="0.3">
      <c r="B107" s="296"/>
      <c r="C107" s="4684" t="s">
        <v>311</v>
      </c>
      <c r="D107" s="4689">
        <v>7.0000000000000007E-2</v>
      </c>
      <c r="E107" s="4684" t="s">
        <v>617</v>
      </c>
      <c r="F107" s="4684" t="s">
        <v>295</v>
      </c>
      <c r="G107" s="4692">
        <v>1.5</v>
      </c>
      <c r="H107" s="4692">
        <v>0.95</v>
      </c>
      <c r="I107" s="4691">
        <v>0</v>
      </c>
      <c r="J107" s="4685">
        <v>25</v>
      </c>
      <c r="K107" s="4685" t="s">
        <v>618</v>
      </c>
      <c r="L107" s="4688" t="e">
        <v>#DIV/0!</v>
      </c>
      <c r="M107" s="4688" t="e">
        <v>#DIV/0!</v>
      </c>
      <c r="N107" s="4690">
        <v>0</v>
      </c>
      <c r="O107" s="4690">
        <v>0</v>
      </c>
      <c r="P107" s="4690">
        <v>0</v>
      </c>
      <c r="Q107" s="4690">
        <v>0</v>
      </c>
      <c r="R107" s="4687">
        <v>1.081</v>
      </c>
      <c r="S107" s="293">
        <f t="shared" si="11"/>
        <v>0</v>
      </c>
      <c r="T107" s="293">
        <f t="shared" si="11"/>
        <v>0</v>
      </c>
      <c r="U107" s="3923">
        <f t="shared" si="12"/>
        <v>0</v>
      </c>
    </row>
    <row r="108" spans="2:21" ht="13.8" x14ac:dyDescent="0.3">
      <c r="B108" s="296"/>
      <c r="C108" s="4684" t="s">
        <v>306</v>
      </c>
      <c r="D108" s="4684">
        <v>0.05</v>
      </c>
      <c r="E108" s="4684" t="s">
        <v>617</v>
      </c>
      <c r="F108" s="4684" t="s">
        <v>295</v>
      </c>
      <c r="G108" s="4692">
        <v>0.95</v>
      </c>
      <c r="H108" s="4692">
        <v>0.95</v>
      </c>
      <c r="I108" s="4691">
        <v>0</v>
      </c>
      <c r="J108" s="4685">
        <v>25</v>
      </c>
      <c r="K108" s="4685" t="s">
        <v>618</v>
      </c>
      <c r="L108" s="4688" t="e">
        <v>#DIV/0!</v>
      </c>
      <c r="M108" s="4688" t="e">
        <v>#DIV/0!</v>
      </c>
      <c r="N108" s="4690">
        <v>0</v>
      </c>
      <c r="O108" s="4690">
        <v>0</v>
      </c>
      <c r="P108" s="4690">
        <v>0</v>
      </c>
      <c r="Q108" s="4690">
        <v>0</v>
      </c>
      <c r="R108" s="4687">
        <v>1.081</v>
      </c>
      <c r="S108" s="293">
        <f t="shared" si="11"/>
        <v>0</v>
      </c>
      <c r="T108" s="293">
        <f t="shared" si="11"/>
        <v>0</v>
      </c>
      <c r="U108" s="3923">
        <f t="shared" si="12"/>
        <v>0</v>
      </c>
    </row>
    <row r="109" spans="2:21" ht="13.8" x14ac:dyDescent="0.3">
      <c r="B109" s="296"/>
      <c r="C109" s="4684" t="s">
        <v>312</v>
      </c>
      <c r="D109" s="4689">
        <v>0.2</v>
      </c>
      <c r="E109" s="4684" t="s">
        <v>617</v>
      </c>
      <c r="F109" s="4684" t="s">
        <v>295</v>
      </c>
      <c r="G109" s="4686">
        <v>2.86</v>
      </c>
      <c r="H109" s="4686">
        <v>2.5</v>
      </c>
      <c r="I109" s="4691">
        <v>1.5386288150301468E-4</v>
      </c>
      <c r="J109" s="4685">
        <v>30</v>
      </c>
      <c r="K109" s="4685" t="s">
        <v>618</v>
      </c>
      <c r="L109" s="4688">
        <v>1.166919745414092</v>
      </c>
      <c r="M109" s="4688">
        <v>1.0318238238271207</v>
      </c>
      <c r="N109" s="4690">
        <v>152.6129439130826</v>
      </c>
      <c r="O109" s="4690">
        <v>172.59444252547851</v>
      </c>
      <c r="P109" s="4690">
        <v>178.08705765794946</v>
      </c>
      <c r="Q109" s="4690">
        <v>178.08705765794946</v>
      </c>
      <c r="R109" s="4687">
        <v>1.081</v>
      </c>
      <c r="S109" s="293">
        <f t="shared" si="11"/>
        <v>75</v>
      </c>
      <c r="T109" s="293">
        <f t="shared" si="11"/>
        <v>75</v>
      </c>
      <c r="U109" s="3923">
        <f t="shared" si="12"/>
        <v>150</v>
      </c>
    </row>
    <row r="110" spans="2:21" ht="13.8" x14ac:dyDescent="0.3">
      <c r="B110" s="296"/>
      <c r="C110" s="4684" t="s">
        <v>313</v>
      </c>
      <c r="D110" s="4689">
        <v>0.2</v>
      </c>
      <c r="E110" s="4684" t="s">
        <v>617</v>
      </c>
      <c r="F110" s="4684" t="s">
        <v>295</v>
      </c>
      <c r="G110" s="4686">
        <v>2.86</v>
      </c>
      <c r="H110" s="4686">
        <v>2.5</v>
      </c>
      <c r="I110" s="4691">
        <v>4.2507185396566192E-2</v>
      </c>
      <c r="J110" s="4685">
        <v>30</v>
      </c>
      <c r="K110" s="4685" t="s">
        <v>618</v>
      </c>
      <c r="L110" s="4688">
        <v>1.1669197454140925</v>
      </c>
      <c r="M110" s="4688">
        <v>1.0318238238271211</v>
      </c>
      <c r="N110" s="4690">
        <v>42161.869305054279</v>
      </c>
      <c r="O110" s="4690">
        <v>47682.091321705528</v>
      </c>
      <c r="P110" s="4690">
        <v>49199.51779563618</v>
      </c>
      <c r="Q110" s="4690">
        <v>49199.51779563618</v>
      </c>
      <c r="R110" s="4687">
        <v>1.081</v>
      </c>
      <c r="S110" s="293">
        <f t="shared" si="11"/>
        <v>20720</v>
      </c>
      <c r="T110" s="293">
        <f t="shared" si="11"/>
        <v>20720</v>
      </c>
      <c r="U110" s="3923">
        <f t="shared" si="12"/>
        <v>41440</v>
      </c>
    </row>
    <row r="111" spans="2:21" ht="13.8" x14ac:dyDescent="0.3">
      <c r="B111" s="296"/>
      <c r="C111" s="4684" t="s">
        <v>314</v>
      </c>
      <c r="D111" s="4689">
        <v>0.04</v>
      </c>
      <c r="E111" s="4684" t="s">
        <v>617</v>
      </c>
      <c r="F111" s="4684" t="s">
        <v>295</v>
      </c>
      <c r="G111" s="4686">
        <v>1.4</v>
      </c>
      <c r="H111" s="4686">
        <v>0.95</v>
      </c>
      <c r="I111" s="4691">
        <v>0</v>
      </c>
      <c r="J111" s="4685">
        <v>30</v>
      </c>
      <c r="K111" s="4685" t="s">
        <v>618</v>
      </c>
      <c r="L111" s="4688" t="e">
        <v>#DIV/0!</v>
      </c>
      <c r="M111" s="4688" t="e">
        <v>#DIV/0!</v>
      </c>
      <c r="N111" s="4690">
        <v>0</v>
      </c>
      <c r="O111" s="4690">
        <v>0</v>
      </c>
      <c r="P111" s="4690">
        <v>0</v>
      </c>
      <c r="Q111" s="4690">
        <v>0</v>
      </c>
      <c r="R111" s="4687">
        <v>1.081</v>
      </c>
      <c r="S111" s="293">
        <f t="shared" si="11"/>
        <v>0</v>
      </c>
      <c r="T111" s="293">
        <f t="shared" si="11"/>
        <v>0</v>
      </c>
      <c r="U111" s="3923">
        <f t="shared" si="12"/>
        <v>0</v>
      </c>
    </row>
    <row r="112" spans="2:21" ht="13.8" x14ac:dyDescent="0.3">
      <c r="B112" s="296"/>
      <c r="C112" s="4684" t="s">
        <v>315</v>
      </c>
      <c r="D112" s="4689">
        <v>0.04</v>
      </c>
      <c r="E112" s="4684" t="s">
        <v>617</v>
      </c>
      <c r="F112" s="4684" t="s">
        <v>295</v>
      </c>
      <c r="G112" s="4686">
        <v>1.71</v>
      </c>
      <c r="H112" s="4686">
        <v>0.95</v>
      </c>
      <c r="I112" s="4691">
        <v>0</v>
      </c>
      <c r="J112" s="4685">
        <v>30</v>
      </c>
      <c r="K112" s="4685" t="s">
        <v>618</v>
      </c>
      <c r="L112" s="4688" t="e">
        <v>#DIV/0!</v>
      </c>
      <c r="M112" s="4688" t="e">
        <v>#DIV/0!</v>
      </c>
      <c r="N112" s="4690">
        <v>0</v>
      </c>
      <c r="O112" s="4690">
        <v>0</v>
      </c>
      <c r="P112" s="4690">
        <v>0</v>
      </c>
      <c r="Q112" s="4690">
        <v>0</v>
      </c>
      <c r="R112" s="4687">
        <v>1.081</v>
      </c>
      <c r="S112" s="293">
        <f t="shared" si="11"/>
        <v>0</v>
      </c>
      <c r="T112" s="293">
        <f t="shared" si="11"/>
        <v>0</v>
      </c>
      <c r="U112" s="3923">
        <f t="shared" si="12"/>
        <v>0</v>
      </c>
    </row>
    <row r="113" spans="2:21" ht="13.8" x14ac:dyDescent="0.3">
      <c r="B113" s="296"/>
      <c r="C113" s="4684" t="s">
        <v>316</v>
      </c>
      <c r="D113" s="4689">
        <v>0.06</v>
      </c>
      <c r="E113" s="4684" t="s">
        <v>617</v>
      </c>
      <c r="F113" s="4684" t="s">
        <v>295</v>
      </c>
      <c r="G113" s="4686">
        <v>1.6</v>
      </c>
      <c r="H113" s="4686">
        <v>0.95</v>
      </c>
      <c r="I113" s="4691">
        <v>1.5386288150301467E-2</v>
      </c>
      <c r="J113" s="4685">
        <v>30</v>
      </c>
      <c r="K113" s="4685" t="s">
        <v>618</v>
      </c>
      <c r="L113" s="4688">
        <v>0.93919986424805146</v>
      </c>
      <c r="M113" s="4688">
        <v>0.57470660077877689</v>
      </c>
      <c r="N113" s="4690">
        <v>18961.571912122319</v>
      </c>
      <c r="O113" s="4690">
        <v>30987.473854768014</v>
      </c>
      <c r="P113" s="4690">
        <v>17808.705765794948</v>
      </c>
      <c r="Q113" s="4690">
        <v>17808.705765794948</v>
      </c>
      <c r="R113" s="4687">
        <v>1.081</v>
      </c>
      <c r="S113" s="293">
        <f t="shared" si="11"/>
        <v>9500</v>
      </c>
      <c r="T113" s="293">
        <f t="shared" si="11"/>
        <v>9500</v>
      </c>
      <c r="U113" s="3923">
        <f t="shared" si="12"/>
        <v>19000</v>
      </c>
    </row>
    <row r="114" spans="2:21" ht="13.8" x14ac:dyDescent="0.3">
      <c r="B114" s="296"/>
      <c r="C114" s="4684" t="s">
        <v>318</v>
      </c>
      <c r="D114" s="4689">
        <v>0.09</v>
      </c>
      <c r="E114" s="4684" t="s">
        <v>617</v>
      </c>
      <c r="F114" s="4684" t="s">
        <v>295</v>
      </c>
      <c r="G114" s="4686">
        <v>1.6</v>
      </c>
      <c r="H114" s="4686">
        <v>0.95</v>
      </c>
      <c r="I114" s="4691">
        <v>4.6158864450904407E-3</v>
      </c>
      <c r="J114" s="4685">
        <v>25</v>
      </c>
      <c r="K114" s="4685" t="s">
        <v>618</v>
      </c>
      <c r="L114" s="4688">
        <v>1.2454789462473665</v>
      </c>
      <c r="M114" s="4688">
        <v>0.7726898026281801</v>
      </c>
      <c r="N114" s="4690">
        <v>3930.8397512500164</v>
      </c>
      <c r="O114" s="4690">
        <v>6336.0201397791561</v>
      </c>
      <c r="P114" s="4690">
        <v>4895.7781512541305</v>
      </c>
      <c r="Q114" s="4690">
        <v>4895.7781512541305</v>
      </c>
      <c r="R114" s="4687">
        <v>1.081</v>
      </c>
      <c r="S114" s="293">
        <f t="shared" si="11"/>
        <v>1900</v>
      </c>
      <c r="T114" s="293">
        <f t="shared" si="11"/>
        <v>1900</v>
      </c>
      <c r="U114" s="3923">
        <f t="shared" si="12"/>
        <v>3800</v>
      </c>
    </row>
    <row r="115" spans="2:21" ht="13.8" x14ac:dyDescent="0.3">
      <c r="B115" s="296"/>
      <c r="C115" s="4684" t="s">
        <v>317</v>
      </c>
      <c r="D115" s="4689">
        <v>0.06</v>
      </c>
      <c r="E115" s="4684" t="s">
        <v>617</v>
      </c>
      <c r="F115" s="4684" t="s">
        <v>295</v>
      </c>
      <c r="G115" s="4686">
        <v>2</v>
      </c>
      <c r="H115" s="4686">
        <v>0.95</v>
      </c>
      <c r="I115" s="4691">
        <v>1.5386288150301469E-3</v>
      </c>
      <c r="J115" s="4685">
        <v>30</v>
      </c>
      <c r="K115" s="4685" t="s">
        <v>618</v>
      </c>
      <c r="L115" s="4688">
        <v>0.93919986424805146</v>
      </c>
      <c r="M115" s="4688">
        <v>0.46391300303170363</v>
      </c>
      <c r="N115" s="4690">
        <v>1896.157191212232</v>
      </c>
      <c r="O115" s="4690">
        <v>3838.8028896396136</v>
      </c>
      <c r="P115" s="4690">
        <v>1780.8705765794948</v>
      </c>
      <c r="Q115" s="4690">
        <v>1780.8705765794948</v>
      </c>
      <c r="R115" s="4687">
        <v>1.081</v>
      </c>
      <c r="S115" s="293">
        <f t="shared" si="11"/>
        <v>950</v>
      </c>
      <c r="T115" s="293">
        <f t="shared" si="11"/>
        <v>950</v>
      </c>
      <c r="U115" s="3923">
        <f t="shared" si="12"/>
        <v>1900</v>
      </c>
    </row>
    <row r="116" spans="2:21" ht="13.8" x14ac:dyDescent="0.3">
      <c r="B116" s="296"/>
      <c r="C116" s="4684" t="s">
        <v>321</v>
      </c>
      <c r="D116" s="4689">
        <v>0.03</v>
      </c>
      <c r="E116" s="4684" t="s">
        <v>617</v>
      </c>
      <c r="F116" s="4684" t="s">
        <v>295</v>
      </c>
      <c r="G116" s="4692">
        <v>0.95</v>
      </c>
      <c r="H116" s="4692">
        <v>0.95</v>
      </c>
      <c r="I116" s="4691">
        <v>0</v>
      </c>
      <c r="J116" s="4685">
        <v>30</v>
      </c>
      <c r="K116" s="4685" t="s">
        <v>618</v>
      </c>
      <c r="L116" s="4688" t="e">
        <v>#DIV/0!</v>
      </c>
      <c r="M116" s="4688" t="e">
        <v>#DIV/0!</v>
      </c>
      <c r="N116" s="4690">
        <v>0</v>
      </c>
      <c r="O116" s="4690">
        <v>0</v>
      </c>
      <c r="P116" s="4690">
        <v>0</v>
      </c>
      <c r="Q116" s="4690">
        <v>0</v>
      </c>
      <c r="R116" s="4687">
        <v>1.081</v>
      </c>
      <c r="S116" s="293">
        <f t="shared" ref="S116:T143" si="13">M44*$H116</f>
        <v>0</v>
      </c>
      <c r="T116" s="293">
        <f t="shared" si="13"/>
        <v>0</v>
      </c>
      <c r="U116" s="3923">
        <f t="shared" si="12"/>
        <v>0</v>
      </c>
    </row>
    <row r="117" spans="2:21" ht="13.8" x14ac:dyDescent="0.3">
      <c r="B117" s="296"/>
      <c r="C117" s="4684" t="s">
        <v>322</v>
      </c>
      <c r="D117" s="4689">
        <v>0.05</v>
      </c>
      <c r="E117" s="4684" t="s">
        <v>617</v>
      </c>
      <c r="F117" s="4684" t="s">
        <v>295</v>
      </c>
      <c r="G117" s="4692">
        <v>0.95</v>
      </c>
      <c r="H117" s="4692">
        <v>0.95</v>
      </c>
      <c r="I117" s="4691">
        <v>0</v>
      </c>
      <c r="J117" s="4685">
        <v>30</v>
      </c>
      <c r="K117" s="4685" t="s">
        <v>618</v>
      </c>
      <c r="L117" s="4688" t="e">
        <v>#DIV/0!</v>
      </c>
      <c r="M117" s="4688" t="e">
        <v>#DIV/0!</v>
      </c>
      <c r="N117" s="4690">
        <v>0</v>
      </c>
      <c r="O117" s="4690">
        <v>0</v>
      </c>
      <c r="P117" s="4690">
        <v>0</v>
      </c>
      <c r="Q117" s="4690">
        <v>0</v>
      </c>
      <c r="R117" s="4687">
        <v>1.081</v>
      </c>
      <c r="S117" s="293">
        <f t="shared" si="13"/>
        <v>0</v>
      </c>
      <c r="T117" s="293">
        <f t="shared" si="13"/>
        <v>0</v>
      </c>
      <c r="U117" s="3923">
        <f t="shared" si="12"/>
        <v>0</v>
      </c>
    </row>
    <row r="118" spans="2:21" ht="13.8" x14ac:dyDescent="0.3">
      <c r="B118" s="296"/>
      <c r="C118" s="4684" t="s">
        <v>319</v>
      </c>
      <c r="D118" s="4689">
        <v>0.05</v>
      </c>
      <c r="E118" s="4684" t="s">
        <v>617</v>
      </c>
      <c r="F118" s="4684" t="s">
        <v>295</v>
      </c>
      <c r="G118" s="4692">
        <v>0.7</v>
      </c>
      <c r="H118" s="4692">
        <v>0.7</v>
      </c>
      <c r="I118" s="4691">
        <v>1.9232860187876837E-2</v>
      </c>
      <c r="J118" s="4685">
        <v>25</v>
      </c>
      <c r="K118" s="4685" t="s">
        <v>618</v>
      </c>
      <c r="L118" s="4688">
        <v>0.96412952074472624</v>
      </c>
      <c r="M118" s="4688">
        <v>0.96412952074472624</v>
      </c>
      <c r="N118" s="4690">
        <v>21158.024094593231</v>
      </c>
      <c r="O118" s="4690">
        <v>21158.024094593231</v>
      </c>
      <c r="P118" s="4690">
        <v>20399.075630225543</v>
      </c>
      <c r="Q118" s="4690">
        <v>20399.075630225543</v>
      </c>
      <c r="R118" s="4687">
        <v>1.081</v>
      </c>
      <c r="S118" s="293">
        <f t="shared" si="13"/>
        <v>10500</v>
      </c>
      <c r="T118" s="293">
        <f t="shared" si="13"/>
        <v>10500</v>
      </c>
      <c r="U118" s="3923">
        <f t="shared" si="12"/>
        <v>21000</v>
      </c>
    </row>
    <row r="119" spans="2:21" ht="13.8" x14ac:dyDescent="0.3">
      <c r="B119" s="296"/>
      <c r="C119" s="4684" t="s">
        <v>320</v>
      </c>
      <c r="D119" s="4689">
        <v>0.03</v>
      </c>
      <c r="E119" s="4684" t="s">
        <v>617</v>
      </c>
      <c r="F119" s="4684" t="s">
        <v>295</v>
      </c>
      <c r="G119" s="4692">
        <v>0.75</v>
      </c>
      <c r="H119" s="4692">
        <v>0.75</v>
      </c>
      <c r="I119" s="4691">
        <v>0</v>
      </c>
      <c r="J119" s="4685">
        <v>25</v>
      </c>
      <c r="K119" s="4685" t="s">
        <v>618</v>
      </c>
      <c r="L119" s="4688" t="e">
        <v>#DIV/0!</v>
      </c>
      <c r="M119" s="4688" t="e">
        <v>#DIV/0!</v>
      </c>
      <c r="N119" s="4690">
        <v>0</v>
      </c>
      <c r="O119" s="4690">
        <v>0</v>
      </c>
      <c r="P119" s="4690">
        <v>0</v>
      </c>
      <c r="Q119" s="4690">
        <v>0</v>
      </c>
      <c r="R119" s="4687">
        <v>1.081</v>
      </c>
      <c r="S119" s="293">
        <f t="shared" si="13"/>
        <v>0</v>
      </c>
      <c r="T119" s="293">
        <f t="shared" si="13"/>
        <v>0</v>
      </c>
      <c r="U119" s="3923">
        <f t="shared" si="12"/>
        <v>0</v>
      </c>
    </row>
    <row r="120" spans="2:21" ht="13.8" x14ac:dyDescent="0.3">
      <c r="B120" s="296"/>
      <c r="C120" s="4684" t="s">
        <v>324</v>
      </c>
      <c r="D120" s="4689">
        <v>0.06</v>
      </c>
      <c r="E120" s="4684" t="s">
        <v>617</v>
      </c>
      <c r="F120" s="4684" t="s">
        <v>295</v>
      </c>
      <c r="G120" s="4686">
        <v>1</v>
      </c>
      <c r="H120" s="4686">
        <v>0.95</v>
      </c>
      <c r="I120" s="4691">
        <v>2.3079432225452202E-2</v>
      </c>
      <c r="J120" s="4685">
        <v>30</v>
      </c>
      <c r="K120" s="4685" t="s">
        <v>618</v>
      </c>
      <c r="L120" s="4688">
        <v>0.93919986424805157</v>
      </c>
      <c r="M120" s="4688">
        <v>0.89551098669775109</v>
      </c>
      <c r="N120" s="4690">
        <v>28442.357868183477</v>
      </c>
      <c r="O120" s="4690">
        <v>29829.961938488752</v>
      </c>
      <c r="P120" s="4690">
        <v>26713.058648692422</v>
      </c>
      <c r="Q120" s="4690">
        <v>26713.058648692422</v>
      </c>
      <c r="R120" s="4687">
        <v>1.081</v>
      </c>
      <c r="S120" s="293">
        <f t="shared" si="13"/>
        <v>14250</v>
      </c>
      <c r="T120" s="293">
        <f t="shared" si="13"/>
        <v>14250</v>
      </c>
      <c r="U120" s="3923">
        <f t="shared" si="12"/>
        <v>28500</v>
      </c>
    </row>
    <row r="121" spans="2:21" ht="13.8" x14ac:dyDescent="0.3">
      <c r="B121" s="296"/>
      <c r="C121" s="4684" t="s">
        <v>326</v>
      </c>
      <c r="D121" s="4689">
        <v>0.06</v>
      </c>
      <c r="E121" s="4684" t="s">
        <v>617</v>
      </c>
      <c r="F121" s="4684" t="s">
        <v>295</v>
      </c>
      <c r="G121" s="4686">
        <v>1.05</v>
      </c>
      <c r="H121" s="4686">
        <v>0.95</v>
      </c>
      <c r="I121" s="4691">
        <v>3.0772576300602938E-3</v>
      </c>
      <c r="J121" s="4685">
        <v>25</v>
      </c>
      <c r="K121" s="4685" t="s">
        <v>618</v>
      </c>
      <c r="L121" s="4688">
        <v>0.8606491370975089</v>
      </c>
      <c r="M121" s="4688">
        <v>0.78413835176563473</v>
      </c>
      <c r="N121" s="4690">
        <v>3792.3143824244639</v>
      </c>
      <c r="O121" s="4690">
        <v>4162.3421345058705</v>
      </c>
      <c r="P121" s="4690">
        <v>3263.8521008360872</v>
      </c>
      <c r="Q121" s="4690">
        <v>3263.8521008360872</v>
      </c>
      <c r="R121" s="4687">
        <v>1.081</v>
      </c>
      <c r="S121" s="293">
        <f t="shared" si="13"/>
        <v>1900</v>
      </c>
      <c r="T121" s="293">
        <f t="shared" si="13"/>
        <v>1900</v>
      </c>
      <c r="U121" s="3923">
        <f t="shared" si="12"/>
        <v>3800</v>
      </c>
    </row>
    <row r="122" spans="2:21" ht="13.8" x14ac:dyDescent="0.3">
      <c r="B122" s="296"/>
      <c r="C122" s="4684" t="s">
        <v>325</v>
      </c>
      <c r="D122" s="4689">
        <v>0.06</v>
      </c>
      <c r="E122" s="4684" t="s">
        <v>617</v>
      </c>
      <c r="F122" s="4684" t="s">
        <v>295</v>
      </c>
      <c r="G122" s="4686">
        <v>1.1399999999999999</v>
      </c>
      <c r="H122" s="4686">
        <v>0.95</v>
      </c>
      <c r="I122" s="4691">
        <v>2.3079432225452202E-2</v>
      </c>
      <c r="J122" s="4685">
        <v>30</v>
      </c>
      <c r="K122" s="4685" t="s">
        <v>618</v>
      </c>
      <c r="L122" s="4688">
        <v>0.93919986424805157</v>
      </c>
      <c r="M122" s="4688">
        <v>0.79231374544320166</v>
      </c>
      <c r="N122" s="4690">
        <v>28442.357868183477</v>
      </c>
      <c r="O122" s="4690">
        <v>33715.253335343521</v>
      </c>
      <c r="P122" s="4690">
        <v>26713.058648692422</v>
      </c>
      <c r="Q122" s="4690">
        <v>26713.058648692422</v>
      </c>
      <c r="R122" s="4687">
        <v>1.081</v>
      </c>
      <c r="S122" s="293">
        <f t="shared" si="13"/>
        <v>14250</v>
      </c>
      <c r="T122" s="293">
        <f t="shared" si="13"/>
        <v>14250</v>
      </c>
      <c r="U122" s="3923">
        <f t="shared" si="12"/>
        <v>28500</v>
      </c>
    </row>
    <row r="123" spans="2:21" ht="13.8" x14ac:dyDescent="0.3">
      <c r="B123" s="296"/>
      <c r="C123" s="4684" t="s">
        <v>327</v>
      </c>
      <c r="D123" s="4689">
        <v>0.14000000000000001</v>
      </c>
      <c r="E123" s="4684" t="s">
        <v>617</v>
      </c>
      <c r="F123" s="4684" t="s">
        <v>295</v>
      </c>
      <c r="G123" s="4692">
        <v>1.5</v>
      </c>
      <c r="H123" s="4692">
        <v>1.5</v>
      </c>
      <c r="I123" s="4691">
        <v>0</v>
      </c>
      <c r="J123" s="4685">
        <v>30</v>
      </c>
      <c r="K123" s="4685" t="s">
        <v>618</v>
      </c>
      <c r="L123" s="4688" t="e">
        <v>#DIV/0!</v>
      </c>
      <c r="M123" s="4688" t="e">
        <v>#DIV/0!</v>
      </c>
      <c r="N123" s="4690">
        <v>0</v>
      </c>
      <c r="O123" s="4690">
        <v>0</v>
      </c>
      <c r="P123" s="4690">
        <v>0</v>
      </c>
      <c r="Q123" s="4690">
        <v>0</v>
      </c>
      <c r="R123" s="4687">
        <v>1.081</v>
      </c>
      <c r="S123" s="293">
        <f t="shared" si="13"/>
        <v>0</v>
      </c>
      <c r="T123" s="293">
        <f t="shared" si="13"/>
        <v>0</v>
      </c>
      <c r="U123" s="3923">
        <f t="shared" si="12"/>
        <v>0</v>
      </c>
    </row>
    <row r="124" spans="2:21" ht="13.8" x14ac:dyDescent="0.3">
      <c r="B124" s="296"/>
      <c r="C124" s="4684" t="s">
        <v>629</v>
      </c>
      <c r="D124" s="4689">
        <v>0.1</v>
      </c>
      <c r="E124" s="4684" t="s">
        <v>617</v>
      </c>
      <c r="F124" s="4684" t="s">
        <v>295</v>
      </c>
      <c r="G124" s="4686">
        <v>2</v>
      </c>
      <c r="H124" s="4686">
        <v>2</v>
      </c>
      <c r="I124" s="4691">
        <v>0</v>
      </c>
      <c r="J124" s="4685">
        <v>30</v>
      </c>
      <c r="K124" s="4685" t="s">
        <v>618</v>
      </c>
      <c r="L124" s="4688" t="e">
        <v>#DIV/0!</v>
      </c>
      <c r="M124" s="4688" t="e">
        <v>#DIV/0!</v>
      </c>
      <c r="N124" s="4690">
        <v>0</v>
      </c>
      <c r="O124" s="4690">
        <v>0</v>
      </c>
      <c r="P124" s="4690">
        <v>0</v>
      </c>
      <c r="Q124" s="4690">
        <v>0</v>
      </c>
      <c r="R124" s="4687">
        <v>1.081</v>
      </c>
      <c r="S124" s="293">
        <f t="shared" si="13"/>
        <v>0</v>
      </c>
      <c r="T124" s="293">
        <f t="shared" si="13"/>
        <v>0</v>
      </c>
      <c r="U124" s="3923">
        <f t="shared" si="12"/>
        <v>0</v>
      </c>
    </row>
    <row r="125" spans="2:21" ht="13.8" x14ac:dyDescent="0.3">
      <c r="B125" s="296"/>
      <c r="C125" s="4684" t="s">
        <v>328</v>
      </c>
      <c r="D125" s="4689">
        <v>6</v>
      </c>
      <c r="E125" s="4684" t="s">
        <v>617</v>
      </c>
      <c r="F125" s="4684" t="s">
        <v>211</v>
      </c>
      <c r="G125" s="4686">
        <v>29.7</v>
      </c>
      <c r="H125" s="4686">
        <v>29.7</v>
      </c>
      <c r="I125" s="4691">
        <v>3.0772576300602934E-2</v>
      </c>
      <c r="J125" s="4685">
        <v>10</v>
      </c>
      <c r="K125" s="4685" t="s">
        <v>259</v>
      </c>
      <c r="L125" s="4688">
        <v>0.89984275702171457</v>
      </c>
      <c r="M125" s="4688">
        <v>0.89984275702171457</v>
      </c>
      <c r="N125" s="4690">
        <v>13760.331613328819</v>
      </c>
      <c r="O125" s="4690">
        <v>13760.331613328819</v>
      </c>
      <c r="P125" s="4690">
        <v>12382.134736470862</v>
      </c>
      <c r="Q125" s="4690">
        <v>12382.134736470862</v>
      </c>
      <c r="R125" s="4687">
        <v>1.081</v>
      </c>
      <c r="S125" s="293">
        <f t="shared" si="13"/>
        <v>11880</v>
      </c>
      <c r="T125" s="293">
        <f t="shared" si="13"/>
        <v>0</v>
      </c>
      <c r="U125" s="3923">
        <f t="shared" si="12"/>
        <v>11880</v>
      </c>
    </row>
    <row r="126" spans="2:21" ht="13.8" x14ac:dyDescent="0.3">
      <c r="B126" s="296"/>
      <c r="C126" s="4684" t="s">
        <v>329</v>
      </c>
      <c r="D126" s="4689">
        <v>6</v>
      </c>
      <c r="E126" s="4684" t="s">
        <v>617</v>
      </c>
      <c r="F126" s="4684" t="s">
        <v>211</v>
      </c>
      <c r="G126" s="4686">
        <v>29.7</v>
      </c>
      <c r="H126" s="4686">
        <v>29.7</v>
      </c>
      <c r="I126" s="4691">
        <v>5.7698580563630506E-3</v>
      </c>
      <c r="J126" s="4685">
        <v>10</v>
      </c>
      <c r="K126" s="4685" t="s">
        <v>259</v>
      </c>
      <c r="L126" s="4688">
        <v>0.89984275702171446</v>
      </c>
      <c r="M126" s="4688">
        <v>0.89984275702171446</v>
      </c>
      <c r="N126" s="4690">
        <v>2580.0621774991537</v>
      </c>
      <c r="O126" s="4690">
        <v>2580.0621774991537</v>
      </c>
      <c r="P126" s="4690">
        <v>2321.6502630882865</v>
      </c>
      <c r="Q126" s="4690">
        <v>2321.6502630882865</v>
      </c>
      <c r="R126" s="4687">
        <v>1.081</v>
      </c>
      <c r="S126" s="293">
        <f t="shared" si="13"/>
        <v>2227.5</v>
      </c>
      <c r="T126" s="293">
        <f t="shared" si="13"/>
        <v>0</v>
      </c>
      <c r="U126" s="3923">
        <f t="shared" si="12"/>
        <v>2227.5</v>
      </c>
    </row>
    <row r="127" spans="2:21" ht="13.8" x14ac:dyDescent="0.3">
      <c r="B127" s="296"/>
      <c r="C127" s="4684" t="s">
        <v>330</v>
      </c>
      <c r="D127" s="4689">
        <v>6</v>
      </c>
      <c r="E127" s="4684" t="s">
        <v>617</v>
      </c>
      <c r="F127" s="4684" t="s">
        <v>211</v>
      </c>
      <c r="G127" s="4686">
        <v>29.7</v>
      </c>
      <c r="H127" s="4686">
        <v>29.7</v>
      </c>
      <c r="I127" s="4691">
        <v>5.7698580563630506E-3</v>
      </c>
      <c r="J127" s="4685">
        <v>10</v>
      </c>
      <c r="K127" s="4685" t="s">
        <v>259</v>
      </c>
      <c r="L127" s="4688">
        <v>0.89984275702171446</v>
      </c>
      <c r="M127" s="4688">
        <v>0.89984275702171446</v>
      </c>
      <c r="N127" s="4690">
        <v>2580.0621774991537</v>
      </c>
      <c r="O127" s="4690">
        <v>2580.0621774991537</v>
      </c>
      <c r="P127" s="4690">
        <v>2321.6502630882865</v>
      </c>
      <c r="Q127" s="4690">
        <v>2321.6502630882865</v>
      </c>
      <c r="R127" s="4687">
        <v>1.081</v>
      </c>
      <c r="S127" s="293">
        <f t="shared" si="13"/>
        <v>2227.5</v>
      </c>
      <c r="T127" s="293">
        <f t="shared" si="13"/>
        <v>0</v>
      </c>
      <c r="U127" s="3923">
        <f t="shared" si="12"/>
        <v>2227.5</v>
      </c>
    </row>
    <row r="128" spans="2:21" ht="13.8" x14ac:dyDescent="0.3">
      <c r="B128" s="296"/>
      <c r="C128" s="4684" t="s">
        <v>342</v>
      </c>
      <c r="D128" s="4689">
        <v>43</v>
      </c>
      <c r="E128" s="4684" t="s">
        <v>617</v>
      </c>
      <c r="F128" s="4684" t="s">
        <v>211</v>
      </c>
      <c r="G128" s="4686">
        <v>200</v>
      </c>
      <c r="H128" s="4686">
        <v>200</v>
      </c>
      <c r="I128" s="4691">
        <v>8.2701298807870381E-3</v>
      </c>
      <c r="J128" s="4685">
        <v>20</v>
      </c>
      <c r="K128" s="4685" t="s">
        <v>618</v>
      </c>
      <c r="L128" s="4688">
        <v>2.1920756112930966</v>
      </c>
      <c r="M128" s="4688">
        <v>2.1920756112930966</v>
      </c>
      <c r="N128" s="4690">
        <v>3519.7819980478926</v>
      </c>
      <c r="O128" s="4690">
        <v>3519.7819980478926</v>
      </c>
      <c r="P128" s="4690">
        <v>7715.6282749892707</v>
      </c>
      <c r="Q128" s="4690">
        <v>7715.6282749892707</v>
      </c>
      <c r="R128" s="4687">
        <v>1.081</v>
      </c>
      <c r="S128" s="293">
        <f t="shared" si="13"/>
        <v>1400</v>
      </c>
      <c r="T128" s="293">
        <f t="shared" si="13"/>
        <v>1600</v>
      </c>
      <c r="U128" s="3923">
        <f t="shared" si="12"/>
        <v>3000</v>
      </c>
    </row>
    <row r="129" spans="2:21" ht="13.8" x14ac:dyDescent="0.3">
      <c r="B129" s="296"/>
      <c r="C129" s="4684" t="s">
        <v>343</v>
      </c>
      <c r="D129" s="4689">
        <v>50</v>
      </c>
      <c r="E129" s="4684" t="s">
        <v>617</v>
      </c>
      <c r="F129" s="4684" t="s">
        <v>211</v>
      </c>
      <c r="G129" s="4686">
        <v>472.5</v>
      </c>
      <c r="H129" s="4686">
        <v>472.5</v>
      </c>
      <c r="I129" s="4691">
        <v>2.564381358383578E-2</v>
      </c>
      <c r="J129" s="4685">
        <v>20</v>
      </c>
      <c r="K129" s="4685" t="s">
        <v>618</v>
      </c>
      <c r="L129" s="4688">
        <v>1.2087582291037888</v>
      </c>
      <c r="M129" s="4688">
        <v>1.2087582291037888</v>
      </c>
      <c r="N129" s="4690">
        <v>19792.567432938988</v>
      </c>
      <c r="O129" s="4690">
        <v>19792.567432938988</v>
      </c>
      <c r="P129" s="4690">
        <v>23924.428759656654</v>
      </c>
      <c r="Q129" s="4690">
        <v>23924.428759656654</v>
      </c>
      <c r="R129" s="4687">
        <v>1.081</v>
      </c>
      <c r="S129" s="293">
        <f t="shared" si="13"/>
        <v>9450</v>
      </c>
      <c r="T129" s="293">
        <f t="shared" si="13"/>
        <v>9450</v>
      </c>
      <c r="U129" s="3923">
        <f t="shared" si="12"/>
        <v>18900</v>
      </c>
    </row>
    <row r="130" spans="2:21" ht="13.8" x14ac:dyDescent="0.3">
      <c r="B130" s="296"/>
      <c r="C130" s="4684" t="s">
        <v>344</v>
      </c>
      <c r="D130" s="4689">
        <v>7.0000000000000007E-2</v>
      </c>
      <c r="E130" s="4684" t="s">
        <v>617</v>
      </c>
      <c r="F130" s="4684" t="s">
        <v>341</v>
      </c>
      <c r="G130" s="4686">
        <v>0.81</v>
      </c>
      <c r="H130" s="4686">
        <v>0.81</v>
      </c>
      <c r="I130" s="4691">
        <v>2.6926004263027568E-2</v>
      </c>
      <c r="J130" s="4685">
        <v>25</v>
      </c>
      <c r="K130" s="4685" t="s">
        <v>618</v>
      </c>
      <c r="L130" s="4688">
        <v>1.1467803167510207</v>
      </c>
      <c r="M130" s="4688">
        <v>1.1467803167510207</v>
      </c>
      <c r="N130" s="4690">
        <v>24903.379893392597</v>
      </c>
      <c r="O130" s="4690">
        <v>24903.379893392597</v>
      </c>
      <c r="P130" s="4690">
        <v>28558.705882315764</v>
      </c>
      <c r="Q130" s="4690">
        <v>28558.705882315764</v>
      </c>
      <c r="R130" s="4687">
        <v>1.081</v>
      </c>
      <c r="S130" s="293">
        <f t="shared" si="13"/>
        <v>12150</v>
      </c>
      <c r="T130" s="293">
        <f t="shared" si="13"/>
        <v>12150</v>
      </c>
      <c r="U130" s="3923">
        <f t="shared" si="12"/>
        <v>24300</v>
      </c>
    </row>
    <row r="131" spans="2:21" ht="13.8" x14ac:dyDescent="0.3">
      <c r="B131" s="296"/>
      <c r="C131" s="4684" t="s">
        <v>345</v>
      </c>
      <c r="D131" s="4689">
        <v>0.04</v>
      </c>
      <c r="E131" s="4684" t="s">
        <v>617</v>
      </c>
      <c r="F131" s="4684" t="s">
        <v>341</v>
      </c>
      <c r="G131" s="4693">
        <v>0.44</v>
      </c>
      <c r="H131" s="4693">
        <v>0.44</v>
      </c>
      <c r="I131" s="4691">
        <v>1.5386288150301467E-2</v>
      </c>
      <c r="J131" s="4685">
        <v>20</v>
      </c>
      <c r="K131" s="4685" t="s">
        <v>618</v>
      </c>
      <c r="L131" s="4688">
        <v>1.0557868705935736</v>
      </c>
      <c r="M131" s="4688">
        <v>1.0557868705935736</v>
      </c>
      <c r="N131" s="4690">
        <v>13596.169506941931</v>
      </c>
      <c r="O131" s="4690">
        <v>13596.169506941931</v>
      </c>
      <c r="P131" s="4690">
        <v>14354.657255793993</v>
      </c>
      <c r="Q131" s="4690">
        <v>14354.657255793993</v>
      </c>
      <c r="R131" s="4687">
        <v>1.081</v>
      </c>
      <c r="S131" s="293">
        <f t="shared" si="13"/>
        <v>6600</v>
      </c>
      <c r="T131" s="293">
        <f t="shared" si="13"/>
        <v>6600</v>
      </c>
      <c r="U131" s="3923">
        <f t="shared" si="12"/>
        <v>13200</v>
      </c>
    </row>
    <row r="132" spans="2:21" ht="13.8" x14ac:dyDescent="0.3">
      <c r="B132" s="296"/>
      <c r="C132" s="4694" t="s">
        <v>346</v>
      </c>
      <c r="D132" s="4696">
        <v>0.08</v>
      </c>
      <c r="E132" s="4684" t="s">
        <v>617</v>
      </c>
      <c r="F132" s="4684" t="s">
        <v>341</v>
      </c>
      <c r="G132" s="4693">
        <v>0</v>
      </c>
      <c r="H132" s="4693">
        <v>0</v>
      </c>
      <c r="I132" s="4691">
        <v>0</v>
      </c>
      <c r="J132" s="4695">
        <v>20</v>
      </c>
      <c r="K132" s="4685" t="s">
        <v>618</v>
      </c>
      <c r="L132" s="4688" t="e">
        <v>#DIV/0!</v>
      </c>
      <c r="M132" s="4688" t="e">
        <v>#DIV/0!</v>
      </c>
      <c r="N132" s="4690">
        <v>0</v>
      </c>
      <c r="O132" s="4690">
        <v>0</v>
      </c>
      <c r="P132" s="4690">
        <v>0</v>
      </c>
      <c r="Q132" s="4690">
        <v>0</v>
      </c>
      <c r="R132" s="4687">
        <v>1.081</v>
      </c>
      <c r="S132" s="293">
        <f t="shared" si="13"/>
        <v>0</v>
      </c>
      <c r="T132" s="293">
        <f t="shared" si="13"/>
        <v>0</v>
      </c>
      <c r="U132" s="3923">
        <f t="shared" si="12"/>
        <v>0</v>
      </c>
    </row>
    <row r="133" spans="2:21" ht="13.8" x14ac:dyDescent="0.3">
      <c r="B133" s="296"/>
      <c r="C133" s="4684" t="s">
        <v>357</v>
      </c>
      <c r="D133" s="4689">
        <v>0.9</v>
      </c>
      <c r="E133" s="4684" t="s">
        <v>617</v>
      </c>
      <c r="F133" s="4684" t="s">
        <v>211</v>
      </c>
      <c r="G133" s="4686">
        <v>5.5</v>
      </c>
      <c r="H133" s="4686">
        <v>5.5</v>
      </c>
      <c r="I133" s="4691">
        <v>0</v>
      </c>
      <c r="J133" s="4685">
        <v>15</v>
      </c>
      <c r="K133" s="4685" t="s">
        <v>259</v>
      </c>
      <c r="L133" s="4688" t="e">
        <v>#DIV/0!</v>
      </c>
      <c r="M133" s="4688" t="e">
        <v>#DIV/0!</v>
      </c>
      <c r="N133" s="4690">
        <v>0</v>
      </c>
      <c r="O133" s="4690">
        <v>0</v>
      </c>
      <c r="P133" s="4690">
        <v>0</v>
      </c>
      <c r="Q133" s="4690">
        <v>0</v>
      </c>
      <c r="R133" s="4687">
        <v>1.081</v>
      </c>
      <c r="S133" s="293">
        <f t="shared" si="13"/>
        <v>0</v>
      </c>
      <c r="T133" s="293">
        <f t="shared" si="13"/>
        <v>0</v>
      </c>
      <c r="U133" s="3923">
        <f t="shared" si="12"/>
        <v>0</v>
      </c>
    </row>
    <row r="134" spans="2:21" ht="13.8" x14ac:dyDescent="0.3">
      <c r="B134" s="296"/>
      <c r="C134" s="4684" t="s">
        <v>358</v>
      </c>
      <c r="D134" s="4689">
        <v>0.9</v>
      </c>
      <c r="E134" s="4684" t="s">
        <v>617</v>
      </c>
      <c r="F134" s="4684" t="s">
        <v>211</v>
      </c>
      <c r="G134" s="4686">
        <v>5.5</v>
      </c>
      <c r="H134" s="4686">
        <v>5.5</v>
      </c>
      <c r="I134" s="4691">
        <v>3.2311205115633082E-4</v>
      </c>
      <c r="J134" s="4685">
        <v>15</v>
      </c>
      <c r="K134" s="4685" t="s">
        <v>259</v>
      </c>
      <c r="L134" s="4688">
        <v>1.0541668674516789</v>
      </c>
      <c r="M134" s="4688">
        <v>1.0541668674516789</v>
      </c>
      <c r="N134" s="4690">
        <v>171.55101200470745</v>
      </c>
      <c r="O134" s="4690">
        <v>171.55101200470745</v>
      </c>
      <c r="P134" s="4690">
        <v>180.84339293316782</v>
      </c>
      <c r="Q134" s="4690">
        <v>180.84339293316782</v>
      </c>
      <c r="R134" s="4687">
        <v>1.081</v>
      </c>
      <c r="S134" s="293">
        <f t="shared" si="13"/>
        <v>77</v>
      </c>
      <c r="T134" s="293">
        <f t="shared" si="13"/>
        <v>77</v>
      </c>
      <c r="U134" s="3923">
        <f t="shared" si="12"/>
        <v>154</v>
      </c>
    </row>
    <row r="135" spans="2:21" ht="13.8" x14ac:dyDescent="0.3">
      <c r="B135" s="296"/>
      <c r="C135" s="4684" t="s">
        <v>359</v>
      </c>
      <c r="D135" s="4689">
        <v>0.9</v>
      </c>
      <c r="E135" s="4684" t="s">
        <v>617</v>
      </c>
      <c r="F135" s="4684" t="s">
        <v>211</v>
      </c>
      <c r="G135" s="4686">
        <v>5.5</v>
      </c>
      <c r="H135" s="4686">
        <v>5.5</v>
      </c>
      <c r="I135" s="4691">
        <v>5.0774750895994842E-4</v>
      </c>
      <c r="J135" s="4685">
        <v>15</v>
      </c>
      <c r="K135" s="4685" t="s">
        <v>259</v>
      </c>
      <c r="L135" s="4688">
        <v>1.0541668674516791</v>
      </c>
      <c r="M135" s="4688">
        <v>1.0541668674516791</v>
      </c>
      <c r="N135" s="4690">
        <v>269.58016172168311</v>
      </c>
      <c r="O135" s="4690">
        <v>269.58016172168311</v>
      </c>
      <c r="P135" s="4690">
        <v>284.18247460926375</v>
      </c>
      <c r="Q135" s="4690">
        <v>284.18247460926375</v>
      </c>
      <c r="R135" s="4687">
        <v>1.081</v>
      </c>
      <c r="S135" s="293">
        <f t="shared" si="13"/>
        <v>121</v>
      </c>
      <c r="T135" s="293">
        <f t="shared" si="13"/>
        <v>121</v>
      </c>
      <c r="U135" s="3923">
        <f t="shared" si="12"/>
        <v>242</v>
      </c>
    </row>
    <row r="136" spans="2:21" ht="13.8" x14ac:dyDescent="0.3">
      <c r="B136" s="296"/>
      <c r="C136" s="4684" t="s">
        <v>363</v>
      </c>
      <c r="D136" s="4689">
        <v>0.83</v>
      </c>
      <c r="E136" s="4684" t="s">
        <v>617</v>
      </c>
      <c r="F136" s="4684" t="s">
        <v>295</v>
      </c>
      <c r="G136" s="4686">
        <v>21.64</v>
      </c>
      <c r="H136" s="4686">
        <v>9</v>
      </c>
      <c r="I136" s="4691">
        <v>0.42568730549167394</v>
      </c>
      <c r="J136" s="4685">
        <v>30</v>
      </c>
      <c r="K136" s="4685" t="s">
        <v>618</v>
      </c>
      <c r="L136" s="4688">
        <v>1.3267997570557402</v>
      </c>
      <c r="M136" s="4688">
        <v>0.58720991445478121</v>
      </c>
      <c r="N136" s="4690">
        <v>371350.32891500177</v>
      </c>
      <c r="O136" s="4690">
        <v>839065.40754589904</v>
      </c>
      <c r="P136" s="4690">
        <v>492707.52618699352</v>
      </c>
      <c r="Q136" s="4690">
        <v>492707.52618699352</v>
      </c>
      <c r="R136" s="4687">
        <v>1.081</v>
      </c>
      <c r="S136" s="293">
        <f t="shared" si="13"/>
        <v>180000</v>
      </c>
      <c r="T136" s="293">
        <f t="shared" si="13"/>
        <v>180000</v>
      </c>
      <c r="U136" s="3923">
        <f t="shared" si="12"/>
        <v>360000</v>
      </c>
    </row>
    <row r="137" spans="2:21" ht="13.8" x14ac:dyDescent="0.3">
      <c r="B137" s="296"/>
      <c r="C137" s="4684" t="s">
        <v>364</v>
      </c>
      <c r="D137" s="4689">
        <v>0.81</v>
      </c>
      <c r="E137" s="4684" t="s">
        <v>617</v>
      </c>
      <c r="F137" s="4684" t="s">
        <v>295</v>
      </c>
      <c r="G137" s="4686">
        <v>21.64</v>
      </c>
      <c r="H137" s="4692">
        <v>9</v>
      </c>
      <c r="I137" s="4691">
        <v>8.5370819801947693E-3</v>
      </c>
      <c r="J137" s="4685">
        <v>25</v>
      </c>
      <c r="K137" s="4685" t="s">
        <v>618</v>
      </c>
      <c r="L137" s="4688">
        <v>1.1894927746681798</v>
      </c>
      <c r="M137" s="4688">
        <v>0.52571054011086849</v>
      </c>
      <c r="N137" s="4690">
        <v>7612.2712836741857</v>
      </c>
      <c r="O137" s="4690">
        <v>17223.816149539129</v>
      </c>
      <c r="P137" s="4690">
        <v>9054.7416907445149</v>
      </c>
      <c r="Q137" s="4690">
        <v>9054.7416907445149</v>
      </c>
      <c r="R137" s="4687">
        <v>1.081</v>
      </c>
      <c r="S137" s="293">
        <f t="shared" si="13"/>
        <v>3699</v>
      </c>
      <c r="T137" s="293">
        <f t="shared" si="13"/>
        <v>3699</v>
      </c>
      <c r="U137" s="3923">
        <f t="shared" si="12"/>
        <v>7398</v>
      </c>
    </row>
    <row r="138" spans="2:21" ht="13.8" x14ac:dyDescent="0.3">
      <c r="B138" s="296"/>
      <c r="C138" s="4684" t="s">
        <v>365</v>
      </c>
      <c r="D138" s="4689">
        <v>0.87</v>
      </c>
      <c r="E138" s="4684" t="s">
        <v>617</v>
      </c>
      <c r="F138" s="4684" t="s">
        <v>295</v>
      </c>
      <c r="G138" s="4686">
        <v>21.64</v>
      </c>
      <c r="H138" s="4686">
        <v>10</v>
      </c>
      <c r="I138" s="4691">
        <v>1.1155058908968564E-2</v>
      </c>
      <c r="J138" s="4685">
        <v>30</v>
      </c>
      <c r="K138" s="4685" t="s">
        <v>618</v>
      </c>
      <c r="L138" s="4688">
        <v>1.259025670216642</v>
      </c>
      <c r="M138" s="4688">
        <v>0.61415726483930955</v>
      </c>
      <c r="N138" s="4690">
        <v>10255.00272602041</v>
      </c>
      <c r="O138" s="4690">
        <v>21022.810311589332</v>
      </c>
      <c r="P138" s="4690">
        <v>12911.311680201337</v>
      </c>
      <c r="Q138" s="4690">
        <v>12911.311680201337</v>
      </c>
      <c r="R138" s="4687">
        <v>1.081</v>
      </c>
      <c r="S138" s="293">
        <f t="shared" si="13"/>
        <v>5000</v>
      </c>
      <c r="T138" s="293">
        <f t="shared" si="13"/>
        <v>5000</v>
      </c>
      <c r="U138" s="3923">
        <f t="shared" si="12"/>
        <v>10000</v>
      </c>
    </row>
    <row r="139" spans="2:21" ht="13.8" x14ac:dyDescent="0.3">
      <c r="B139" s="296"/>
      <c r="C139" s="4684" t="s">
        <v>366</v>
      </c>
      <c r="D139" s="4689">
        <v>0.96</v>
      </c>
      <c r="E139" s="4684" t="s">
        <v>617</v>
      </c>
      <c r="F139" s="4684" t="s">
        <v>295</v>
      </c>
      <c r="G139" s="4686">
        <v>26.62</v>
      </c>
      <c r="H139" s="4692">
        <v>14</v>
      </c>
      <c r="I139" s="4691">
        <v>0</v>
      </c>
      <c r="J139" s="4685">
        <v>30</v>
      </c>
      <c r="K139" s="4685" t="s">
        <v>618</v>
      </c>
      <c r="L139" s="4688" t="e">
        <v>#DIV/0!</v>
      </c>
      <c r="M139" s="4688" t="e">
        <v>#DIV/0!</v>
      </c>
      <c r="N139" s="4690">
        <v>0</v>
      </c>
      <c r="O139" s="4690">
        <v>0</v>
      </c>
      <c r="P139" s="4690">
        <v>0</v>
      </c>
      <c r="Q139" s="4690">
        <v>0</v>
      </c>
      <c r="R139" s="4687">
        <v>1.081</v>
      </c>
      <c r="S139" s="293">
        <f t="shared" si="13"/>
        <v>0</v>
      </c>
      <c r="T139" s="293">
        <f t="shared" si="13"/>
        <v>0</v>
      </c>
      <c r="U139" s="3923">
        <f t="shared" si="12"/>
        <v>0</v>
      </c>
    </row>
    <row r="140" spans="2:21" ht="13.8" x14ac:dyDescent="0.3">
      <c r="B140" s="296"/>
      <c r="C140" s="4684" t="s">
        <v>367</v>
      </c>
      <c r="D140" s="4689">
        <v>0.92</v>
      </c>
      <c r="E140" s="4684" t="s">
        <v>617</v>
      </c>
      <c r="F140" s="4684" t="s">
        <v>295</v>
      </c>
      <c r="G140" s="4686">
        <v>26.62</v>
      </c>
      <c r="H140" s="4692">
        <v>14</v>
      </c>
      <c r="I140" s="4691">
        <v>0</v>
      </c>
      <c r="J140" s="4685">
        <v>30</v>
      </c>
      <c r="K140" s="4685" t="s">
        <v>618</v>
      </c>
      <c r="L140" s="4688" t="e">
        <v>#DIV/0!</v>
      </c>
      <c r="M140" s="4688" t="e">
        <v>#DIV/0!</v>
      </c>
      <c r="N140" s="4690">
        <v>0</v>
      </c>
      <c r="O140" s="4690">
        <v>0</v>
      </c>
      <c r="P140" s="4690">
        <v>0</v>
      </c>
      <c r="Q140" s="4690">
        <v>0</v>
      </c>
      <c r="R140" s="4687">
        <v>1.081</v>
      </c>
      <c r="S140" s="293">
        <f t="shared" si="13"/>
        <v>0</v>
      </c>
      <c r="T140" s="293">
        <f t="shared" si="13"/>
        <v>0</v>
      </c>
      <c r="U140" s="3923">
        <f t="shared" si="12"/>
        <v>0</v>
      </c>
    </row>
    <row r="141" spans="2:21" ht="13.8" x14ac:dyDescent="0.3">
      <c r="B141" s="296"/>
      <c r="C141" s="4694" t="s">
        <v>379</v>
      </c>
      <c r="D141" s="4696">
        <v>0</v>
      </c>
      <c r="E141" s="4684" t="s">
        <v>617</v>
      </c>
      <c r="F141" s="4684" t="s">
        <v>211</v>
      </c>
      <c r="G141" s="4693">
        <v>0</v>
      </c>
      <c r="H141" s="4693">
        <v>0</v>
      </c>
      <c r="I141" s="4697">
        <v>0</v>
      </c>
      <c r="J141" s="4695">
        <v>1</v>
      </c>
      <c r="K141" s="4685" t="s">
        <v>618</v>
      </c>
      <c r="L141" s="4688" t="e">
        <v>#DIV/0!</v>
      </c>
      <c r="M141" s="4688" t="e">
        <v>#DIV/0!</v>
      </c>
      <c r="N141" s="4690">
        <v>0</v>
      </c>
      <c r="O141" s="4690">
        <v>0</v>
      </c>
      <c r="P141" s="4690">
        <v>0</v>
      </c>
      <c r="Q141" s="4690">
        <v>0</v>
      </c>
      <c r="R141" s="4687">
        <v>1.081</v>
      </c>
      <c r="S141" s="293">
        <f t="shared" si="13"/>
        <v>0</v>
      </c>
      <c r="T141" s="293">
        <f t="shared" si="13"/>
        <v>0</v>
      </c>
      <c r="U141" s="3923">
        <f t="shared" si="12"/>
        <v>0</v>
      </c>
    </row>
    <row r="142" spans="2:21" ht="13.8" x14ac:dyDescent="0.3">
      <c r="B142" s="296"/>
      <c r="C142" s="4694" t="s">
        <v>1311</v>
      </c>
      <c r="D142" s="4696">
        <v>3300</v>
      </c>
      <c r="E142" s="4684" t="s">
        <v>617</v>
      </c>
      <c r="F142" s="4684" t="s">
        <v>211</v>
      </c>
      <c r="G142" s="4693">
        <v>0</v>
      </c>
      <c r="H142" s="4693">
        <v>61572</v>
      </c>
      <c r="I142" s="4697">
        <v>4.2312292413329039E-2</v>
      </c>
      <c r="J142" s="4695">
        <v>1</v>
      </c>
      <c r="K142" s="4685" t="s">
        <v>618</v>
      </c>
      <c r="L142" s="4688">
        <v>3.8870570822249241E-2</v>
      </c>
      <c r="M142" s="4688">
        <v>0.62005835331892323</v>
      </c>
      <c r="N142" s="4690">
        <v>60767.819520593555</v>
      </c>
      <c r="O142" s="4690">
        <v>3809.447642702703</v>
      </c>
      <c r="P142" s="4690">
        <v>2362.0798323888916</v>
      </c>
      <c r="Q142" s="4690">
        <v>2362.0798323888916</v>
      </c>
      <c r="R142" s="4687">
        <v>1.081</v>
      </c>
      <c r="S142" s="293">
        <f t="shared" si="13"/>
        <v>61572</v>
      </c>
      <c r="T142" s="293">
        <f t="shared" si="13"/>
        <v>0</v>
      </c>
      <c r="U142" s="3923">
        <f t="shared" si="12"/>
        <v>61572</v>
      </c>
    </row>
    <row r="143" spans="2:21" ht="14.4" thickBot="1" x14ac:dyDescent="0.35">
      <c r="B143" s="296"/>
      <c r="C143" s="4694" t="s">
        <v>152</v>
      </c>
      <c r="D143" s="4696">
        <v>1</v>
      </c>
      <c r="E143" s="4684" t="s">
        <v>617</v>
      </c>
      <c r="F143" s="4684" t="s">
        <v>211</v>
      </c>
      <c r="G143" s="4693">
        <v>0</v>
      </c>
      <c r="H143" s="4693">
        <v>0</v>
      </c>
      <c r="I143" s="4697">
        <v>0</v>
      </c>
      <c r="J143" s="4695">
        <v>1</v>
      </c>
      <c r="K143" s="4685" t="s">
        <v>618</v>
      </c>
      <c r="L143" s="4688" t="e">
        <v>#DIV/0!</v>
      </c>
      <c r="M143" s="4688" t="e">
        <v>#DIV/0!</v>
      </c>
      <c r="N143" s="4690">
        <v>0</v>
      </c>
      <c r="O143" s="4690">
        <v>0</v>
      </c>
      <c r="P143" s="4690">
        <v>0</v>
      </c>
      <c r="Q143" s="4690">
        <v>0</v>
      </c>
      <c r="R143" s="4687">
        <v>1.081</v>
      </c>
      <c r="S143" s="293">
        <f t="shared" si="13"/>
        <v>0</v>
      </c>
      <c r="T143" s="293">
        <f t="shared" si="13"/>
        <v>0</v>
      </c>
      <c r="U143" s="3923">
        <f t="shared" si="12"/>
        <v>0</v>
      </c>
    </row>
    <row r="144" spans="2:21" ht="14.4" thickBot="1" x14ac:dyDescent="0.35">
      <c r="G144" s="300">
        <f>SUMPRODUCT(G84:G143,O12:O71)</f>
        <v>1437007.54</v>
      </c>
      <c r="H144" s="301">
        <f>U144</f>
        <v>890540.5</v>
      </c>
      <c r="I144" s="302">
        <f>SUM(I84:I143)</f>
        <v>0.99999999999999989</v>
      </c>
      <c r="J144" s="303"/>
      <c r="K144" s="274"/>
      <c r="L144" s="3866">
        <f>P144/N144</f>
        <v>1.0937274199341627</v>
      </c>
      <c r="M144" s="3867">
        <f>Q144/O144</f>
        <v>0.70418587326108206</v>
      </c>
      <c r="N144" s="311">
        <f>SUM(N84:N143)</f>
        <v>913843.44899167423</v>
      </c>
      <c r="O144" s="311">
        <f>SUM(O84:O143)</f>
        <v>1419363.374986124</v>
      </c>
      <c r="P144" s="311">
        <f>SUM(P84:P143)</f>
        <v>999495.63768940035</v>
      </c>
      <c r="Q144" s="311">
        <f>SUM(Q84:Q143)</f>
        <v>999495.63768940035</v>
      </c>
      <c r="R144" s="307">
        <v>1.081</v>
      </c>
      <c r="S144" s="308">
        <f>SUM(S84:S143)</f>
        <v>484354.25</v>
      </c>
      <c r="T144" s="308">
        <f>SUM(T84:T143)</f>
        <v>406186.25</v>
      </c>
      <c r="U144" s="308">
        <f>SUM(U84:U143)</f>
        <v>890540.5</v>
      </c>
    </row>
  </sheetData>
  <customSheetViews>
    <customSheetView guid="{074EB09C-6289-46D7-9513-012B68BCA7BF}" showPageBreaks="1">
      <pageMargins left="0.7" right="0.7" top="0.75" bottom="0.75" header="0.3" footer="0.3"/>
      <pageSetup orientation="portrait" r:id="rId1"/>
    </customSheetView>
  </customSheetViews>
  <mergeCells count="15">
    <mergeCell ref="Q2:R2"/>
    <mergeCell ref="S2:U2"/>
    <mergeCell ref="V2:V3"/>
    <mergeCell ref="D9:E9"/>
    <mergeCell ref="I9:L9"/>
    <mergeCell ref="M9:N9"/>
    <mergeCell ref="B82:K82"/>
    <mergeCell ref="L82:R82"/>
    <mergeCell ref="S82:U82"/>
    <mergeCell ref="C10:F10"/>
    <mergeCell ref="I10:L10"/>
    <mergeCell ref="M10:O10"/>
    <mergeCell ref="P10:R10"/>
    <mergeCell ref="I11:K11"/>
    <mergeCell ref="D81:H81"/>
  </mergeCells>
  <hyperlinks>
    <hyperlink ref="C59" r:id="rId2"/>
    <hyperlink ref="E78" r:id="rId3"/>
  </hyperlinks>
  <pageMargins left="0.17" right="0.23" top="0.34" bottom="0.34" header="0.3" footer="0.3"/>
  <pageSetup paperSize="17" scale="38" orientation="landscape" r:id="rId4"/>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
  <sheetViews>
    <sheetView workbookViewId="0">
      <selection activeCell="K41" sqref="K41"/>
    </sheetView>
  </sheetViews>
  <sheetFormatPr defaultRowHeight="13.2" x14ac:dyDescent="0.25"/>
  <sheetData>
    <row r="1" spans="1:1" x14ac:dyDescent="0.25">
      <c r="A1" t="s">
        <v>128</v>
      </c>
    </row>
  </sheetData>
  <customSheetViews>
    <customSheetView guid="{074EB09C-6289-46D7-9513-012B68BCA7BF}" showPageBreaks="1">
      <selection activeCell="K41" sqref="K41"/>
      <pageMargins left="0.7" right="0.7" top="0.75" bottom="0.75" header="0.3" footer="0.3"/>
      <pageSetup orientation="portrait" r:id="rId1"/>
    </customSheetView>
  </customSheetView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4" sqref="A4"/>
    </sheetView>
  </sheetViews>
  <sheetFormatPr defaultRowHeight="13.2" x14ac:dyDescent="0.25"/>
  <cols>
    <col min="1" max="1" width="16.44140625" style="3369" customWidth="1"/>
    <col min="2" max="2" width="20.33203125" customWidth="1"/>
    <col min="3" max="3" width="30.88671875" customWidth="1"/>
    <col min="4" max="4" width="15.6640625" style="19" customWidth="1"/>
    <col min="5" max="5" width="15.6640625" customWidth="1"/>
    <col min="6" max="6" width="14.88671875" bestFit="1"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19" width="15.5546875" bestFit="1" customWidth="1"/>
    <col min="20"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1.44140625" bestFit="1" customWidth="1"/>
    <col min="262" max="262" width="14.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5" width="15.5546875" bestFit="1" customWidth="1"/>
    <col min="276"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1.44140625" bestFit="1" customWidth="1"/>
    <col min="518" max="518" width="14.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1" width="15.5546875" bestFit="1" customWidth="1"/>
    <col min="532"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1.44140625" bestFit="1" customWidth="1"/>
    <col min="774" max="774" width="14.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7" width="15.5546875" bestFit="1" customWidth="1"/>
    <col min="788"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1.44140625" bestFit="1" customWidth="1"/>
    <col min="1030" max="1030" width="14.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3" width="15.5546875" bestFit="1" customWidth="1"/>
    <col min="1044"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1.44140625" bestFit="1" customWidth="1"/>
    <col min="1286" max="1286" width="14.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299" width="15.5546875" bestFit="1" customWidth="1"/>
    <col min="1300"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1.44140625" bestFit="1" customWidth="1"/>
    <col min="1542" max="1542" width="14.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5" width="15.5546875" bestFit="1" customWidth="1"/>
    <col min="1556"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1.44140625" bestFit="1" customWidth="1"/>
    <col min="1798" max="1798" width="14.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1" width="15.5546875" bestFit="1" customWidth="1"/>
    <col min="1812"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1.44140625" bestFit="1" customWidth="1"/>
    <col min="2054" max="2054" width="14.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7" width="15.5546875" bestFit="1" customWidth="1"/>
    <col min="2068"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1.44140625" bestFit="1" customWidth="1"/>
    <col min="2310" max="2310" width="14.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3" width="15.5546875" bestFit="1" customWidth="1"/>
    <col min="2324"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1.44140625" bestFit="1" customWidth="1"/>
    <col min="2566" max="2566" width="14.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79" width="15.5546875" bestFit="1" customWidth="1"/>
    <col min="2580"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1.44140625" bestFit="1" customWidth="1"/>
    <col min="2822" max="2822" width="14.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5" width="15.5546875" bestFit="1" customWidth="1"/>
    <col min="2836"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1.44140625" bestFit="1" customWidth="1"/>
    <col min="3078" max="3078" width="14.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1" width="15.5546875" bestFit="1" customWidth="1"/>
    <col min="3092"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1.44140625" bestFit="1" customWidth="1"/>
    <col min="3334" max="3334" width="14.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7" width="15.5546875" bestFit="1" customWidth="1"/>
    <col min="3348"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1.44140625" bestFit="1" customWidth="1"/>
    <col min="3590" max="3590" width="14.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3" width="15.5546875" bestFit="1" customWidth="1"/>
    <col min="3604"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1.44140625" bestFit="1" customWidth="1"/>
    <col min="3846" max="3846" width="14.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59" width="15.5546875" bestFit="1" customWidth="1"/>
    <col min="3860"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1.44140625" bestFit="1" customWidth="1"/>
    <col min="4102" max="4102" width="14.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5" width="15.5546875" bestFit="1" customWidth="1"/>
    <col min="4116"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1.44140625" bestFit="1" customWidth="1"/>
    <col min="4358" max="4358" width="14.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1" width="15.5546875" bestFit="1" customWidth="1"/>
    <col min="4372"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1.44140625" bestFit="1" customWidth="1"/>
    <col min="4614" max="4614" width="14.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7" width="15.5546875" bestFit="1" customWidth="1"/>
    <col min="4628"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1.44140625" bestFit="1" customWidth="1"/>
    <col min="4870" max="4870" width="14.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3" width="15.5546875" bestFit="1" customWidth="1"/>
    <col min="4884"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1.44140625" bestFit="1" customWidth="1"/>
    <col min="5126" max="5126" width="14.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39" width="15.5546875" bestFit="1" customWidth="1"/>
    <col min="5140"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1.44140625" bestFit="1" customWidth="1"/>
    <col min="5382" max="5382" width="14.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5" width="15.5546875" bestFit="1" customWidth="1"/>
    <col min="5396"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1.44140625" bestFit="1" customWidth="1"/>
    <col min="5638" max="5638" width="14.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1" width="15.5546875" bestFit="1" customWidth="1"/>
    <col min="5652"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1.44140625" bestFit="1" customWidth="1"/>
    <col min="5894" max="5894" width="14.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7" width="15.5546875" bestFit="1" customWidth="1"/>
    <col min="5908"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1.44140625" bestFit="1" customWidth="1"/>
    <col min="6150" max="6150" width="14.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3" width="15.5546875" bestFit="1" customWidth="1"/>
    <col min="6164"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1.44140625" bestFit="1" customWidth="1"/>
    <col min="6406" max="6406" width="14.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19" width="15.5546875" bestFit="1" customWidth="1"/>
    <col min="6420"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1.44140625" bestFit="1" customWidth="1"/>
    <col min="6662" max="6662" width="14.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5" width="15.5546875" bestFit="1" customWidth="1"/>
    <col min="6676"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1.44140625" bestFit="1" customWidth="1"/>
    <col min="6918" max="6918" width="14.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1" width="15.5546875" bestFit="1" customWidth="1"/>
    <col min="6932"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1.44140625" bestFit="1" customWidth="1"/>
    <col min="7174" max="7174" width="14.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7" width="15.5546875" bestFit="1" customWidth="1"/>
    <col min="7188"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1.44140625" bestFit="1" customWidth="1"/>
    <col min="7430" max="7430" width="14.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3" width="15.5546875" bestFit="1" customWidth="1"/>
    <col min="7444"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1.44140625" bestFit="1" customWidth="1"/>
    <col min="7686" max="7686" width="14.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699" width="15.5546875" bestFit="1" customWidth="1"/>
    <col min="7700"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1.44140625" bestFit="1" customWidth="1"/>
    <col min="7942" max="7942" width="14.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5" width="15.5546875" bestFit="1" customWidth="1"/>
    <col min="7956"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1.44140625" bestFit="1" customWidth="1"/>
    <col min="8198" max="8198" width="14.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1" width="15.5546875" bestFit="1" customWidth="1"/>
    <col min="8212"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1.44140625" bestFit="1" customWidth="1"/>
    <col min="8454" max="8454" width="14.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7" width="15.5546875" bestFit="1" customWidth="1"/>
    <col min="8468"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1.44140625" bestFit="1" customWidth="1"/>
    <col min="8710" max="8710" width="14.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3" width="15.5546875" bestFit="1" customWidth="1"/>
    <col min="8724"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1.44140625" bestFit="1" customWidth="1"/>
    <col min="8966" max="8966" width="14.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79" width="15.5546875" bestFit="1" customWidth="1"/>
    <col min="8980"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1.44140625" bestFit="1" customWidth="1"/>
    <col min="9222" max="9222" width="14.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5" width="15.5546875" bestFit="1" customWidth="1"/>
    <col min="9236"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1.44140625" bestFit="1" customWidth="1"/>
    <col min="9478" max="9478" width="14.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1" width="15.5546875" bestFit="1" customWidth="1"/>
    <col min="9492"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1.44140625" bestFit="1" customWidth="1"/>
    <col min="9734" max="9734" width="14.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7" width="15.5546875" bestFit="1" customWidth="1"/>
    <col min="9748"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1.44140625" bestFit="1" customWidth="1"/>
    <col min="9990" max="9990" width="14.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3" width="15.5546875" bestFit="1" customWidth="1"/>
    <col min="10004"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1.44140625" bestFit="1" customWidth="1"/>
    <col min="10246" max="10246" width="14.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59" width="15.5546875" bestFit="1" customWidth="1"/>
    <col min="10260"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1.44140625" bestFit="1" customWidth="1"/>
    <col min="10502" max="10502" width="14.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5" width="15.5546875" bestFit="1" customWidth="1"/>
    <col min="10516"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1.44140625" bestFit="1" customWidth="1"/>
    <col min="10758" max="10758" width="14.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1" width="15.5546875" bestFit="1" customWidth="1"/>
    <col min="10772"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1.44140625" bestFit="1" customWidth="1"/>
    <col min="11014" max="11014" width="14.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7" width="15.5546875" bestFit="1" customWidth="1"/>
    <col min="11028"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1.44140625" bestFit="1" customWidth="1"/>
    <col min="11270" max="11270" width="14.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3" width="15.5546875" bestFit="1" customWidth="1"/>
    <col min="11284"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1.44140625" bestFit="1" customWidth="1"/>
    <col min="11526" max="11526" width="14.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39" width="15.5546875" bestFit="1" customWidth="1"/>
    <col min="11540"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1.44140625" bestFit="1" customWidth="1"/>
    <col min="11782" max="11782" width="14.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5" width="15.5546875" bestFit="1" customWidth="1"/>
    <col min="11796"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1.44140625" bestFit="1" customWidth="1"/>
    <col min="12038" max="12038" width="14.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1" width="15.5546875" bestFit="1" customWidth="1"/>
    <col min="12052"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1.44140625" bestFit="1" customWidth="1"/>
    <col min="12294" max="12294" width="14.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7" width="15.5546875" bestFit="1" customWidth="1"/>
    <col min="12308"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1.44140625" bestFit="1" customWidth="1"/>
    <col min="12550" max="12550" width="14.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3" width="15.5546875" bestFit="1" customWidth="1"/>
    <col min="12564"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1.44140625" bestFit="1" customWidth="1"/>
    <col min="12806" max="12806" width="14.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19" width="15.5546875" bestFit="1" customWidth="1"/>
    <col min="12820"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1.44140625" bestFit="1" customWidth="1"/>
    <col min="13062" max="13062" width="14.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5" width="15.5546875" bestFit="1" customWidth="1"/>
    <col min="13076"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1.44140625" bestFit="1" customWidth="1"/>
    <col min="13318" max="13318" width="14.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1" width="15.5546875" bestFit="1" customWidth="1"/>
    <col min="13332"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1.44140625" bestFit="1" customWidth="1"/>
    <col min="13574" max="13574" width="14.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7" width="15.5546875" bestFit="1" customWidth="1"/>
    <col min="13588"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1.44140625" bestFit="1" customWidth="1"/>
    <col min="13830" max="13830" width="14.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3" width="15.5546875" bestFit="1" customWidth="1"/>
    <col min="13844"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1.44140625" bestFit="1" customWidth="1"/>
    <col min="14086" max="14086" width="14.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099" width="15.5546875" bestFit="1" customWidth="1"/>
    <col min="14100"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1.44140625" bestFit="1" customWidth="1"/>
    <col min="14342" max="14342" width="14.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5" width="15.5546875" bestFit="1" customWidth="1"/>
    <col min="14356"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1.44140625" bestFit="1" customWidth="1"/>
    <col min="14598" max="14598" width="14.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1" width="15.5546875" bestFit="1" customWidth="1"/>
    <col min="14612"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1.44140625" bestFit="1" customWidth="1"/>
    <col min="14854" max="14854" width="14.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7" width="15.5546875" bestFit="1" customWidth="1"/>
    <col min="14868"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1.44140625" bestFit="1" customWidth="1"/>
    <col min="15110" max="15110" width="14.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3" width="15.5546875" bestFit="1" customWidth="1"/>
    <col min="15124"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1.44140625" bestFit="1" customWidth="1"/>
    <col min="15366" max="15366" width="14.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79" width="15.5546875" bestFit="1" customWidth="1"/>
    <col min="15380"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1.44140625" bestFit="1" customWidth="1"/>
    <col min="15622" max="15622" width="14.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5" width="15.5546875" bestFit="1" customWidth="1"/>
    <col min="15636"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1.44140625" bestFit="1" customWidth="1"/>
    <col min="15878" max="15878" width="14.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1" width="15.5546875" bestFit="1" customWidth="1"/>
    <col min="15892"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1.44140625" bestFit="1" customWidth="1"/>
    <col min="16134" max="16134" width="14.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7" width="15.5546875" bestFit="1" customWidth="1"/>
    <col min="16148"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4.25" customHeight="1" thickBot="1" x14ac:dyDescent="0.35">
      <c r="B1" s="3881"/>
      <c r="F1" s="202"/>
      <c r="G1" s="202">
        <f>C3</f>
        <v>18230635</v>
      </c>
      <c r="H1" s="202" t="str">
        <f>C4</f>
        <v>HomePrint - Gas</v>
      </c>
      <c r="I1" s="202"/>
    </row>
    <row r="2" spans="2:22" ht="16.2" thickBot="1" x14ac:dyDescent="0.35">
      <c r="B2" s="202" t="s">
        <v>131</v>
      </c>
      <c r="C2" s="203" t="s">
        <v>632</v>
      </c>
      <c r="G2" s="204" t="s">
        <v>8</v>
      </c>
      <c r="Q2" s="4765" t="s">
        <v>612</v>
      </c>
      <c r="R2" s="4765"/>
      <c r="S2" s="4762" t="s">
        <v>132</v>
      </c>
      <c r="T2" s="4763"/>
      <c r="U2" s="4764"/>
      <c r="V2" s="4766" t="s">
        <v>133</v>
      </c>
    </row>
    <row r="3" spans="2:22" ht="16.2" thickBot="1" x14ac:dyDescent="0.35">
      <c r="B3" s="203" t="s">
        <v>6</v>
      </c>
      <c r="C3" s="203">
        <v>18230635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633</v>
      </c>
      <c r="F4" s="202">
        <v>2011</v>
      </c>
      <c r="G4" s="210">
        <f>B12</f>
        <v>61117</v>
      </c>
      <c r="H4" s="211">
        <f>B17</f>
        <v>4612</v>
      </c>
      <c r="I4" s="211">
        <f>B22</f>
        <v>41409</v>
      </c>
      <c r="J4" s="211">
        <f>B27</f>
        <v>1440</v>
      </c>
      <c r="K4" s="211">
        <f>B32</f>
        <v>2040</v>
      </c>
      <c r="L4" s="211">
        <f>B37</f>
        <v>0</v>
      </c>
      <c r="M4" s="211">
        <f>B42</f>
        <v>0</v>
      </c>
      <c r="N4" s="211">
        <f>B47</f>
        <v>6565</v>
      </c>
      <c r="O4" s="211">
        <f>B52</f>
        <v>243821</v>
      </c>
      <c r="P4" s="211">
        <f>B53</f>
        <v>0</v>
      </c>
      <c r="Q4" s="213">
        <f>B54</f>
        <v>361004</v>
      </c>
      <c r="R4" s="372">
        <f>T54</f>
        <v>32700</v>
      </c>
      <c r="S4" s="331">
        <f>O4/Q4</f>
        <v>0.67539694851026577</v>
      </c>
      <c r="T4" s="331">
        <f>(J4+(H4*1.63))/Q4</f>
        <v>2.481291066026969E-2</v>
      </c>
      <c r="U4" s="331">
        <f>L4/Q4</f>
        <v>0</v>
      </c>
      <c r="V4" s="216">
        <f>Q4/R4</f>
        <v>11.039877675840978</v>
      </c>
    </row>
    <row r="5" spans="2:22" ht="16.2" thickBot="1" x14ac:dyDescent="0.35">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2" thickBot="1" x14ac:dyDescent="0.35">
      <c r="C6" s="202" t="s">
        <v>254</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2" thickBot="1" x14ac:dyDescent="0.35">
      <c r="C7" s="227" t="s">
        <v>255</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61117</v>
      </c>
      <c r="C12" s="244" t="s">
        <v>161</v>
      </c>
      <c r="D12" s="245">
        <f>SUM(D13:D16)</f>
        <v>0</v>
      </c>
      <c r="E12" s="245">
        <f>SUM(E13:E16)</f>
        <v>0</v>
      </c>
      <c r="F12" s="246">
        <f>D12+E12</f>
        <v>0</v>
      </c>
      <c r="H12" s="135"/>
      <c r="I12" s="247" t="str">
        <f t="shared" ref="I12:I53" si="1">C62</f>
        <v>Measure 1</v>
      </c>
      <c r="J12" s="248"/>
      <c r="K12" s="249"/>
      <c r="L12" s="380">
        <f t="shared" ref="L12:L53" si="2">D62</f>
        <v>0</v>
      </c>
      <c r="M12" s="267">
        <v>0</v>
      </c>
      <c r="N12" s="267">
        <v>0</v>
      </c>
      <c r="O12" s="252">
        <f>M12+N12</f>
        <v>0</v>
      </c>
      <c r="P12" s="381">
        <f t="shared" ref="P12:R27" si="3">M12*$D62</f>
        <v>0</v>
      </c>
      <c r="Q12" s="381">
        <f t="shared" si="3"/>
        <v>0</v>
      </c>
      <c r="R12" s="382">
        <f t="shared" si="3"/>
        <v>0</v>
      </c>
      <c r="T12" s="267">
        <v>32700</v>
      </c>
    </row>
    <row r="13" spans="2:22" ht="13.8" x14ac:dyDescent="0.3">
      <c r="B13" s="256"/>
      <c r="C13" s="257" t="s">
        <v>162</v>
      </c>
      <c r="D13" s="258">
        <v>0</v>
      </c>
      <c r="E13" s="258"/>
      <c r="F13" s="258">
        <f>SUM(D13:E13)</f>
        <v>0</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row>
    <row r="14" spans="2:22" ht="13.8" x14ac:dyDescent="0.3">
      <c r="B14" s="264"/>
      <c r="C14" s="265" t="s">
        <v>163</v>
      </c>
      <c r="D14" s="266">
        <v>0</v>
      </c>
      <c r="E14" s="266"/>
      <c r="F14" s="258">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ht="13.8" x14ac:dyDescent="0.3">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4.4" thickBot="1" x14ac:dyDescent="0.35">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4.4" thickBot="1" x14ac:dyDescent="0.35">
      <c r="B17" s="272">
        <v>4612</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257" t="s">
        <v>162</v>
      </c>
      <c r="D18" s="258">
        <v>0</v>
      </c>
      <c r="E18" s="258"/>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41409</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1440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258">
        <v>0</v>
      </c>
      <c r="E28" s="258"/>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2040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0</v>
      </c>
      <c r="E33" s="266"/>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266">
        <v>0</v>
      </c>
      <c r="E38" s="266"/>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0</v>
      </c>
      <c r="E43" s="266"/>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6565</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0</v>
      </c>
      <c r="E48" s="266"/>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243821</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361004</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32700</v>
      </c>
    </row>
    <row r="55" spans="2:24" ht="13.8" x14ac:dyDescent="0.3">
      <c r="C55" s="274"/>
      <c r="D55" s="273"/>
      <c r="E55" s="273"/>
      <c r="F55" s="273"/>
    </row>
    <row r="56" spans="2:24" ht="13.8" x14ac:dyDescent="0.3">
      <c r="C56" s="274" t="s">
        <v>179</v>
      </c>
      <c r="D56" s="273">
        <f>D54-D52</f>
        <v>0</v>
      </c>
      <c r="E56" s="273">
        <f>E54-E52</f>
        <v>0</v>
      </c>
      <c r="F56" s="273">
        <f>F54-F52</f>
        <v>0</v>
      </c>
    </row>
    <row r="57" spans="2:24" ht="13.8" x14ac:dyDescent="0.3">
      <c r="C57" s="274" t="s">
        <v>180</v>
      </c>
      <c r="D57" s="276">
        <f>D52</f>
        <v>0</v>
      </c>
      <c r="E57" s="276">
        <f>E52</f>
        <v>0</v>
      </c>
      <c r="F57" s="276">
        <f>F52</f>
        <v>0</v>
      </c>
      <c r="G57" s="335" t="e">
        <f>F57/(F56+F57)</f>
        <v>#DIV/0!</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96" t="s">
        <v>409</v>
      </c>
      <c r="D62" s="267">
        <v>0</v>
      </c>
      <c r="E62" s="267" t="s">
        <v>617</v>
      </c>
      <c r="F62" s="296" t="s">
        <v>211</v>
      </c>
      <c r="G62" s="297"/>
      <c r="H62" s="297"/>
      <c r="I62" s="326">
        <v>0</v>
      </c>
      <c r="J62" s="267"/>
      <c r="K62" s="267"/>
      <c r="L62" s="3865" t="e">
        <f>P62/N62</f>
        <v>#DIV/0!</v>
      </c>
      <c r="M62" s="3865" t="e">
        <f>Q62/O62</f>
        <v>#DIV/0!</v>
      </c>
      <c r="N62" s="218">
        <f>(($I62*$F$56)+$U62)/$R62</f>
        <v>0</v>
      </c>
      <c r="O62" s="218">
        <f>(($I62*$F$56)+($G62*$O12))/$R62</f>
        <v>0</v>
      </c>
      <c r="P62" s="218">
        <f>IF(K62=0, 0, (HLOOKUP(K62,'[1]G-CESTDWO'!$A$5:$G$35,J62+1,FALSE)*R12))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ht="13.8" x14ac:dyDescent="0.3">
      <c r="B63" s="296"/>
      <c r="C63" s="296" t="s">
        <v>410</v>
      </c>
      <c r="D63" s="296">
        <v>0</v>
      </c>
      <c r="E63" s="296" t="s">
        <v>617</v>
      </c>
      <c r="F63" s="296" t="s">
        <v>211</v>
      </c>
      <c r="G63" s="297"/>
      <c r="H63" s="297"/>
      <c r="I63" s="326">
        <v>0</v>
      </c>
      <c r="J63" s="267"/>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ht="13.8" x14ac:dyDescent="0.3">
      <c r="B64" s="296"/>
      <c r="C64" s="296" t="s">
        <v>411</v>
      </c>
      <c r="D64" s="267">
        <v>0</v>
      </c>
      <c r="E64" s="296" t="s">
        <v>617</v>
      </c>
      <c r="F64" s="296" t="s">
        <v>211</v>
      </c>
      <c r="G64" s="297"/>
      <c r="H64" s="297"/>
      <c r="I64" s="326">
        <v>0</v>
      </c>
      <c r="J64" s="267"/>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0</v>
      </c>
      <c r="H104" s="301">
        <f>U104</f>
        <v>0</v>
      </c>
      <c r="I104" s="302">
        <f>SUM(I62:I103)</f>
        <v>0</v>
      </c>
      <c r="J104" s="303" t="e">
        <f>ROUND(SUMPRODUCT(J62:J103,R12:R53)/R54,0)</f>
        <v>#DIV/0!</v>
      </c>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17" top="0.34" bottom="0.3" header="0.3" footer="0.3"/>
  <pageSetup paperSize="17" scale="53"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5" sqref="A5"/>
    </sheetView>
  </sheetViews>
  <sheetFormatPr defaultRowHeight="13.2" x14ac:dyDescent="0.25"/>
  <cols>
    <col min="1" max="1" width="15.6640625" style="3369" customWidth="1"/>
    <col min="2" max="2" width="19.33203125" customWidth="1"/>
    <col min="3" max="3" width="31.44140625" customWidth="1"/>
    <col min="4" max="4" width="15.88671875" style="19" customWidth="1"/>
    <col min="5" max="5" width="15.88671875" customWidth="1"/>
    <col min="6" max="6" width="17.6640625" bestFit="1"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9.6640625" bestFit="1" customWidth="1"/>
    <col min="17" max="17" width="16.109375" customWidth="1"/>
    <col min="18" max="18" width="16.6640625" bestFit="1" customWidth="1"/>
    <col min="19" max="19" width="15.5546875" bestFit="1" customWidth="1"/>
    <col min="20"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2.44140625" bestFit="1" customWidth="1"/>
    <col min="262" max="262" width="17.664062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9.6640625" bestFit="1" customWidth="1"/>
    <col min="273" max="273" width="16.109375" customWidth="1"/>
    <col min="274" max="274" width="16.6640625" bestFit="1" customWidth="1"/>
    <col min="275" max="275" width="15.5546875" bestFit="1" customWidth="1"/>
    <col min="276"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2.44140625" bestFit="1" customWidth="1"/>
    <col min="518" max="518" width="17.664062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9.6640625" bestFit="1" customWidth="1"/>
    <col min="529" max="529" width="16.109375" customWidth="1"/>
    <col min="530" max="530" width="16.6640625" bestFit="1" customWidth="1"/>
    <col min="531" max="531" width="15.5546875" bestFit="1" customWidth="1"/>
    <col min="532"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2.44140625" bestFit="1" customWidth="1"/>
    <col min="774" max="774" width="17.664062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9.6640625" bestFit="1" customWidth="1"/>
    <col min="785" max="785" width="16.109375" customWidth="1"/>
    <col min="786" max="786" width="16.6640625" bestFit="1" customWidth="1"/>
    <col min="787" max="787" width="15.5546875" bestFit="1" customWidth="1"/>
    <col min="788"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2.44140625" bestFit="1" customWidth="1"/>
    <col min="1030" max="1030" width="17.664062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9.6640625" bestFit="1" customWidth="1"/>
    <col min="1041" max="1041" width="16.109375" customWidth="1"/>
    <col min="1042" max="1042" width="16.6640625" bestFit="1" customWidth="1"/>
    <col min="1043" max="1043" width="15.5546875" bestFit="1" customWidth="1"/>
    <col min="1044"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2.44140625" bestFit="1" customWidth="1"/>
    <col min="1286" max="1286" width="17.664062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9.6640625" bestFit="1" customWidth="1"/>
    <col min="1297" max="1297" width="16.109375" customWidth="1"/>
    <col min="1298" max="1298" width="16.6640625" bestFit="1" customWidth="1"/>
    <col min="1299" max="1299" width="15.5546875" bestFit="1" customWidth="1"/>
    <col min="1300"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2.44140625" bestFit="1" customWidth="1"/>
    <col min="1542" max="1542" width="17.664062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9.6640625" bestFit="1" customWidth="1"/>
    <col min="1553" max="1553" width="16.109375" customWidth="1"/>
    <col min="1554" max="1554" width="16.6640625" bestFit="1" customWidth="1"/>
    <col min="1555" max="1555" width="15.5546875" bestFit="1" customWidth="1"/>
    <col min="1556"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2.44140625" bestFit="1" customWidth="1"/>
    <col min="1798" max="1798" width="17.664062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9.6640625" bestFit="1" customWidth="1"/>
    <col min="1809" max="1809" width="16.109375" customWidth="1"/>
    <col min="1810" max="1810" width="16.6640625" bestFit="1" customWidth="1"/>
    <col min="1811" max="1811" width="15.5546875" bestFit="1" customWidth="1"/>
    <col min="1812"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2.44140625" bestFit="1" customWidth="1"/>
    <col min="2054" max="2054" width="17.664062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9.6640625" bestFit="1" customWidth="1"/>
    <col min="2065" max="2065" width="16.109375" customWidth="1"/>
    <col min="2066" max="2066" width="16.6640625" bestFit="1" customWidth="1"/>
    <col min="2067" max="2067" width="15.5546875" bestFit="1" customWidth="1"/>
    <col min="2068"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2.44140625" bestFit="1" customWidth="1"/>
    <col min="2310" max="2310" width="17.664062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9.6640625" bestFit="1" customWidth="1"/>
    <col min="2321" max="2321" width="16.109375" customWidth="1"/>
    <col min="2322" max="2322" width="16.6640625" bestFit="1" customWidth="1"/>
    <col min="2323" max="2323" width="15.5546875" bestFit="1" customWidth="1"/>
    <col min="2324"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2.44140625" bestFit="1" customWidth="1"/>
    <col min="2566" max="2566" width="17.664062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9.6640625" bestFit="1" customWidth="1"/>
    <col min="2577" max="2577" width="16.109375" customWidth="1"/>
    <col min="2578" max="2578" width="16.6640625" bestFit="1" customWidth="1"/>
    <col min="2579" max="2579" width="15.5546875" bestFit="1" customWidth="1"/>
    <col min="2580"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2.44140625" bestFit="1" customWidth="1"/>
    <col min="2822" max="2822" width="17.664062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9.6640625" bestFit="1" customWidth="1"/>
    <col min="2833" max="2833" width="16.109375" customWidth="1"/>
    <col min="2834" max="2834" width="16.6640625" bestFit="1" customWidth="1"/>
    <col min="2835" max="2835" width="15.5546875" bestFit="1" customWidth="1"/>
    <col min="2836"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2.44140625" bestFit="1" customWidth="1"/>
    <col min="3078" max="3078" width="17.664062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9.6640625" bestFit="1" customWidth="1"/>
    <col min="3089" max="3089" width="16.109375" customWidth="1"/>
    <col min="3090" max="3090" width="16.6640625" bestFit="1" customWidth="1"/>
    <col min="3091" max="3091" width="15.5546875" bestFit="1" customWidth="1"/>
    <col min="3092"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2.44140625" bestFit="1" customWidth="1"/>
    <col min="3334" max="3334" width="17.664062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9.6640625" bestFit="1" customWidth="1"/>
    <col min="3345" max="3345" width="16.109375" customWidth="1"/>
    <col min="3346" max="3346" width="16.6640625" bestFit="1" customWidth="1"/>
    <col min="3347" max="3347" width="15.5546875" bestFit="1" customWidth="1"/>
    <col min="3348"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2.44140625" bestFit="1" customWidth="1"/>
    <col min="3590" max="3590" width="17.664062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9.6640625" bestFit="1" customWidth="1"/>
    <col min="3601" max="3601" width="16.109375" customWidth="1"/>
    <col min="3602" max="3602" width="16.6640625" bestFit="1" customWidth="1"/>
    <col min="3603" max="3603" width="15.5546875" bestFit="1" customWidth="1"/>
    <col min="3604"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2.44140625" bestFit="1" customWidth="1"/>
    <col min="3846" max="3846" width="17.664062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9.6640625" bestFit="1" customWidth="1"/>
    <col min="3857" max="3857" width="16.109375" customWidth="1"/>
    <col min="3858" max="3858" width="16.6640625" bestFit="1" customWidth="1"/>
    <col min="3859" max="3859" width="15.5546875" bestFit="1" customWidth="1"/>
    <col min="3860"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2.44140625" bestFit="1" customWidth="1"/>
    <col min="4102" max="4102" width="17.664062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9.6640625" bestFit="1" customWidth="1"/>
    <col min="4113" max="4113" width="16.109375" customWidth="1"/>
    <col min="4114" max="4114" width="16.6640625" bestFit="1" customWidth="1"/>
    <col min="4115" max="4115" width="15.5546875" bestFit="1" customWidth="1"/>
    <col min="4116"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2.44140625" bestFit="1" customWidth="1"/>
    <col min="4358" max="4358" width="17.664062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9.6640625" bestFit="1" customWidth="1"/>
    <col min="4369" max="4369" width="16.109375" customWidth="1"/>
    <col min="4370" max="4370" width="16.6640625" bestFit="1" customWidth="1"/>
    <col min="4371" max="4371" width="15.5546875" bestFit="1" customWidth="1"/>
    <col min="4372"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2.44140625" bestFit="1" customWidth="1"/>
    <col min="4614" max="4614" width="17.664062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9.6640625" bestFit="1" customWidth="1"/>
    <col min="4625" max="4625" width="16.109375" customWidth="1"/>
    <col min="4626" max="4626" width="16.6640625" bestFit="1" customWidth="1"/>
    <col min="4627" max="4627" width="15.5546875" bestFit="1" customWidth="1"/>
    <col min="4628"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2.44140625" bestFit="1" customWidth="1"/>
    <col min="4870" max="4870" width="17.664062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9.6640625" bestFit="1" customWidth="1"/>
    <col min="4881" max="4881" width="16.109375" customWidth="1"/>
    <col min="4882" max="4882" width="16.6640625" bestFit="1" customWidth="1"/>
    <col min="4883" max="4883" width="15.5546875" bestFit="1" customWidth="1"/>
    <col min="4884"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2.44140625" bestFit="1" customWidth="1"/>
    <col min="5126" max="5126" width="17.664062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9.6640625" bestFit="1" customWidth="1"/>
    <col min="5137" max="5137" width="16.109375" customWidth="1"/>
    <col min="5138" max="5138" width="16.6640625" bestFit="1" customWidth="1"/>
    <col min="5139" max="5139" width="15.5546875" bestFit="1" customWidth="1"/>
    <col min="5140"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2.44140625" bestFit="1" customWidth="1"/>
    <col min="5382" max="5382" width="17.664062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9.6640625" bestFit="1" customWidth="1"/>
    <col min="5393" max="5393" width="16.109375" customWidth="1"/>
    <col min="5394" max="5394" width="16.6640625" bestFit="1" customWidth="1"/>
    <col min="5395" max="5395" width="15.5546875" bestFit="1" customWidth="1"/>
    <col min="5396"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2.44140625" bestFit="1" customWidth="1"/>
    <col min="5638" max="5638" width="17.664062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9.6640625" bestFit="1" customWidth="1"/>
    <col min="5649" max="5649" width="16.109375" customWidth="1"/>
    <col min="5650" max="5650" width="16.6640625" bestFit="1" customWidth="1"/>
    <col min="5651" max="5651" width="15.5546875" bestFit="1" customWidth="1"/>
    <col min="5652"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2.44140625" bestFit="1" customWidth="1"/>
    <col min="5894" max="5894" width="17.664062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9.6640625" bestFit="1" customWidth="1"/>
    <col min="5905" max="5905" width="16.109375" customWidth="1"/>
    <col min="5906" max="5906" width="16.6640625" bestFit="1" customWidth="1"/>
    <col min="5907" max="5907" width="15.5546875" bestFit="1" customWidth="1"/>
    <col min="5908"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2.44140625" bestFit="1" customWidth="1"/>
    <col min="6150" max="6150" width="17.664062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9.6640625" bestFit="1" customWidth="1"/>
    <col min="6161" max="6161" width="16.109375" customWidth="1"/>
    <col min="6162" max="6162" width="16.6640625" bestFit="1" customWidth="1"/>
    <col min="6163" max="6163" width="15.5546875" bestFit="1" customWidth="1"/>
    <col min="6164"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2.44140625" bestFit="1" customWidth="1"/>
    <col min="6406" max="6406" width="17.664062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9.6640625" bestFit="1" customWidth="1"/>
    <col min="6417" max="6417" width="16.109375" customWidth="1"/>
    <col min="6418" max="6418" width="16.6640625" bestFit="1" customWidth="1"/>
    <col min="6419" max="6419" width="15.5546875" bestFit="1" customWidth="1"/>
    <col min="6420"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2.44140625" bestFit="1" customWidth="1"/>
    <col min="6662" max="6662" width="17.664062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9.6640625" bestFit="1" customWidth="1"/>
    <col min="6673" max="6673" width="16.109375" customWidth="1"/>
    <col min="6674" max="6674" width="16.6640625" bestFit="1" customWidth="1"/>
    <col min="6675" max="6675" width="15.5546875" bestFit="1" customWidth="1"/>
    <col min="6676"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2.44140625" bestFit="1" customWidth="1"/>
    <col min="6918" max="6918" width="17.664062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9.6640625" bestFit="1" customWidth="1"/>
    <col min="6929" max="6929" width="16.109375" customWidth="1"/>
    <col min="6930" max="6930" width="16.6640625" bestFit="1" customWidth="1"/>
    <col min="6931" max="6931" width="15.5546875" bestFit="1" customWidth="1"/>
    <col min="6932"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2.44140625" bestFit="1" customWidth="1"/>
    <col min="7174" max="7174" width="17.664062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9.6640625" bestFit="1" customWidth="1"/>
    <col min="7185" max="7185" width="16.109375" customWidth="1"/>
    <col min="7186" max="7186" width="16.6640625" bestFit="1" customWidth="1"/>
    <col min="7187" max="7187" width="15.5546875" bestFit="1" customWidth="1"/>
    <col min="7188"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2.44140625" bestFit="1" customWidth="1"/>
    <col min="7430" max="7430" width="17.664062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9.6640625" bestFit="1" customWidth="1"/>
    <col min="7441" max="7441" width="16.109375" customWidth="1"/>
    <col min="7442" max="7442" width="16.6640625" bestFit="1" customWidth="1"/>
    <col min="7443" max="7443" width="15.5546875" bestFit="1" customWidth="1"/>
    <col min="7444"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2.44140625" bestFit="1" customWidth="1"/>
    <col min="7686" max="7686" width="17.664062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9.6640625" bestFit="1" customWidth="1"/>
    <col min="7697" max="7697" width="16.109375" customWidth="1"/>
    <col min="7698" max="7698" width="16.6640625" bestFit="1" customWidth="1"/>
    <col min="7699" max="7699" width="15.5546875" bestFit="1" customWidth="1"/>
    <col min="7700"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2.44140625" bestFit="1" customWidth="1"/>
    <col min="7942" max="7942" width="17.664062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9.6640625" bestFit="1" customWidth="1"/>
    <col min="7953" max="7953" width="16.109375" customWidth="1"/>
    <col min="7954" max="7954" width="16.6640625" bestFit="1" customWidth="1"/>
    <col min="7955" max="7955" width="15.5546875" bestFit="1" customWidth="1"/>
    <col min="7956"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2.44140625" bestFit="1" customWidth="1"/>
    <col min="8198" max="8198" width="17.664062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9.6640625" bestFit="1" customWidth="1"/>
    <col min="8209" max="8209" width="16.109375" customWidth="1"/>
    <col min="8210" max="8210" width="16.6640625" bestFit="1" customWidth="1"/>
    <col min="8211" max="8211" width="15.5546875" bestFit="1" customWidth="1"/>
    <col min="8212"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2.44140625" bestFit="1" customWidth="1"/>
    <col min="8454" max="8454" width="17.664062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9.6640625" bestFit="1" customWidth="1"/>
    <col min="8465" max="8465" width="16.109375" customWidth="1"/>
    <col min="8466" max="8466" width="16.6640625" bestFit="1" customWidth="1"/>
    <col min="8467" max="8467" width="15.5546875" bestFit="1" customWidth="1"/>
    <col min="8468"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2.44140625" bestFit="1" customWidth="1"/>
    <col min="8710" max="8710" width="17.664062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9.6640625" bestFit="1" customWidth="1"/>
    <col min="8721" max="8721" width="16.109375" customWidth="1"/>
    <col min="8722" max="8722" width="16.6640625" bestFit="1" customWidth="1"/>
    <col min="8723" max="8723" width="15.5546875" bestFit="1" customWidth="1"/>
    <col min="8724"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2.44140625" bestFit="1" customWidth="1"/>
    <col min="8966" max="8966" width="17.664062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9.6640625" bestFit="1" customWidth="1"/>
    <col min="8977" max="8977" width="16.109375" customWidth="1"/>
    <col min="8978" max="8978" width="16.6640625" bestFit="1" customWidth="1"/>
    <col min="8979" max="8979" width="15.5546875" bestFit="1" customWidth="1"/>
    <col min="8980"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2.44140625" bestFit="1" customWidth="1"/>
    <col min="9222" max="9222" width="17.664062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9.6640625" bestFit="1" customWidth="1"/>
    <col min="9233" max="9233" width="16.109375" customWidth="1"/>
    <col min="9234" max="9234" width="16.6640625" bestFit="1" customWidth="1"/>
    <col min="9235" max="9235" width="15.5546875" bestFit="1" customWidth="1"/>
    <col min="9236"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2.44140625" bestFit="1" customWidth="1"/>
    <col min="9478" max="9478" width="17.664062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9.6640625" bestFit="1" customWidth="1"/>
    <col min="9489" max="9489" width="16.109375" customWidth="1"/>
    <col min="9490" max="9490" width="16.6640625" bestFit="1" customWidth="1"/>
    <col min="9491" max="9491" width="15.5546875" bestFit="1" customWidth="1"/>
    <col min="9492"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2.44140625" bestFit="1" customWidth="1"/>
    <col min="9734" max="9734" width="17.664062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9.6640625" bestFit="1" customWidth="1"/>
    <col min="9745" max="9745" width="16.109375" customWidth="1"/>
    <col min="9746" max="9746" width="16.6640625" bestFit="1" customWidth="1"/>
    <col min="9747" max="9747" width="15.5546875" bestFit="1" customWidth="1"/>
    <col min="9748"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2.44140625" bestFit="1" customWidth="1"/>
    <col min="9990" max="9990" width="17.664062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9.6640625" bestFit="1" customWidth="1"/>
    <col min="10001" max="10001" width="16.109375" customWidth="1"/>
    <col min="10002" max="10002" width="16.6640625" bestFit="1" customWidth="1"/>
    <col min="10003" max="10003" width="15.5546875" bestFit="1" customWidth="1"/>
    <col min="10004"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2.44140625" bestFit="1" customWidth="1"/>
    <col min="10246" max="10246" width="17.664062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9.6640625" bestFit="1" customWidth="1"/>
    <col min="10257" max="10257" width="16.109375" customWidth="1"/>
    <col min="10258" max="10258" width="16.6640625" bestFit="1" customWidth="1"/>
    <col min="10259" max="10259" width="15.5546875" bestFit="1" customWidth="1"/>
    <col min="10260"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2.44140625" bestFit="1" customWidth="1"/>
    <col min="10502" max="10502" width="17.664062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9.6640625" bestFit="1" customWidth="1"/>
    <col min="10513" max="10513" width="16.109375" customWidth="1"/>
    <col min="10514" max="10514" width="16.6640625" bestFit="1" customWidth="1"/>
    <col min="10515" max="10515" width="15.5546875" bestFit="1" customWidth="1"/>
    <col min="10516"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2.44140625" bestFit="1" customWidth="1"/>
    <col min="10758" max="10758" width="17.664062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9.6640625" bestFit="1" customWidth="1"/>
    <col min="10769" max="10769" width="16.109375" customWidth="1"/>
    <col min="10770" max="10770" width="16.6640625" bestFit="1" customWidth="1"/>
    <col min="10771" max="10771" width="15.5546875" bestFit="1" customWidth="1"/>
    <col min="10772"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2.44140625" bestFit="1" customWidth="1"/>
    <col min="11014" max="11014" width="17.664062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9.6640625" bestFit="1" customWidth="1"/>
    <col min="11025" max="11025" width="16.109375" customWidth="1"/>
    <col min="11026" max="11026" width="16.6640625" bestFit="1" customWidth="1"/>
    <col min="11027" max="11027" width="15.5546875" bestFit="1" customWidth="1"/>
    <col min="11028"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2.44140625" bestFit="1" customWidth="1"/>
    <col min="11270" max="11270" width="17.664062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9.6640625" bestFit="1" customWidth="1"/>
    <col min="11281" max="11281" width="16.109375" customWidth="1"/>
    <col min="11282" max="11282" width="16.6640625" bestFit="1" customWidth="1"/>
    <col min="11283" max="11283" width="15.5546875" bestFit="1" customWidth="1"/>
    <col min="11284"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2.44140625" bestFit="1" customWidth="1"/>
    <col min="11526" max="11526" width="17.664062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9.6640625" bestFit="1" customWidth="1"/>
    <col min="11537" max="11537" width="16.109375" customWidth="1"/>
    <col min="11538" max="11538" width="16.6640625" bestFit="1" customWidth="1"/>
    <col min="11539" max="11539" width="15.5546875" bestFit="1" customWidth="1"/>
    <col min="11540"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2.44140625" bestFit="1" customWidth="1"/>
    <col min="11782" max="11782" width="17.664062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9.6640625" bestFit="1" customWidth="1"/>
    <col min="11793" max="11793" width="16.109375" customWidth="1"/>
    <col min="11794" max="11794" width="16.6640625" bestFit="1" customWidth="1"/>
    <col min="11795" max="11795" width="15.5546875" bestFit="1" customWidth="1"/>
    <col min="11796"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2.44140625" bestFit="1" customWidth="1"/>
    <col min="12038" max="12038" width="17.664062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9.6640625" bestFit="1" customWidth="1"/>
    <col min="12049" max="12049" width="16.109375" customWidth="1"/>
    <col min="12050" max="12050" width="16.6640625" bestFit="1" customWidth="1"/>
    <col min="12051" max="12051" width="15.5546875" bestFit="1" customWidth="1"/>
    <col min="12052"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2.44140625" bestFit="1" customWidth="1"/>
    <col min="12294" max="12294" width="17.664062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9.6640625" bestFit="1" customWidth="1"/>
    <col min="12305" max="12305" width="16.109375" customWidth="1"/>
    <col min="12306" max="12306" width="16.6640625" bestFit="1" customWidth="1"/>
    <col min="12307" max="12307" width="15.5546875" bestFit="1" customWidth="1"/>
    <col min="12308"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2.44140625" bestFit="1" customWidth="1"/>
    <col min="12550" max="12550" width="17.664062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9.6640625" bestFit="1" customWidth="1"/>
    <col min="12561" max="12561" width="16.109375" customWidth="1"/>
    <col min="12562" max="12562" width="16.6640625" bestFit="1" customWidth="1"/>
    <col min="12563" max="12563" width="15.5546875" bestFit="1" customWidth="1"/>
    <col min="12564"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2.44140625" bestFit="1" customWidth="1"/>
    <col min="12806" max="12806" width="17.664062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9.6640625" bestFit="1" customWidth="1"/>
    <col min="12817" max="12817" width="16.109375" customWidth="1"/>
    <col min="12818" max="12818" width="16.6640625" bestFit="1" customWidth="1"/>
    <col min="12819" max="12819" width="15.5546875" bestFit="1" customWidth="1"/>
    <col min="12820"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2.44140625" bestFit="1" customWidth="1"/>
    <col min="13062" max="13062" width="17.664062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9.6640625" bestFit="1" customWidth="1"/>
    <col min="13073" max="13073" width="16.109375" customWidth="1"/>
    <col min="13074" max="13074" width="16.6640625" bestFit="1" customWidth="1"/>
    <col min="13075" max="13075" width="15.5546875" bestFit="1" customWidth="1"/>
    <col min="13076"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2.44140625" bestFit="1" customWidth="1"/>
    <col min="13318" max="13318" width="17.664062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9.6640625" bestFit="1" customWidth="1"/>
    <col min="13329" max="13329" width="16.109375" customWidth="1"/>
    <col min="13330" max="13330" width="16.6640625" bestFit="1" customWidth="1"/>
    <col min="13331" max="13331" width="15.5546875" bestFit="1" customWidth="1"/>
    <col min="13332"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2.44140625" bestFit="1" customWidth="1"/>
    <col min="13574" max="13574" width="17.664062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9.6640625" bestFit="1" customWidth="1"/>
    <col min="13585" max="13585" width="16.109375" customWidth="1"/>
    <col min="13586" max="13586" width="16.6640625" bestFit="1" customWidth="1"/>
    <col min="13587" max="13587" width="15.5546875" bestFit="1" customWidth="1"/>
    <col min="13588"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2.44140625" bestFit="1" customWidth="1"/>
    <col min="13830" max="13830" width="17.664062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9.6640625" bestFit="1" customWidth="1"/>
    <col min="13841" max="13841" width="16.109375" customWidth="1"/>
    <col min="13842" max="13842" width="16.6640625" bestFit="1" customWidth="1"/>
    <col min="13843" max="13843" width="15.5546875" bestFit="1" customWidth="1"/>
    <col min="13844"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2.44140625" bestFit="1" customWidth="1"/>
    <col min="14086" max="14086" width="17.664062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9.6640625" bestFit="1" customWidth="1"/>
    <col min="14097" max="14097" width="16.109375" customWidth="1"/>
    <col min="14098" max="14098" width="16.6640625" bestFit="1" customWidth="1"/>
    <col min="14099" max="14099" width="15.5546875" bestFit="1" customWidth="1"/>
    <col min="14100"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2.44140625" bestFit="1" customWidth="1"/>
    <col min="14342" max="14342" width="17.664062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9.6640625" bestFit="1" customWidth="1"/>
    <col min="14353" max="14353" width="16.109375" customWidth="1"/>
    <col min="14354" max="14354" width="16.6640625" bestFit="1" customWidth="1"/>
    <col min="14355" max="14355" width="15.5546875" bestFit="1" customWidth="1"/>
    <col min="14356"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2.44140625" bestFit="1" customWidth="1"/>
    <col min="14598" max="14598" width="17.664062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9.6640625" bestFit="1" customWidth="1"/>
    <col min="14609" max="14609" width="16.109375" customWidth="1"/>
    <col min="14610" max="14610" width="16.6640625" bestFit="1" customWidth="1"/>
    <col min="14611" max="14611" width="15.5546875" bestFit="1" customWidth="1"/>
    <col min="14612"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2.44140625" bestFit="1" customWidth="1"/>
    <col min="14854" max="14854" width="17.664062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9.6640625" bestFit="1" customWidth="1"/>
    <col min="14865" max="14865" width="16.109375" customWidth="1"/>
    <col min="14866" max="14866" width="16.6640625" bestFit="1" customWidth="1"/>
    <col min="14867" max="14867" width="15.5546875" bestFit="1" customWidth="1"/>
    <col min="14868"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2.44140625" bestFit="1" customWidth="1"/>
    <col min="15110" max="15110" width="17.664062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9.6640625" bestFit="1" customWidth="1"/>
    <col min="15121" max="15121" width="16.109375" customWidth="1"/>
    <col min="15122" max="15122" width="16.6640625" bestFit="1" customWidth="1"/>
    <col min="15123" max="15123" width="15.5546875" bestFit="1" customWidth="1"/>
    <col min="15124"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2.44140625" bestFit="1" customWidth="1"/>
    <col min="15366" max="15366" width="17.664062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9.6640625" bestFit="1" customWidth="1"/>
    <col min="15377" max="15377" width="16.109375" customWidth="1"/>
    <col min="15378" max="15378" width="16.6640625" bestFit="1" customWidth="1"/>
    <col min="15379" max="15379" width="15.5546875" bestFit="1" customWidth="1"/>
    <col min="15380"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2.44140625" bestFit="1" customWidth="1"/>
    <col min="15622" max="15622" width="17.664062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9.6640625" bestFit="1" customWidth="1"/>
    <col min="15633" max="15633" width="16.109375" customWidth="1"/>
    <col min="15634" max="15634" width="16.6640625" bestFit="1" customWidth="1"/>
    <col min="15635" max="15635" width="15.5546875" bestFit="1" customWidth="1"/>
    <col min="15636"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2.44140625" bestFit="1" customWidth="1"/>
    <col min="15878" max="15878" width="17.664062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9.6640625" bestFit="1" customWidth="1"/>
    <col min="15889" max="15889" width="16.109375" customWidth="1"/>
    <col min="15890" max="15890" width="16.6640625" bestFit="1" customWidth="1"/>
    <col min="15891" max="15891" width="15.5546875" bestFit="1" customWidth="1"/>
    <col min="15892"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2.44140625" bestFit="1" customWidth="1"/>
    <col min="16134" max="16134" width="17.664062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9.6640625" bestFit="1" customWidth="1"/>
    <col min="16145" max="16145" width="16.109375" customWidth="1"/>
    <col min="16146" max="16146" width="16.6640625" bestFit="1" customWidth="1"/>
    <col min="16147" max="16147" width="15.5546875" bestFit="1" customWidth="1"/>
    <col min="16148"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 customHeight="1" thickBot="1" x14ac:dyDescent="0.35">
      <c r="B1" s="3881"/>
      <c r="F1" s="202"/>
      <c r="G1" s="202">
        <f>C3</f>
        <v>18230636</v>
      </c>
      <c r="H1" s="202" t="str">
        <f>C4</f>
        <v>SF Existing Water Heat - Gas</v>
      </c>
      <c r="I1" s="202"/>
    </row>
    <row r="2" spans="2:22" ht="16.2" thickBot="1" x14ac:dyDescent="0.35">
      <c r="B2" s="202" t="s">
        <v>131</v>
      </c>
      <c r="C2" s="203" t="s">
        <v>632</v>
      </c>
      <c r="G2" s="204" t="s">
        <v>8</v>
      </c>
      <c r="Q2" s="4765" t="s">
        <v>612</v>
      </c>
      <c r="R2" s="4765"/>
      <c r="S2" s="4762" t="s">
        <v>132</v>
      </c>
      <c r="T2" s="4763"/>
      <c r="U2" s="4764"/>
      <c r="V2" s="4766" t="s">
        <v>133</v>
      </c>
    </row>
    <row r="3" spans="2:22" ht="16.2" thickBot="1" x14ac:dyDescent="0.35">
      <c r="B3" s="203" t="s">
        <v>6</v>
      </c>
      <c r="C3" s="203">
        <v>18230636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637</v>
      </c>
      <c r="F4" s="202">
        <v>2011</v>
      </c>
      <c r="G4" s="210">
        <f>B12</f>
        <v>91095</v>
      </c>
      <c r="H4" s="211">
        <f>B17</f>
        <v>6918</v>
      </c>
      <c r="I4" s="211">
        <f>B22</f>
        <v>61749</v>
      </c>
      <c r="J4" s="211">
        <f>B27</f>
        <v>24000</v>
      </c>
      <c r="K4" s="211">
        <f>B32</f>
        <v>1200</v>
      </c>
      <c r="L4" s="211">
        <f>B37</f>
        <v>12000</v>
      </c>
      <c r="M4" s="211">
        <f>B42</f>
        <v>2400</v>
      </c>
      <c r="N4" s="211">
        <f>B47</f>
        <v>12000</v>
      </c>
      <c r="O4" s="211">
        <f>B52</f>
        <v>454200</v>
      </c>
      <c r="P4" s="211">
        <f>B53</f>
        <v>0</v>
      </c>
      <c r="Q4" s="213">
        <f>B54</f>
        <v>665562</v>
      </c>
      <c r="R4" s="372">
        <f>T54</f>
        <v>201059</v>
      </c>
      <c r="S4" s="331">
        <f>O4/Q4</f>
        <v>0.68243078781541011</v>
      </c>
      <c r="T4" s="331">
        <f>(J4+(H4*1.63))/Q4</f>
        <v>5.3002334868877725E-2</v>
      </c>
      <c r="U4" s="331">
        <f>L4/Q4</f>
        <v>1.8029875503709648E-2</v>
      </c>
      <c r="V4" s="216">
        <f>Q4/R4</f>
        <v>3.3102820565107756</v>
      </c>
    </row>
    <row r="5" spans="2:22" ht="16.2" thickBot="1" x14ac:dyDescent="0.35">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2" thickBot="1" x14ac:dyDescent="0.35">
      <c r="C6" s="202" t="s">
        <v>264</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2" thickBot="1" x14ac:dyDescent="0.35">
      <c r="C7" s="227" t="s">
        <v>255</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91095</v>
      </c>
      <c r="C12" s="244" t="s">
        <v>161</v>
      </c>
      <c r="D12" s="245">
        <f>SUM(D13:D16)</f>
        <v>0</v>
      </c>
      <c r="E12" s="245">
        <f>SUM(E13:E16)</f>
        <v>0</v>
      </c>
      <c r="F12" s="246">
        <f>D12+E12</f>
        <v>0</v>
      </c>
      <c r="H12" s="135"/>
      <c r="I12" s="247" t="str">
        <f t="shared" ref="I12:I53" si="1">C62</f>
        <v>Tier 1 Energy Star Tankless Water Heater  (&gt;= 0.82 EF)</v>
      </c>
      <c r="J12" s="248"/>
      <c r="K12" s="249"/>
      <c r="L12" s="380">
        <f t="shared" ref="L12:L53" si="2">D62</f>
        <v>74</v>
      </c>
      <c r="M12" s="267">
        <v>0</v>
      </c>
      <c r="N12" s="267">
        <v>0</v>
      </c>
      <c r="O12" s="252">
        <f>M12+N12</f>
        <v>0</v>
      </c>
      <c r="P12" s="381">
        <f t="shared" ref="P12:R27" si="3">M12*$D62</f>
        <v>0</v>
      </c>
      <c r="Q12" s="381">
        <f t="shared" si="3"/>
        <v>0</v>
      </c>
      <c r="R12" s="382">
        <f t="shared" si="3"/>
        <v>0</v>
      </c>
      <c r="T12" s="369">
        <v>78440</v>
      </c>
    </row>
    <row r="13" spans="2:22" ht="13.8" x14ac:dyDescent="0.3">
      <c r="B13" s="256"/>
      <c r="C13" s="257" t="s">
        <v>162</v>
      </c>
      <c r="D13" s="258">
        <v>0</v>
      </c>
      <c r="E13" s="258">
        <v>0</v>
      </c>
      <c r="F13" s="258">
        <f>SUM(D13:E13)</f>
        <v>0</v>
      </c>
      <c r="H13" s="135"/>
      <c r="I13" s="259" t="str">
        <f t="shared" si="1"/>
        <v>Tier 2 Energy Star Tankless Water Heater  (&gt;= 0.90 EF)</v>
      </c>
      <c r="J13" s="260"/>
      <c r="K13" s="261"/>
      <c r="L13" s="380">
        <f t="shared" si="2"/>
        <v>93</v>
      </c>
      <c r="M13" s="267">
        <v>0</v>
      </c>
      <c r="N13" s="267">
        <v>0</v>
      </c>
      <c r="O13" s="252">
        <f t="shared" ref="O13:O53" si="4">M13+N13</f>
        <v>0</v>
      </c>
      <c r="P13" s="381">
        <f t="shared" si="3"/>
        <v>0</v>
      </c>
      <c r="Q13" s="381">
        <f t="shared" si="3"/>
        <v>0</v>
      </c>
      <c r="R13" s="382">
        <f t="shared" si="3"/>
        <v>0</v>
      </c>
      <c r="T13" s="386">
        <v>113367</v>
      </c>
    </row>
    <row r="14" spans="2:22" ht="13.8" x14ac:dyDescent="0.3">
      <c r="B14" s="264"/>
      <c r="C14" s="265" t="s">
        <v>163</v>
      </c>
      <c r="D14" s="266">
        <v>0</v>
      </c>
      <c r="E14" s="266"/>
      <c r="F14" s="258">
        <f t="shared" ref="F14:F24" si="5">SUM(D14:E14)</f>
        <v>0</v>
      </c>
      <c r="H14" s="135"/>
      <c r="I14" s="259" t="str">
        <f t="shared" si="1"/>
        <v>Energy Star Gas Water Heater  (&gt;= 0.67 EF)</v>
      </c>
      <c r="J14" s="260"/>
      <c r="K14" s="261"/>
      <c r="L14" s="380">
        <f t="shared" si="2"/>
        <v>24</v>
      </c>
      <c r="M14" s="267">
        <v>0</v>
      </c>
      <c r="N14" s="267">
        <v>0</v>
      </c>
      <c r="O14" s="252">
        <f t="shared" si="4"/>
        <v>0</v>
      </c>
      <c r="P14" s="381">
        <f t="shared" si="3"/>
        <v>0</v>
      </c>
      <c r="Q14" s="381">
        <f t="shared" si="3"/>
        <v>0</v>
      </c>
      <c r="R14" s="382">
        <f t="shared" si="3"/>
        <v>0</v>
      </c>
      <c r="T14" s="386">
        <v>9252</v>
      </c>
    </row>
    <row r="15" spans="2:22" ht="13.8" x14ac:dyDescent="0.3">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4.4" thickBot="1" x14ac:dyDescent="0.35">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4.4" thickBot="1" x14ac:dyDescent="0.35">
      <c r="B17" s="272">
        <v>6918</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257" t="s">
        <v>162</v>
      </c>
      <c r="D18" s="258">
        <v>0</v>
      </c>
      <c r="E18" s="258">
        <v>0</v>
      </c>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61749</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24000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258">
        <v>0</v>
      </c>
      <c r="E28" s="258">
        <v>0</v>
      </c>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1200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0</v>
      </c>
      <c r="E33" s="266">
        <v>0</v>
      </c>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12000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266">
        <v>0</v>
      </c>
      <c r="E38" s="266">
        <v>0</v>
      </c>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2400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0</v>
      </c>
      <c r="E43" s="266">
        <v>0</v>
      </c>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12000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0</v>
      </c>
      <c r="E48" s="266">
        <v>0</v>
      </c>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454200</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665562</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201059</v>
      </c>
    </row>
    <row r="55" spans="2:24" ht="13.8" x14ac:dyDescent="0.3">
      <c r="C55" s="274"/>
      <c r="D55" s="273"/>
      <c r="E55" s="273"/>
      <c r="F55" s="273"/>
    </row>
    <row r="56" spans="2:24" ht="13.8" x14ac:dyDescent="0.3">
      <c r="C56" s="274" t="s">
        <v>179</v>
      </c>
      <c r="D56" s="273">
        <f>D54-D52</f>
        <v>0</v>
      </c>
      <c r="E56" s="273">
        <f>E54-E52</f>
        <v>0</v>
      </c>
      <c r="F56" s="273">
        <f>F54-F52</f>
        <v>0</v>
      </c>
      <c r="I56" s="301">
        <f>I62*F$56</f>
        <v>0</v>
      </c>
    </row>
    <row r="57" spans="2:24" ht="13.8" x14ac:dyDescent="0.3">
      <c r="C57" s="274" t="s">
        <v>180</v>
      </c>
      <c r="D57" s="276">
        <f>D52</f>
        <v>0</v>
      </c>
      <c r="E57" s="276">
        <f>E52</f>
        <v>0</v>
      </c>
      <c r="F57" s="276">
        <f>F52</f>
        <v>0</v>
      </c>
      <c r="G57" s="335" t="e">
        <f>F57/(F56+F57)</f>
        <v>#DIV/0!</v>
      </c>
      <c r="H57" s="278" t="s">
        <v>181</v>
      </c>
      <c r="I57" s="301">
        <f>I63*F$56</f>
        <v>0</v>
      </c>
    </row>
    <row r="58" spans="2:24" ht="13.8" thickBot="1" x14ac:dyDescent="0.3">
      <c r="I58" s="301">
        <f>I64*F$56</f>
        <v>0</v>
      </c>
    </row>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96">
        <v>77</v>
      </c>
      <c r="C62" s="296" t="s">
        <v>634</v>
      </c>
      <c r="D62" s="296">
        <v>74</v>
      </c>
      <c r="E62" s="296" t="s">
        <v>617</v>
      </c>
      <c r="F62" s="296" t="s">
        <v>211</v>
      </c>
      <c r="G62" s="297">
        <v>750</v>
      </c>
      <c r="H62" s="297">
        <v>150</v>
      </c>
      <c r="I62" s="326">
        <v>0.37880000000000003</v>
      </c>
      <c r="J62" s="267">
        <v>20</v>
      </c>
      <c r="K62" s="267" t="s">
        <v>259</v>
      </c>
      <c r="L62" s="3865" t="e">
        <f>P62/N62</f>
        <v>#DIV/0!</v>
      </c>
      <c r="M62" s="3865" t="e">
        <f>Q62/O62</f>
        <v>#DIV/0!</v>
      </c>
      <c r="N62" s="218">
        <f>(($I62*$F$56)+$U62)/$R62</f>
        <v>0</v>
      </c>
      <c r="O62" s="218">
        <f>(($I62*$F$56)+($G62*$O12))/$R62</f>
        <v>0</v>
      </c>
      <c r="P62" s="218">
        <f>IF(K62=0, 0, (HLOOKUP(K62,'[1]G-CESTD'!$A$5:$G$35,J62+1,FALSE)*R12))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ht="13.8" x14ac:dyDescent="0.3">
      <c r="B63" s="296">
        <v>78</v>
      </c>
      <c r="C63" s="296" t="s">
        <v>635</v>
      </c>
      <c r="D63" s="296">
        <v>93</v>
      </c>
      <c r="E63" s="296" t="s">
        <v>617</v>
      </c>
      <c r="F63" s="296" t="s">
        <v>211</v>
      </c>
      <c r="G63" s="297">
        <v>923</v>
      </c>
      <c r="H63" s="297">
        <v>200</v>
      </c>
      <c r="I63" s="326">
        <v>0.45229999999999998</v>
      </c>
      <c r="J63" s="267">
        <v>20</v>
      </c>
      <c r="K63" s="267" t="s">
        <v>259</v>
      </c>
      <c r="L63" s="3865" t="e">
        <f t="shared" ref="L63:M103" si="12">P63/N63</f>
        <v>#DIV/0!</v>
      </c>
      <c r="M63" s="3865" t="e">
        <f t="shared" si="12"/>
        <v>#DIV/0!</v>
      </c>
      <c r="N63" s="218">
        <f t="shared" ref="N63:N103" si="13">(($I63*$F$56)+$U63)/$R63</f>
        <v>0</v>
      </c>
      <c r="O63" s="218">
        <f t="shared" ref="O63:O103" si="14">(($I63*$F$56)+($G63*$O13))/$R63</f>
        <v>0</v>
      </c>
      <c r="P63" s="218">
        <f>IF(K63=0, 0, (HLOOKUP(K63,'[1]G-CESTD'!$A$5:$G$35,J63+1,FALSE)*R13))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ht="13.8" x14ac:dyDescent="0.3">
      <c r="B64" s="296">
        <v>557</v>
      </c>
      <c r="C64" s="296" t="s">
        <v>636</v>
      </c>
      <c r="D64" s="296">
        <v>24</v>
      </c>
      <c r="E64" s="296" t="s">
        <v>617</v>
      </c>
      <c r="F64" s="296" t="s">
        <v>211</v>
      </c>
      <c r="G64" s="297">
        <v>158</v>
      </c>
      <c r="H64" s="297">
        <v>100</v>
      </c>
      <c r="I64" s="326">
        <v>0.16889999999999999</v>
      </c>
      <c r="J64" s="267">
        <v>13</v>
      </c>
      <c r="K64" s="267" t="s">
        <v>259</v>
      </c>
      <c r="L64" s="3865" t="e">
        <f t="shared" si="12"/>
        <v>#DIV/0!</v>
      </c>
      <c r="M64" s="3865" t="e">
        <f t="shared" si="12"/>
        <v>#DIV/0!</v>
      </c>
      <c r="N64" s="218">
        <f t="shared" si="13"/>
        <v>0</v>
      </c>
      <c r="O64" s="218">
        <f t="shared" si="14"/>
        <v>0</v>
      </c>
      <c r="P64" s="218">
        <f>IF(K64=0, 0, (HLOOKUP(K64,'[1]G-CESTD'!$A$5:$G$35,J64+1,FALSE)*R14))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0</v>
      </c>
      <c r="H104" s="301">
        <f>U104</f>
        <v>0</v>
      </c>
      <c r="I104" s="302">
        <f>SUM(I62:I103)</f>
        <v>1</v>
      </c>
      <c r="J104" s="303"/>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18" top="0.38" bottom="0.33" header="0.3" footer="0.3"/>
  <pageSetup paperSize="17" scale="53" orientation="landscape" r:id="rId2"/>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Y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5.6640625" style="3369" customWidth="1"/>
    <col min="2" max="2" width="18.5546875" customWidth="1"/>
    <col min="3" max="3" width="33.33203125" customWidth="1"/>
    <col min="4" max="4" width="15.33203125" style="19" customWidth="1"/>
    <col min="5" max="5" width="15.33203125" customWidth="1"/>
    <col min="6" max="6" width="16.44140625" customWidth="1"/>
    <col min="7" max="7" width="13.44140625" customWidth="1"/>
    <col min="8" max="8" width="15.44140625" bestFit="1" customWidth="1"/>
    <col min="9" max="9" width="14.33203125" bestFit="1" customWidth="1"/>
    <col min="10" max="10" width="15.33203125" customWidth="1"/>
    <col min="11" max="11" width="15.88671875" customWidth="1"/>
    <col min="12" max="12" width="17.109375" bestFit="1" customWidth="1"/>
    <col min="13" max="13" width="12.6640625" customWidth="1"/>
    <col min="14" max="14" width="13.6640625" customWidth="1"/>
    <col min="15" max="15" width="14" bestFit="1" customWidth="1"/>
    <col min="16" max="18" width="19.33203125" bestFit="1" customWidth="1"/>
    <col min="19" max="19" width="20.5546875" bestFit="1" customWidth="1"/>
    <col min="20" max="20" width="20.664062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109375" bestFit="1" customWidth="1"/>
    <col min="259" max="259" width="43.88671875" customWidth="1"/>
    <col min="260" max="260" width="19.88671875" bestFit="1" customWidth="1"/>
    <col min="261" max="261" width="17.109375" bestFit="1" customWidth="1"/>
    <col min="262" max="262" width="18.88671875" bestFit="1" customWidth="1"/>
    <col min="263" max="263" width="13.44140625" customWidth="1"/>
    <col min="264" max="264" width="15.44140625" bestFit="1" customWidth="1"/>
    <col min="265" max="265" width="14.33203125" bestFit="1" customWidth="1"/>
    <col min="266" max="266" width="15.33203125" customWidth="1"/>
    <col min="267" max="267" width="15.88671875" customWidth="1"/>
    <col min="268" max="268" width="17.109375" bestFit="1" customWidth="1"/>
    <col min="269" max="269" width="12.6640625" customWidth="1"/>
    <col min="270" max="270" width="13.6640625" customWidth="1"/>
    <col min="271" max="271" width="14" bestFit="1" customWidth="1"/>
    <col min="272" max="274" width="19.33203125" bestFit="1" customWidth="1"/>
    <col min="275" max="275" width="20.5546875" bestFit="1" customWidth="1"/>
    <col min="276" max="276" width="20.664062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109375" bestFit="1" customWidth="1"/>
    <col min="515" max="515" width="43.88671875" customWidth="1"/>
    <col min="516" max="516" width="19.88671875" bestFit="1" customWidth="1"/>
    <col min="517" max="517" width="17.109375" bestFit="1" customWidth="1"/>
    <col min="518" max="518" width="18.88671875" bestFit="1" customWidth="1"/>
    <col min="519" max="519" width="13.44140625" customWidth="1"/>
    <col min="520" max="520" width="15.44140625" bestFit="1" customWidth="1"/>
    <col min="521" max="521" width="14.33203125" bestFit="1" customWidth="1"/>
    <col min="522" max="522" width="15.33203125" customWidth="1"/>
    <col min="523" max="523" width="15.88671875" customWidth="1"/>
    <col min="524" max="524" width="17.109375" bestFit="1" customWidth="1"/>
    <col min="525" max="525" width="12.6640625" customWidth="1"/>
    <col min="526" max="526" width="13.6640625" customWidth="1"/>
    <col min="527" max="527" width="14" bestFit="1" customWidth="1"/>
    <col min="528" max="530" width="19.33203125" bestFit="1" customWidth="1"/>
    <col min="531" max="531" width="20.5546875" bestFit="1" customWidth="1"/>
    <col min="532" max="532" width="20.664062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109375" bestFit="1" customWidth="1"/>
    <col min="771" max="771" width="43.88671875" customWidth="1"/>
    <col min="772" max="772" width="19.88671875" bestFit="1" customWidth="1"/>
    <col min="773" max="773" width="17.109375" bestFit="1" customWidth="1"/>
    <col min="774" max="774" width="18.88671875" bestFit="1" customWidth="1"/>
    <col min="775" max="775" width="13.44140625" customWidth="1"/>
    <col min="776" max="776" width="15.44140625" bestFit="1" customWidth="1"/>
    <col min="777" max="777" width="14.33203125" bestFit="1" customWidth="1"/>
    <col min="778" max="778" width="15.33203125" customWidth="1"/>
    <col min="779" max="779" width="15.88671875" customWidth="1"/>
    <col min="780" max="780" width="17.109375" bestFit="1" customWidth="1"/>
    <col min="781" max="781" width="12.6640625" customWidth="1"/>
    <col min="782" max="782" width="13.6640625" customWidth="1"/>
    <col min="783" max="783" width="14" bestFit="1" customWidth="1"/>
    <col min="784" max="786" width="19.33203125" bestFit="1" customWidth="1"/>
    <col min="787" max="787" width="20.5546875" bestFit="1" customWidth="1"/>
    <col min="788" max="788" width="20.664062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109375" bestFit="1" customWidth="1"/>
    <col min="1027" max="1027" width="43.88671875" customWidth="1"/>
    <col min="1028" max="1028" width="19.88671875" bestFit="1" customWidth="1"/>
    <col min="1029" max="1029" width="17.109375" bestFit="1" customWidth="1"/>
    <col min="1030" max="1030" width="18.88671875" bestFit="1" customWidth="1"/>
    <col min="1031" max="1031" width="13.44140625" customWidth="1"/>
    <col min="1032" max="1032" width="15.44140625" bestFit="1" customWidth="1"/>
    <col min="1033" max="1033" width="14.33203125" bestFit="1" customWidth="1"/>
    <col min="1034" max="1034" width="15.33203125" customWidth="1"/>
    <col min="1035" max="1035" width="15.88671875" customWidth="1"/>
    <col min="1036" max="1036" width="17.109375" bestFit="1" customWidth="1"/>
    <col min="1037" max="1037" width="12.6640625" customWidth="1"/>
    <col min="1038" max="1038" width="13.6640625" customWidth="1"/>
    <col min="1039" max="1039" width="14" bestFit="1" customWidth="1"/>
    <col min="1040" max="1042" width="19.33203125" bestFit="1" customWidth="1"/>
    <col min="1043" max="1043" width="20.5546875" bestFit="1" customWidth="1"/>
    <col min="1044" max="1044" width="20.664062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109375" bestFit="1" customWidth="1"/>
    <col min="1283" max="1283" width="43.88671875" customWidth="1"/>
    <col min="1284" max="1284" width="19.88671875" bestFit="1" customWidth="1"/>
    <col min="1285" max="1285" width="17.109375" bestFit="1" customWidth="1"/>
    <col min="1286" max="1286" width="18.88671875" bestFit="1" customWidth="1"/>
    <col min="1287" max="1287" width="13.44140625" customWidth="1"/>
    <col min="1288" max="1288" width="15.44140625" bestFit="1" customWidth="1"/>
    <col min="1289" max="1289" width="14.33203125" bestFit="1" customWidth="1"/>
    <col min="1290" max="1290" width="15.33203125" customWidth="1"/>
    <col min="1291" max="1291" width="15.88671875" customWidth="1"/>
    <col min="1292" max="1292" width="17.109375" bestFit="1" customWidth="1"/>
    <col min="1293" max="1293" width="12.6640625" customWidth="1"/>
    <col min="1294" max="1294" width="13.6640625" customWidth="1"/>
    <col min="1295" max="1295" width="14" bestFit="1" customWidth="1"/>
    <col min="1296" max="1298" width="19.33203125" bestFit="1" customWidth="1"/>
    <col min="1299" max="1299" width="20.5546875" bestFit="1" customWidth="1"/>
    <col min="1300" max="1300" width="20.664062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109375" bestFit="1" customWidth="1"/>
    <col min="1539" max="1539" width="43.88671875" customWidth="1"/>
    <col min="1540" max="1540" width="19.88671875" bestFit="1" customWidth="1"/>
    <col min="1541" max="1541" width="17.109375" bestFit="1" customWidth="1"/>
    <col min="1542" max="1542" width="18.88671875" bestFit="1" customWidth="1"/>
    <col min="1543" max="1543" width="13.44140625" customWidth="1"/>
    <col min="1544" max="1544" width="15.44140625" bestFit="1" customWidth="1"/>
    <col min="1545" max="1545" width="14.33203125" bestFit="1" customWidth="1"/>
    <col min="1546" max="1546" width="15.33203125" customWidth="1"/>
    <col min="1547" max="1547" width="15.88671875" customWidth="1"/>
    <col min="1548" max="1548" width="17.109375" bestFit="1" customWidth="1"/>
    <col min="1549" max="1549" width="12.6640625" customWidth="1"/>
    <col min="1550" max="1550" width="13.6640625" customWidth="1"/>
    <col min="1551" max="1551" width="14" bestFit="1" customWidth="1"/>
    <col min="1552" max="1554" width="19.33203125" bestFit="1" customWidth="1"/>
    <col min="1555" max="1555" width="20.5546875" bestFit="1" customWidth="1"/>
    <col min="1556" max="1556" width="20.664062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109375" bestFit="1" customWidth="1"/>
    <col min="1795" max="1795" width="43.88671875" customWidth="1"/>
    <col min="1796" max="1796" width="19.88671875" bestFit="1" customWidth="1"/>
    <col min="1797" max="1797" width="17.109375" bestFit="1" customWidth="1"/>
    <col min="1798" max="1798" width="18.88671875" bestFit="1" customWidth="1"/>
    <col min="1799" max="1799" width="13.44140625" customWidth="1"/>
    <col min="1800" max="1800" width="15.44140625" bestFit="1" customWidth="1"/>
    <col min="1801" max="1801" width="14.33203125" bestFit="1" customWidth="1"/>
    <col min="1802" max="1802" width="15.33203125" customWidth="1"/>
    <col min="1803" max="1803" width="15.88671875" customWidth="1"/>
    <col min="1804" max="1804" width="17.109375" bestFit="1" customWidth="1"/>
    <col min="1805" max="1805" width="12.6640625" customWidth="1"/>
    <col min="1806" max="1806" width="13.6640625" customWidth="1"/>
    <col min="1807" max="1807" width="14" bestFit="1" customWidth="1"/>
    <col min="1808" max="1810" width="19.33203125" bestFit="1" customWidth="1"/>
    <col min="1811" max="1811" width="20.5546875" bestFit="1" customWidth="1"/>
    <col min="1812" max="1812" width="20.664062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109375" bestFit="1" customWidth="1"/>
    <col min="2051" max="2051" width="43.88671875" customWidth="1"/>
    <col min="2052" max="2052" width="19.88671875" bestFit="1" customWidth="1"/>
    <col min="2053" max="2053" width="17.109375" bestFit="1" customWidth="1"/>
    <col min="2054" max="2054" width="18.88671875" bestFit="1" customWidth="1"/>
    <col min="2055" max="2055" width="13.44140625" customWidth="1"/>
    <col min="2056" max="2056" width="15.44140625" bestFit="1" customWidth="1"/>
    <col min="2057" max="2057" width="14.33203125" bestFit="1" customWidth="1"/>
    <col min="2058" max="2058" width="15.33203125" customWidth="1"/>
    <col min="2059" max="2059" width="15.88671875" customWidth="1"/>
    <col min="2060" max="2060" width="17.109375" bestFit="1" customWidth="1"/>
    <col min="2061" max="2061" width="12.6640625" customWidth="1"/>
    <col min="2062" max="2062" width="13.6640625" customWidth="1"/>
    <col min="2063" max="2063" width="14" bestFit="1" customWidth="1"/>
    <col min="2064" max="2066" width="19.33203125" bestFit="1" customWidth="1"/>
    <col min="2067" max="2067" width="20.5546875" bestFit="1" customWidth="1"/>
    <col min="2068" max="2068" width="20.664062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109375" bestFit="1" customWidth="1"/>
    <col min="2307" max="2307" width="43.88671875" customWidth="1"/>
    <col min="2308" max="2308" width="19.88671875" bestFit="1" customWidth="1"/>
    <col min="2309" max="2309" width="17.109375" bestFit="1" customWidth="1"/>
    <col min="2310" max="2310" width="18.88671875" bestFit="1" customWidth="1"/>
    <col min="2311" max="2311" width="13.44140625" customWidth="1"/>
    <col min="2312" max="2312" width="15.44140625" bestFit="1" customWidth="1"/>
    <col min="2313" max="2313" width="14.33203125" bestFit="1" customWidth="1"/>
    <col min="2314" max="2314" width="15.33203125" customWidth="1"/>
    <col min="2315" max="2315" width="15.88671875" customWidth="1"/>
    <col min="2316" max="2316" width="17.109375" bestFit="1" customWidth="1"/>
    <col min="2317" max="2317" width="12.6640625" customWidth="1"/>
    <col min="2318" max="2318" width="13.6640625" customWidth="1"/>
    <col min="2319" max="2319" width="14" bestFit="1" customWidth="1"/>
    <col min="2320" max="2322" width="19.33203125" bestFit="1" customWidth="1"/>
    <col min="2323" max="2323" width="20.5546875" bestFit="1" customWidth="1"/>
    <col min="2324" max="2324" width="20.664062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109375" bestFit="1" customWidth="1"/>
    <col min="2563" max="2563" width="43.88671875" customWidth="1"/>
    <col min="2564" max="2564" width="19.88671875" bestFit="1" customWidth="1"/>
    <col min="2565" max="2565" width="17.109375" bestFit="1" customWidth="1"/>
    <col min="2566" max="2566" width="18.88671875" bestFit="1" customWidth="1"/>
    <col min="2567" max="2567" width="13.44140625" customWidth="1"/>
    <col min="2568" max="2568" width="15.44140625" bestFit="1" customWidth="1"/>
    <col min="2569" max="2569" width="14.33203125" bestFit="1" customWidth="1"/>
    <col min="2570" max="2570" width="15.33203125" customWidth="1"/>
    <col min="2571" max="2571" width="15.88671875" customWidth="1"/>
    <col min="2572" max="2572" width="17.109375" bestFit="1" customWidth="1"/>
    <col min="2573" max="2573" width="12.6640625" customWidth="1"/>
    <col min="2574" max="2574" width="13.6640625" customWidth="1"/>
    <col min="2575" max="2575" width="14" bestFit="1" customWidth="1"/>
    <col min="2576" max="2578" width="19.33203125" bestFit="1" customWidth="1"/>
    <col min="2579" max="2579" width="20.5546875" bestFit="1" customWidth="1"/>
    <col min="2580" max="2580" width="20.664062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109375" bestFit="1" customWidth="1"/>
    <col min="2819" max="2819" width="43.88671875" customWidth="1"/>
    <col min="2820" max="2820" width="19.88671875" bestFit="1" customWidth="1"/>
    <col min="2821" max="2821" width="17.109375" bestFit="1" customWidth="1"/>
    <col min="2822" max="2822" width="18.88671875" bestFit="1" customWidth="1"/>
    <col min="2823" max="2823" width="13.44140625" customWidth="1"/>
    <col min="2824" max="2824" width="15.44140625" bestFit="1" customWidth="1"/>
    <col min="2825" max="2825" width="14.33203125" bestFit="1" customWidth="1"/>
    <col min="2826" max="2826" width="15.33203125" customWidth="1"/>
    <col min="2827" max="2827" width="15.88671875" customWidth="1"/>
    <col min="2828" max="2828" width="17.109375" bestFit="1" customWidth="1"/>
    <col min="2829" max="2829" width="12.6640625" customWidth="1"/>
    <col min="2830" max="2830" width="13.6640625" customWidth="1"/>
    <col min="2831" max="2831" width="14" bestFit="1" customWidth="1"/>
    <col min="2832" max="2834" width="19.33203125" bestFit="1" customWidth="1"/>
    <col min="2835" max="2835" width="20.5546875" bestFit="1" customWidth="1"/>
    <col min="2836" max="2836" width="20.664062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109375" bestFit="1" customWidth="1"/>
    <col min="3075" max="3075" width="43.88671875" customWidth="1"/>
    <col min="3076" max="3076" width="19.88671875" bestFit="1" customWidth="1"/>
    <col min="3077" max="3077" width="17.109375" bestFit="1" customWidth="1"/>
    <col min="3078" max="3078" width="18.88671875" bestFit="1" customWidth="1"/>
    <col min="3079" max="3079" width="13.44140625" customWidth="1"/>
    <col min="3080" max="3080" width="15.44140625" bestFit="1" customWidth="1"/>
    <col min="3081" max="3081" width="14.33203125" bestFit="1" customWidth="1"/>
    <col min="3082" max="3082" width="15.33203125" customWidth="1"/>
    <col min="3083" max="3083" width="15.88671875" customWidth="1"/>
    <col min="3084" max="3084" width="17.109375" bestFit="1" customWidth="1"/>
    <col min="3085" max="3085" width="12.6640625" customWidth="1"/>
    <col min="3086" max="3086" width="13.6640625" customWidth="1"/>
    <col min="3087" max="3087" width="14" bestFit="1" customWidth="1"/>
    <col min="3088" max="3090" width="19.33203125" bestFit="1" customWidth="1"/>
    <col min="3091" max="3091" width="20.5546875" bestFit="1" customWidth="1"/>
    <col min="3092" max="3092" width="20.664062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109375" bestFit="1" customWidth="1"/>
    <col min="3331" max="3331" width="43.88671875" customWidth="1"/>
    <col min="3332" max="3332" width="19.88671875" bestFit="1" customWidth="1"/>
    <col min="3333" max="3333" width="17.109375" bestFit="1" customWidth="1"/>
    <col min="3334" max="3334" width="18.88671875" bestFit="1" customWidth="1"/>
    <col min="3335" max="3335" width="13.44140625" customWidth="1"/>
    <col min="3336" max="3336" width="15.44140625" bestFit="1" customWidth="1"/>
    <col min="3337" max="3337" width="14.33203125" bestFit="1" customWidth="1"/>
    <col min="3338" max="3338" width="15.33203125" customWidth="1"/>
    <col min="3339" max="3339" width="15.88671875" customWidth="1"/>
    <col min="3340" max="3340" width="17.109375" bestFit="1" customWidth="1"/>
    <col min="3341" max="3341" width="12.6640625" customWidth="1"/>
    <col min="3342" max="3342" width="13.6640625" customWidth="1"/>
    <col min="3343" max="3343" width="14" bestFit="1" customWidth="1"/>
    <col min="3344" max="3346" width="19.33203125" bestFit="1" customWidth="1"/>
    <col min="3347" max="3347" width="20.5546875" bestFit="1" customWidth="1"/>
    <col min="3348" max="3348" width="20.664062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109375" bestFit="1" customWidth="1"/>
    <col min="3587" max="3587" width="43.88671875" customWidth="1"/>
    <col min="3588" max="3588" width="19.88671875" bestFit="1" customWidth="1"/>
    <col min="3589" max="3589" width="17.109375" bestFit="1" customWidth="1"/>
    <col min="3590" max="3590" width="18.88671875" bestFit="1" customWidth="1"/>
    <col min="3591" max="3591" width="13.44140625" customWidth="1"/>
    <col min="3592" max="3592" width="15.44140625" bestFit="1" customWidth="1"/>
    <col min="3593" max="3593" width="14.33203125" bestFit="1" customWidth="1"/>
    <col min="3594" max="3594" width="15.33203125" customWidth="1"/>
    <col min="3595" max="3595" width="15.88671875" customWidth="1"/>
    <col min="3596" max="3596" width="17.109375" bestFit="1" customWidth="1"/>
    <col min="3597" max="3597" width="12.6640625" customWidth="1"/>
    <col min="3598" max="3598" width="13.6640625" customWidth="1"/>
    <col min="3599" max="3599" width="14" bestFit="1" customWidth="1"/>
    <col min="3600" max="3602" width="19.33203125" bestFit="1" customWidth="1"/>
    <col min="3603" max="3603" width="20.5546875" bestFit="1" customWidth="1"/>
    <col min="3604" max="3604" width="20.664062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109375" bestFit="1" customWidth="1"/>
    <col min="3843" max="3843" width="43.88671875" customWidth="1"/>
    <col min="3844" max="3844" width="19.88671875" bestFit="1" customWidth="1"/>
    <col min="3845" max="3845" width="17.109375" bestFit="1" customWidth="1"/>
    <col min="3846" max="3846" width="18.88671875" bestFit="1" customWidth="1"/>
    <col min="3847" max="3847" width="13.44140625" customWidth="1"/>
    <col min="3848" max="3848" width="15.44140625" bestFit="1" customWidth="1"/>
    <col min="3849" max="3849" width="14.33203125" bestFit="1" customWidth="1"/>
    <col min="3850" max="3850" width="15.33203125" customWidth="1"/>
    <col min="3851" max="3851" width="15.88671875" customWidth="1"/>
    <col min="3852" max="3852" width="17.109375" bestFit="1" customWidth="1"/>
    <col min="3853" max="3853" width="12.6640625" customWidth="1"/>
    <col min="3854" max="3854" width="13.6640625" customWidth="1"/>
    <col min="3855" max="3855" width="14" bestFit="1" customWidth="1"/>
    <col min="3856" max="3858" width="19.33203125" bestFit="1" customWidth="1"/>
    <col min="3859" max="3859" width="20.5546875" bestFit="1" customWidth="1"/>
    <col min="3860" max="3860" width="20.664062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109375" bestFit="1" customWidth="1"/>
    <col min="4099" max="4099" width="43.88671875" customWidth="1"/>
    <col min="4100" max="4100" width="19.88671875" bestFit="1" customWidth="1"/>
    <col min="4101" max="4101" width="17.109375" bestFit="1" customWidth="1"/>
    <col min="4102" max="4102" width="18.88671875" bestFit="1" customWidth="1"/>
    <col min="4103" max="4103" width="13.44140625" customWidth="1"/>
    <col min="4104" max="4104" width="15.44140625" bestFit="1" customWidth="1"/>
    <col min="4105" max="4105" width="14.33203125" bestFit="1" customWidth="1"/>
    <col min="4106" max="4106" width="15.33203125" customWidth="1"/>
    <col min="4107" max="4107" width="15.88671875" customWidth="1"/>
    <col min="4108" max="4108" width="17.109375" bestFit="1" customWidth="1"/>
    <col min="4109" max="4109" width="12.6640625" customWidth="1"/>
    <col min="4110" max="4110" width="13.6640625" customWidth="1"/>
    <col min="4111" max="4111" width="14" bestFit="1" customWidth="1"/>
    <col min="4112" max="4114" width="19.33203125" bestFit="1" customWidth="1"/>
    <col min="4115" max="4115" width="20.5546875" bestFit="1" customWidth="1"/>
    <col min="4116" max="4116" width="20.664062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109375" bestFit="1" customWidth="1"/>
    <col min="4355" max="4355" width="43.88671875" customWidth="1"/>
    <col min="4356" max="4356" width="19.88671875" bestFit="1" customWidth="1"/>
    <col min="4357" max="4357" width="17.109375" bestFit="1" customWidth="1"/>
    <col min="4358" max="4358" width="18.88671875" bestFit="1" customWidth="1"/>
    <col min="4359" max="4359" width="13.44140625" customWidth="1"/>
    <col min="4360" max="4360" width="15.44140625" bestFit="1" customWidth="1"/>
    <col min="4361" max="4361" width="14.33203125" bestFit="1" customWidth="1"/>
    <col min="4362" max="4362" width="15.33203125" customWidth="1"/>
    <col min="4363" max="4363" width="15.88671875" customWidth="1"/>
    <col min="4364" max="4364" width="17.109375" bestFit="1" customWidth="1"/>
    <col min="4365" max="4365" width="12.6640625" customWidth="1"/>
    <col min="4366" max="4366" width="13.6640625" customWidth="1"/>
    <col min="4367" max="4367" width="14" bestFit="1" customWidth="1"/>
    <col min="4368" max="4370" width="19.33203125" bestFit="1" customWidth="1"/>
    <col min="4371" max="4371" width="20.5546875" bestFit="1" customWidth="1"/>
    <col min="4372" max="4372" width="20.664062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109375" bestFit="1" customWidth="1"/>
    <col min="4611" max="4611" width="43.88671875" customWidth="1"/>
    <col min="4612" max="4612" width="19.88671875" bestFit="1" customWidth="1"/>
    <col min="4613" max="4613" width="17.109375" bestFit="1" customWidth="1"/>
    <col min="4614" max="4614" width="18.88671875" bestFit="1" customWidth="1"/>
    <col min="4615" max="4615" width="13.44140625" customWidth="1"/>
    <col min="4616" max="4616" width="15.44140625" bestFit="1" customWidth="1"/>
    <col min="4617" max="4617" width="14.33203125" bestFit="1" customWidth="1"/>
    <col min="4618" max="4618" width="15.33203125" customWidth="1"/>
    <col min="4619" max="4619" width="15.88671875" customWidth="1"/>
    <col min="4620" max="4620" width="17.109375" bestFit="1" customWidth="1"/>
    <col min="4621" max="4621" width="12.6640625" customWidth="1"/>
    <col min="4622" max="4622" width="13.6640625" customWidth="1"/>
    <col min="4623" max="4623" width="14" bestFit="1" customWidth="1"/>
    <col min="4624" max="4626" width="19.33203125" bestFit="1" customWidth="1"/>
    <col min="4627" max="4627" width="20.5546875" bestFit="1" customWidth="1"/>
    <col min="4628" max="4628" width="20.664062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109375" bestFit="1" customWidth="1"/>
    <col min="4867" max="4867" width="43.88671875" customWidth="1"/>
    <col min="4868" max="4868" width="19.88671875" bestFit="1" customWidth="1"/>
    <col min="4869" max="4869" width="17.109375" bestFit="1" customWidth="1"/>
    <col min="4870" max="4870" width="18.88671875" bestFit="1" customWidth="1"/>
    <col min="4871" max="4871" width="13.44140625" customWidth="1"/>
    <col min="4872" max="4872" width="15.44140625" bestFit="1" customWidth="1"/>
    <col min="4873" max="4873" width="14.33203125" bestFit="1" customWidth="1"/>
    <col min="4874" max="4874" width="15.33203125" customWidth="1"/>
    <col min="4875" max="4875" width="15.88671875" customWidth="1"/>
    <col min="4876" max="4876" width="17.109375" bestFit="1" customWidth="1"/>
    <col min="4877" max="4877" width="12.6640625" customWidth="1"/>
    <col min="4878" max="4878" width="13.6640625" customWidth="1"/>
    <col min="4879" max="4879" width="14" bestFit="1" customWidth="1"/>
    <col min="4880" max="4882" width="19.33203125" bestFit="1" customWidth="1"/>
    <col min="4883" max="4883" width="20.5546875" bestFit="1" customWidth="1"/>
    <col min="4884" max="4884" width="20.664062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109375" bestFit="1" customWidth="1"/>
    <col min="5123" max="5123" width="43.88671875" customWidth="1"/>
    <col min="5124" max="5124" width="19.88671875" bestFit="1" customWidth="1"/>
    <col min="5125" max="5125" width="17.109375" bestFit="1" customWidth="1"/>
    <col min="5126" max="5126" width="18.88671875" bestFit="1" customWidth="1"/>
    <col min="5127" max="5127" width="13.44140625" customWidth="1"/>
    <col min="5128" max="5128" width="15.44140625" bestFit="1" customWidth="1"/>
    <col min="5129" max="5129" width="14.33203125" bestFit="1" customWidth="1"/>
    <col min="5130" max="5130" width="15.33203125" customWidth="1"/>
    <col min="5131" max="5131" width="15.88671875" customWidth="1"/>
    <col min="5132" max="5132" width="17.109375" bestFit="1" customWidth="1"/>
    <col min="5133" max="5133" width="12.6640625" customWidth="1"/>
    <col min="5134" max="5134" width="13.6640625" customWidth="1"/>
    <col min="5135" max="5135" width="14" bestFit="1" customWidth="1"/>
    <col min="5136" max="5138" width="19.33203125" bestFit="1" customWidth="1"/>
    <col min="5139" max="5139" width="20.5546875" bestFit="1" customWidth="1"/>
    <col min="5140" max="5140" width="20.664062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109375" bestFit="1" customWidth="1"/>
    <col min="5379" max="5379" width="43.88671875" customWidth="1"/>
    <col min="5380" max="5380" width="19.88671875" bestFit="1" customWidth="1"/>
    <col min="5381" max="5381" width="17.109375" bestFit="1" customWidth="1"/>
    <col min="5382" max="5382" width="18.88671875" bestFit="1" customWidth="1"/>
    <col min="5383" max="5383" width="13.44140625" customWidth="1"/>
    <col min="5384" max="5384" width="15.44140625" bestFit="1" customWidth="1"/>
    <col min="5385" max="5385" width="14.33203125" bestFit="1" customWidth="1"/>
    <col min="5386" max="5386" width="15.33203125" customWidth="1"/>
    <col min="5387" max="5387" width="15.88671875" customWidth="1"/>
    <col min="5388" max="5388" width="17.109375" bestFit="1" customWidth="1"/>
    <col min="5389" max="5389" width="12.6640625" customWidth="1"/>
    <col min="5390" max="5390" width="13.6640625" customWidth="1"/>
    <col min="5391" max="5391" width="14" bestFit="1" customWidth="1"/>
    <col min="5392" max="5394" width="19.33203125" bestFit="1" customWidth="1"/>
    <col min="5395" max="5395" width="20.5546875" bestFit="1" customWidth="1"/>
    <col min="5396" max="5396" width="20.664062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109375" bestFit="1" customWidth="1"/>
    <col min="5635" max="5635" width="43.88671875" customWidth="1"/>
    <col min="5636" max="5636" width="19.88671875" bestFit="1" customWidth="1"/>
    <col min="5637" max="5637" width="17.109375" bestFit="1" customWidth="1"/>
    <col min="5638" max="5638" width="18.88671875" bestFit="1" customWidth="1"/>
    <col min="5639" max="5639" width="13.44140625" customWidth="1"/>
    <col min="5640" max="5640" width="15.44140625" bestFit="1" customWidth="1"/>
    <col min="5641" max="5641" width="14.33203125" bestFit="1" customWidth="1"/>
    <col min="5642" max="5642" width="15.33203125" customWidth="1"/>
    <col min="5643" max="5643" width="15.88671875" customWidth="1"/>
    <col min="5644" max="5644" width="17.109375" bestFit="1" customWidth="1"/>
    <col min="5645" max="5645" width="12.6640625" customWidth="1"/>
    <col min="5646" max="5646" width="13.6640625" customWidth="1"/>
    <col min="5647" max="5647" width="14" bestFit="1" customWidth="1"/>
    <col min="5648" max="5650" width="19.33203125" bestFit="1" customWidth="1"/>
    <col min="5651" max="5651" width="20.5546875" bestFit="1" customWidth="1"/>
    <col min="5652" max="5652" width="20.664062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109375" bestFit="1" customWidth="1"/>
    <col min="5891" max="5891" width="43.88671875" customWidth="1"/>
    <col min="5892" max="5892" width="19.88671875" bestFit="1" customWidth="1"/>
    <col min="5893" max="5893" width="17.109375" bestFit="1" customWidth="1"/>
    <col min="5894" max="5894" width="18.88671875" bestFit="1" customWidth="1"/>
    <col min="5895" max="5895" width="13.44140625" customWidth="1"/>
    <col min="5896" max="5896" width="15.44140625" bestFit="1" customWidth="1"/>
    <col min="5897" max="5897" width="14.33203125" bestFit="1" customWidth="1"/>
    <col min="5898" max="5898" width="15.33203125" customWidth="1"/>
    <col min="5899" max="5899" width="15.88671875" customWidth="1"/>
    <col min="5900" max="5900" width="17.109375" bestFit="1" customWidth="1"/>
    <col min="5901" max="5901" width="12.6640625" customWidth="1"/>
    <col min="5902" max="5902" width="13.6640625" customWidth="1"/>
    <col min="5903" max="5903" width="14" bestFit="1" customWidth="1"/>
    <col min="5904" max="5906" width="19.33203125" bestFit="1" customWidth="1"/>
    <col min="5907" max="5907" width="20.5546875" bestFit="1" customWidth="1"/>
    <col min="5908" max="5908" width="20.664062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109375" bestFit="1" customWidth="1"/>
    <col min="6147" max="6147" width="43.88671875" customWidth="1"/>
    <col min="6148" max="6148" width="19.88671875" bestFit="1" customWidth="1"/>
    <col min="6149" max="6149" width="17.109375" bestFit="1" customWidth="1"/>
    <col min="6150" max="6150" width="18.88671875" bestFit="1" customWidth="1"/>
    <col min="6151" max="6151" width="13.44140625" customWidth="1"/>
    <col min="6152" max="6152" width="15.44140625" bestFit="1" customWidth="1"/>
    <col min="6153" max="6153" width="14.33203125" bestFit="1" customWidth="1"/>
    <col min="6154" max="6154" width="15.33203125" customWidth="1"/>
    <col min="6155" max="6155" width="15.88671875" customWidth="1"/>
    <col min="6156" max="6156" width="17.109375" bestFit="1" customWidth="1"/>
    <col min="6157" max="6157" width="12.6640625" customWidth="1"/>
    <col min="6158" max="6158" width="13.6640625" customWidth="1"/>
    <col min="6159" max="6159" width="14" bestFit="1" customWidth="1"/>
    <col min="6160" max="6162" width="19.33203125" bestFit="1" customWidth="1"/>
    <col min="6163" max="6163" width="20.5546875" bestFit="1" customWidth="1"/>
    <col min="6164" max="6164" width="20.664062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109375" bestFit="1" customWidth="1"/>
    <col min="6403" max="6403" width="43.88671875" customWidth="1"/>
    <col min="6404" max="6404" width="19.88671875" bestFit="1" customWidth="1"/>
    <col min="6405" max="6405" width="17.109375" bestFit="1" customWidth="1"/>
    <col min="6406" max="6406" width="18.88671875" bestFit="1" customWidth="1"/>
    <col min="6407" max="6407" width="13.44140625" customWidth="1"/>
    <col min="6408" max="6408" width="15.44140625" bestFit="1" customWidth="1"/>
    <col min="6409" max="6409" width="14.33203125" bestFit="1" customWidth="1"/>
    <col min="6410" max="6410" width="15.33203125" customWidth="1"/>
    <col min="6411" max="6411" width="15.88671875" customWidth="1"/>
    <col min="6412" max="6412" width="17.109375" bestFit="1" customWidth="1"/>
    <col min="6413" max="6413" width="12.6640625" customWidth="1"/>
    <col min="6414" max="6414" width="13.6640625" customWidth="1"/>
    <col min="6415" max="6415" width="14" bestFit="1" customWidth="1"/>
    <col min="6416" max="6418" width="19.33203125" bestFit="1" customWidth="1"/>
    <col min="6419" max="6419" width="20.5546875" bestFit="1" customWidth="1"/>
    <col min="6420" max="6420" width="20.664062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109375" bestFit="1" customWidth="1"/>
    <col min="6659" max="6659" width="43.88671875" customWidth="1"/>
    <col min="6660" max="6660" width="19.88671875" bestFit="1" customWidth="1"/>
    <col min="6661" max="6661" width="17.109375" bestFit="1" customWidth="1"/>
    <col min="6662" max="6662" width="18.88671875" bestFit="1" customWidth="1"/>
    <col min="6663" max="6663" width="13.44140625" customWidth="1"/>
    <col min="6664" max="6664" width="15.44140625" bestFit="1" customWidth="1"/>
    <col min="6665" max="6665" width="14.33203125" bestFit="1" customWidth="1"/>
    <col min="6666" max="6666" width="15.33203125" customWidth="1"/>
    <col min="6667" max="6667" width="15.88671875" customWidth="1"/>
    <col min="6668" max="6668" width="17.109375" bestFit="1" customWidth="1"/>
    <col min="6669" max="6669" width="12.6640625" customWidth="1"/>
    <col min="6670" max="6670" width="13.6640625" customWidth="1"/>
    <col min="6671" max="6671" width="14" bestFit="1" customWidth="1"/>
    <col min="6672" max="6674" width="19.33203125" bestFit="1" customWidth="1"/>
    <col min="6675" max="6675" width="20.5546875" bestFit="1" customWidth="1"/>
    <col min="6676" max="6676" width="20.664062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109375" bestFit="1" customWidth="1"/>
    <col min="6915" max="6915" width="43.88671875" customWidth="1"/>
    <col min="6916" max="6916" width="19.88671875" bestFit="1" customWidth="1"/>
    <col min="6917" max="6917" width="17.109375" bestFit="1" customWidth="1"/>
    <col min="6918" max="6918" width="18.88671875" bestFit="1" customWidth="1"/>
    <col min="6919" max="6919" width="13.44140625" customWidth="1"/>
    <col min="6920" max="6920" width="15.44140625" bestFit="1" customWidth="1"/>
    <col min="6921" max="6921" width="14.33203125" bestFit="1" customWidth="1"/>
    <col min="6922" max="6922" width="15.33203125" customWidth="1"/>
    <col min="6923" max="6923" width="15.88671875" customWidth="1"/>
    <col min="6924" max="6924" width="17.109375" bestFit="1" customWidth="1"/>
    <col min="6925" max="6925" width="12.6640625" customWidth="1"/>
    <col min="6926" max="6926" width="13.6640625" customWidth="1"/>
    <col min="6927" max="6927" width="14" bestFit="1" customWidth="1"/>
    <col min="6928" max="6930" width="19.33203125" bestFit="1" customWidth="1"/>
    <col min="6931" max="6931" width="20.5546875" bestFit="1" customWidth="1"/>
    <col min="6932" max="6932" width="20.664062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109375" bestFit="1" customWidth="1"/>
    <col min="7171" max="7171" width="43.88671875" customWidth="1"/>
    <col min="7172" max="7172" width="19.88671875" bestFit="1" customWidth="1"/>
    <col min="7173" max="7173" width="17.109375" bestFit="1" customWidth="1"/>
    <col min="7174" max="7174" width="18.88671875" bestFit="1" customWidth="1"/>
    <col min="7175" max="7175" width="13.44140625" customWidth="1"/>
    <col min="7176" max="7176" width="15.44140625" bestFit="1" customWidth="1"/>
    <col min="7177" max="7177" width="14.33203125" bestFit="1" customWidth="1"/>
    <col min="7178" max="7178" width="15.33203125" customWidth="1"/>
    <col min="7179" max="7179" width="15.88671875" customWidth="1"/>
    <col min="7180" max="7180" width="17.109375" bestFit="1" customWidth="1"/>
    <col min="7181" max="7181" width="12.6640625" customWidth="1"/>
    <col min="7182" max="7182" width="13.6640625" customWidth="1"/>
    <col min="7183" max="7183" width="14" bestFit="1" customWidth="1"/>
    <col min="7184" max="7186" width="19.33203125" bestFit="1" customWidth="1"/>
    <col min="7187" max="7187" width="20.5546875" bestFit="1" customWidth="1"/>
    <col min="7188" max="7188" width="20.664062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109375" bestFit="1" customWidth="1"/>
    <col min="7427" max="7427" width="43.88671875" customWidth="1"/>
    <col min="7428" max="7428" width="19.88671875" bestFit="1" customWidth="1"/>
    <col min="7429" max="7429" width="17.109375" bestFit="1" customWidth="1"/>
    <col min="7430" max="7430" width="18.88671875" bestFit="1" customWidth="1"/>
    <col min="7431" max="7431" width="13.44140625" customWidth="1"/>
    <col min="7432" max="7432" width="15.44140625" bestFit="1" customWidth="1"/>
    <col min="7433" max="7433" width="14.33203125" bestFit="1" customWidth="1"/>
    <col min="7434" max="7434" width="15.33203125" customWidth="1"/>
    <col min="7435" max="7435" width="15.88671875" customWidth="1"/>
    <col min="7436" max="7436" width="17.109375" bestFit="1" customWidth="1"/>
    <col min="7437" max="7437" width="12.6640625" customWidth="1"/>
    <col min="7438" max="7438" width="13.6640625" customWidth="1"/>
    <col min="7439" max="7439" width="14" bestFit="1" customWidth="1"/>
    <col min="7440" max="7442" width="19.33203125" bestFit="1" customWidth="1"/>
    <col min="7443" max="7443" width="20.5546875" bestFit="1" customWidth="1"/>
    <col min="7444" max="7444" width="20.664062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109375" bestFit="1" customWidth="1"/>
    <col min="7683" max="7683" width="43.88671875" customWidth="1"/>
    <col min="7684" max="7684" width="19.88671875" bestFit="1" customWidth="1"/>
    <col min="7685" max="7685" width="17.109375" bestFit="1" customWidth="1"/>
    <col min="7686" max="7686" width="18.88671875" bestFit="1" customWidth="1"/>
    <col min="7687" max="7687" width="13.44140625" customWidth="1"/>
    <col min="7688" max="7688" width="15.44140625" bestFit="1" customWidth="1"/>
    <col min="7689" max="7689" width="14.33203125" bestFit="1" customWidth="1"/>
    <col min="7690" max="7690" width="15.33203125" customWidth="1"/>
    <col min="7691" max="7691" width="15.88671875" customWidth="1"/>
    <col min="7692" max="7692" width="17.109375" bestFit="1" customWidth="1"/>
    <col min="7693" max="7693" width="12.6640625" customWidth="1"/>
    <col min="7694" max="7694" width="13.6640625" customWidth="1"/>
    <col min="7695" max="7695" width="14" bestFit="1" customWidth="1"/>
    <col min="7696" max="7698" width="19.33203125" bestFit="1" customWidth="1"/>
    <col min="7699" max="7699" width="20.5546875" bestFit="1" customWidth="1"/>
    <col min="7700" max="7700" width="20.664062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109375" bestFit="1" customWidth="1"/>
    <col min="7939" max="7939" width="43.88671875" customWidth="1"/>
    <col min="7940" max="7940" width="19.88671875" bestFit="1" customWidth="1"/>
    <col min="7941" max="7941" width="17.109375" bestFit="1" customWidth="1"/>
    <col min="7942" max="7942" width="18.88671875" bestFit="1" customWidth="1"/>
    <col min="7943" max="7943" width="13.44140625" customWidth="1"/>
    <col min="7944" max="7944" width="15.44140625" bestFit="1" customWidth="1"/>
    <col min="7945" max="7945" width="14.33203125" bestFit="1" customWidth="1"/>
    <col min="7946" max="7946" width="15.33203125" customWidth="1"/>
    <col min="7947" max="7947" width="15.88671875" customWidth="1"/>
    <col min="7948" max="7948" width="17.109375" bestFit="1" customWidth="1"/>
    <col min="7949" max="7949" width="12.6640625" customWidth="1"/>
    <col min="7950" max="7950" width="13.6640625" customWidth="1"/>
    <col min="7951" max="7951" width="14" bestFit="1" customWidth="1"/>
    <col min="7952" max="7954" width="19.33203125" bestFit="1" customWidth="1"/>
    <col min="7955" max="7955" width="20.5546875" bestFit="1" customWidth="1"/>
    <col min="7956" max="7956" width="20.664062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109375" bestFit="1" customWidth="1"/>
    <col min="8195" max="8195" width="43.88671875" customWidth="1"/>
    <col min="8196" max="8196" width="19.88671875" bestFit="1" customWidth="1"/>
    <col min="8197" max="8197" width="17.109375" bestFit="1" customWidth="1"/>
    <col min="8198" max="8198" width="18.88671875" bestFit="1" customWidth="1"/>
    <col min="8199" max="8199" width="13.44140625" customWidth="1"/>
    <col min="8200" max="8200" width="15.44140625" bestFit="1" customWidth="1"/>
    <col min="8201" max="8201" width="14.33203125" bestFit="1" customWidth="1"/>
    <col min="8202" max="8202" width="15.33203125" customWidth="1"/>
    <col min="8203" max="8203" width="15.88671875" customWidth="1"/>
    <col min="8204" max="8204" width="17.109375" bestFit="1" customWidth="1"/>
    <col min="8205" max="8205" width="12.6640625" customWidth="1"/>
    <col min="8206" max="8206" width="13.6640625" customWidth="1"/>
    <col min="8207" max="8207" width="14" bestFit="1" customWidth="1"/>
    <col min="8208" max="8210" width="19.33203125" bestFit="1" customWidth="1"/>
    <col min="8211" max="8211" width="20.5546875" bestFit="1" customWidth="1"/>
    <col min="8212" max="8212" width="20.664062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109375" bestFit="1" customWidth="1"/>
    <col min="8451" max="8451" width="43.88671875" customWidth="1"/>
    <col min="8452" max="8452" width="19.88671875" bestFit="1" customWidth="1"/>
    <col min="8453" max="8453" width="17.109375" bestFit="1" customWidth="1"/>
    <col min="8454" max="8454" width="18.88671875" bestFit="1" customWidth="1"/>
    <col min="8455" max="8455" width="13.44140625" customWidth="1"/>
    <col min="8456" max="8456" width="15.44140625" bestFit="1" customWidth="1"/>
    <col min="8457" max="8457" width="14.33203125" bestFit="1" customWidth="1"/>
    <col min="8458" max="8458" width="15.33203125" customWidth="1"/>
    <col min="8459" max="8459" width="15.88671875" customWidth="1"/>
    <col min="8460" max="8460" width="17.109375" bestFit="1" customWidth="1"/>
    <col min="8461" max="8461" width="12.6640625" customWidth="1"/>
    <col min="8462" max="8462" width="13.6640625" customWidth="1"/>
    <col min="8463" max="8463" width="14" bestFit="1" customWidth="1"/>
    <col min="8464" max="8466" width="19.33203125" bestFit="1" customWidth="1"/>
    <col min="8467" max="8467" width="20.5546875" bestFit="1" customWidth="1"/>
    <col min="8468" max="8468" width="20.664062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109375" bestFit="1" customWidth="1"/>
    <col min="8707" max="8707" width="43.88671875" customWidth="1"/>
    <col min="8708" max="8708" width="19.88671875" bestFit="1" customWidth="1"/>
    <col min="8709" max="8709" width="17.109375" bestFit="1" customWidth="1"/>
    <col min="8710" max="8710" width="18.88671875" bestFit="1" customWidth="1"/>
    <col min="8711" max="8711" width="13.44140625" customWidth="1"/>
    <col min="8712" max="8712" width="15.44140625" bestFit="1" customWidth="1"/>
    <col min="8713" max="8713" width="14.33203125" bestFit="1" customWidth="1"/>
    <col min="8714" max="8714" width="15.33203125" customWidth="1"/>
    <col min="8715" max="8715" width="15.88671875" customWidth="1"/>
    <col min="8716" max="8716" width="17.109375" bestFit="1" customWidth="1"/>
    <col min="8717" max="8717" width="12.6640625" customWidth="1"/>
    <col min="8718" max="8718" width="13.6640625" customWidth="1"/>
    <col min="8719" max="8719" width="14" bestFit="1" customWidth="1"/>
    <col min="8720" max="8722" width="19.33203125" bestFit="1" customWidth="1"/>
    <col min="8723" max="8723" width="20.5546875" bestFit="1" customWidth="1"/>
    <col min="8724" max="8724" width="20.664062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109375" bestFit="1" customWidth="1"/>
    <col min="8963" max="8963" width="43.88671875" customWidth="1"/>
    <col min="8964" max="8964" width="19.88671875" bestFit="1" customWidth="1"/>
    <col min="8965" max="8965" width="17.109375" bestFit="1" customWidth="1"/>
    <col min="8966" max="8966" width="18.88671875" bestFit="1" customWidth="1"/>
    <col min="8967" max="8967" width="13.44140625" customWidth="1"/>
    <col min="8968" max="8968" width="15.44140625" bestFit="1" customWidth="1"/>
    <col min="8969" max="8969" width="14.33203125" bestFit="1" customWidth="1"/>
    <col min="8970" max="8970" width="15.33203125" customWidth="1"/>
    <col min="8971" max="8971" width="15.88671875" customWidth="1"/>
    <col min="8972" max="8972" width="17.109375" bestFit="1" customWidth="1"/>
    <col min="8973" max="8973" width="12.6640625" customWidth="1"/>
    <col min="8974" max="8974" width="13.6640625" customWidth="1"/>
    <col min="8975" max="8975" width="14" bestFit="1" customWidth="1"/>
    <col min="8976" max="8978" width="19.33203125" bestFit="1" customWidth="1"/>
    <col min="8979" max="8979" width="20.5546875" bestFit="1" customWidth="1"/>
    <col min="8980" max="8980" width="20.664062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109375" bestFit="1" customWidth="1"/>
    <col min="9219" max="9219" width="43.88671875" customWidth="1"/>
    <col min="9220" max="9220" width="19.88671875" bestFit="1" customWidth="1"/>
    <col min="9221" max="9221" width="17.109375" bestFit="1" customWidth="1"/>
    <col min="9222" max="9222" width="18.88671875" bestFit="1" customWidth="1"/>
    <col min="9223" max="9223" width="13.44140625" customWidth="1"/>
    <col min="9224" max="9224" width="15.44140625" bestFit="1" customWidth="1"/>
    <col min="9225" max="9225" width="14.33203125" bestFit="1" customWidth="1"/>
    <col min="9226" max="9226" width="15.33203125" customWidth="1"/>
    <col min="9227" max="9227" width="15.88671875" customWidth="1"/>
    <col min="9228" max="9228" width="17.109375" bestFit="1" customWidth="1"/>
    <col min="9229" max="9229" width="12.6640625" customWidth="1"/>
    <col min="9230" max="9230" width="13.6640625" customWidth="1"/>
    <col min="9231" max="9231" width="14" bestFit="1" customWidth="1"/>
    <col min="9232" max="9234" width="19.33203125" bestFit="1" customWidth="1"/>
    <col min="9235" max="9235" width="20.5546875" bestFit="1" customWidth="1"/>
    <col min="9236" max="9236" width="20.664062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109375" bestFit="1" customWidth="1"/>
    <col min="9475" max="9475" width="43.88671875" customWidth="1"/>
    <col min="9476" max="9476" width="19.88671875" bestFit="1" customWidth="1"/>
    <col min="9477" max="9477" width="17.109375" bestFit="1" customWidth="1"/>
    <col min="9478" max="9478" width="18.88671875" bestFit="1" customWidth="1"/>
    <col min="9479" max="9479" width="13.44140625" customWidth="1"/>
    <col min="9480" max="9480" width="15.44140625" bestFit="1" customWidth="1"/>
    <col min="9481" max="9481" width="14.33203125" bestFit="1" customWidth="1"/>
    <col min="9482" max="9482" width="15.33203125" customWidth="1"/>
    <col min="9483" max="9483" width="15.88671875" customWidth="1"/>
    <col min="9484" max="9484" width="17.109375" bestFit="1" customWidth="1"/>
    <col min="9485" max="9485" width="12.6640625" customWidth="1"/>
    <col min="9486" max="9486" width="13.6640625" customWidth="1"/>
    <col min="9487" max="9487" width="14" bestFit="1" customWidth="1"/>
    <col min="9488" max="9490" width="19.33203125" bestFit="1" customWidth="1"/>
    <col min="9491" max="9491" width="20.5546875" bestFit="1" customWidth="1"/>
    <col min="9492" max="9492" width="20.664062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109375" bestFit="1" customWidth="1"/>
    <col min="9731" max="9731" width="43.88671875" customWidth="1"/>
    <col min="9732" max="9732" width="19.88671875" bestFit="1" customWidth="1"/>
    <col min="9733" max="9733" width="17.109375" bestFit="1" customWidth="1"/>
    <col min="9734" max="9734" width="18.88671875" bestFit="1" customWidth="1"/>
    <col min="9735" max="9735" width="13.44140625" customWidth="1"/>
    <col min="9736" max="9736" width="15.44140625" bestFit="1" customWidth="1"/>
    <col min="9737" max="9737" width="14.33203125" bestFit="1" customWidth="1"/>
    <col min="9738" max="9738" width="15.33203125" customWidth="1"/>
    <col min="9739" max="9739" width="15.88671875" customWidth="1"/>
    <col min="9740" max="9740" width="17.109375" bestFit="1" customWidth="1"/>
    <col min="9741" max="9741" width="12.6640625" customWidth="1"/>
    <col min="9742" max="9742" width="13.6640625" customWidth="1"/>
    <col min="9743" max="9743" width="14" bestFit="1" customWidth="1"/>
    <col min="9744" max="9746" width="19.33203125" bestFit="1" customWidth="1"/>
    <col min="9747" max="9747" width="20.5546875" bestFit="1" customWidth="1"/>
    <col min="9748" max="9748" width="20.664062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109375" bestFit="1" customWidth="1"/>
    <col min="9987" max="9987" width="43.88671875" customWidth="1"/>
    <col min="9988" max="9988" width="19.88671875" bestFit="1" customWidth="1"/>
    <col min="9989" max="9989" width="17.109375" bestFit="1" customWidth="1"/>
    <col min="9990" max="9990" width="18.88671875" bestFit="1" customWidth="1"/>
    <col min="9991" max="9991" width="13.44140625" customWidth="1"/>
    <col min="9992" max="9992" width="15.44140625" bestFit="1" customWidth="1"/>
    <col min="9993" max="9993" width="14.33203125" bestFit="1" customWidth="1"/>
    <col min="9994" max="9994" width="15.33203125" customWidth="1"/>
    <col min="9995" max="9995" width="15.88671875" customWidth="1"/>
    <col min="9996" max="9996" width="17.109375" bestFit="1" customWidth="1"/>
    <col min="9997" max="9997" width="12.6640625" customWidth="1"/>
    <col min="9998" max="9998" width="13.6640625" customWidth="1"/>
    <col min="9999" max="9999" width="14" bestFit="1" customWidth="1"/>
    <col min="10000" max="10002" width="19.33203125" bestFit="1" customWidth="1"/>
    <col min="10003" max="10003" width="20.5546875" bestFit="1" customWidth="1"/>
    <col min="10004" max="10004" width="20.664062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109375" bestFit="1" customWidth="1"/>
    <col min="10243" max="10243" width="43.88671875" customWidth="1"/>
    <col min="10244" max="10244" width="19.88671875" bestFit="1" customWidth="1"/>
    <col min="10245" max="10245" width="17.109375" bestFit="1" customWidth="1"/>
    <col min="10246" max="10246" width="18.88671875" bestFit="1" customWidth="1"/>
    <col min="10247" max="10247" width="13.44140625" customWidth="1"/>
    <col min="10248" max="10248" width="15.44140625" bestFit="1" customWidth="1"/>
    <col min="10249" max="10249" width="14.33203125" bestFit="1" customWidth="1"/>
    <col min="10250" max="10250" width="15.33203125" customWidth="1"/>
    <col min="10251" max="10251" width="15.88671875" customWidth="1"/>
    <col min="10252" max="10252" width="17.109375" bestFit="1" customWidth="1"/>
    <col min="10253" max="10253" width="12.6640625" customWidth="1"/>
    <col min="10254" max="10254" width="13.6640625" customWidth="1"/>
    <col min="10255" max="10255" width="14" bestFit="1" customWidth="1"/>
    <col min="10256" max="10258" width="19.33203125" bestFit="1" customWidth="1"/>
    <col min="10259" max="10259" width="20.5546875" bestFit="1" customWidth="1"/>
    <col min="10260" max="10260" width="20.664062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109375" bestFit="1" customWidth="1"/>
    <col min="10499" max="10499" width="43.88671875" customWidth="1"/>
    <col min="10500" max="10500" width="19.88671875" bestFit="1" customWidth="1"/>
    <col min="10501" max="10501" width="17.109375" bestFit="1" customWidth="1"/>
    <col min="10502" max="10502" width="18.88671875" bestFit="1" customWidth="1"/>
    <col min="10503" max="10503" width="13.44140625" customWidth="1"/>
    <col min="10504" max="10504" width="15.44140625" bestFit="1" customWidth="1"/>
    <col min="10505" max="10505" width="14.33203125" bestFit="1" customWidth="1"/>
    <col min="10506" max="10506" width="15.33203125" customWidth="1"/>
    <col min="10507" max="10507" width="15.88671875" customWidth="1"/>
    <col min="10508" max="10508" width="17.109375" bestFit="1" customWidth="1"/>
    <col min="10509" max="10509" width="12.6640625" customWidth="1"/>
    <col min="10510" max="10510" width="13.6640625" customWidth="1"/>
    <col min="10511" max="10511" width="14" bestFit="1" customWidth="1"/>
    <col min="10512" max="10514" width="19.33203125" bestFit="1" customWidth="1"/>
    <col min="10515" max="10515" width="20.5546875" bestFit="1" customWidth="1"/>
    <col min="10516" max="10516" width="20.664062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109375" bestFit="1" customWidth="1"/>
    <col min="10755" max="10755" width="43.88671875" customWidth="1"/>
    <col min="10756" max="10756" width="19.88671875" bestFit="1" customWidth="1"/>
    <col min="10757" max="10757" width="17.109375" bestFit="1" customWidth="1"/>
    <col min="10758" max="10758" width="18.88671875" bestFit="1" customWidth="1"/>
    <col min="10759" max="10759" width="13.44140625" customWidth="1"/>
    <col min="10760" max="10760" width="15.44140625" bestFit="1" customWidth="1"/>
    <col min="10761" max="10761" width="14.33203125" bestFit="1" customWidth="1"/>
    <col min="10762" max="10762" width="15.33203125" customWidth="1"/>
    <col min="10763" max="10763" width="15.88671875" customWidth="1"/>
    <col min="10764" max="10764" width="17.109375" bestFit="1" customWidth="1"/>
    <col min="10765" max="10765" width="12.6640625" customWidth="1"/>
    <col min="10766" max="10766" width="13.6640625" customWidth="1"/>
    <col min="10767" max="10767" width="14" bestFit="1" customWidth="1"/>
    <col min="10768" max="10770" width="19.33203125" bestFit="1" customWidth="1"/>
    <col min="10771" max="10771" width="20.5546875" bestFit="1" customWidth="1"/>
    <col min="10772" max="10772" width="20.664062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109375" bestFit="1" customWidth="1"/>
    <col min="11011" max="11011" width="43.88671875" customWidth="1"/>
    <col min="11012" max="11012" width="19.88671875" bestFit="1" customWidth="1"/>
    <col min="11013" max="11013" width="17.109375" bestFit="1" customWidth="1"/>
    <col min="11014" max="11014" width="18.88671875" bestFit="1" customWidth="1"/>
    <col min="11015" max="11015" width="13.44140625" customWidth="1"/>
    <col min="11016" max="11016" width="15.44140625" bestFit="1" customWidth="1"/>
    <col min="11017" max="11017" width="14.33203125" bestFit="1" customWidth="1"/>
    <col min="11018" max="11018" width="15.33203125" customWidth="1"/>
    <col min="11019" max="11019" width="15.88671875" customWidth="1"/>
    <col min="11020" max="11020" width="17.109375" bestFit="1" customWidth="1"/>
    <col min="11021" max="11021" width="12.6640625" customWidth="1"/>
    <col min="11022" max="11022" width="13.6640625" customWidth="1"/>
    <col min="11023" max="11023" width="14" bestFit="1" customWidth="1"/>
    <col min="11024" max="11026" width="19.33203125" bestFit="1" customWidth="1"/>
    <col min="11027" max="11027" width="20.5546875" bestFit="1" customWidth="1"/>
    <col min="11028" max="11028" width="20.664062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109375" bestFit="1" customWidth="1"/>
    <col min="11267" max="11267" width="43.88671875" customWidth="1"/>
    <col min="11268" max="11268" width="19.88671875" bestFit="1" customWidth="1"/>
    <col min="11269" max="11269" width="17.109375" bestFit="1" customWidth="1"/>
    <col min="11270" max="11270" width="18.88671875" bestFit="1" customWidth="1"/>
    <col min="11271" max="11271" width="13.44140625" customWidth="1"/>
    <col min="11272" max="11272" width="15.44140625" bestFit="1" customWidth="1"/>
    <col min="11273" max="11273" width="14.33203125" bestFit="1" customWidth="1"/>
    <col min="11274" max="11274" width="15.33203125" customWidth="1"/>
    <col min="11275" max="11275" width="15.88671875" customWidth="1"/>
    <col min="11276" max="11276" width="17.109375" bestFit="1" customWidth="1"/>
    <col min="11277" max="11277" width="12.6640625" customWidth="1"/>
    <col min="11278" max="11278" width="13.6640625" customWidth="1"/>
    <col min="11279" max="11279" width="14" bestFit="1" customWidth="1"/>
    <col min="11280" max="11282" width="19.33203125" bestFit="1" customWidth="1"/>
    <col min="11283" max="11283" width="20.5546875" bestFit="1" customWidth="1"/>
    <col min="11284" max="11284" width="20.664062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109375" bestFit="1" customWidth="1"/>
    <col min="11523" max="11523" width="43.88671875" customWidth="1"/>
    <col min="11524" max="11524" width="19.88671875" bestFit="1" customWidth="1"/>
    <col min="11525" max="11525" width="17.109375" bestFit="1" customWidth="1"/>
    <col min="11526" max="11526" width="18.88671875" bestFit="1" customWidth="1"/>
    <col min="11527" max="11527" width="13.44140625" customWidth="1"/>
    <col min="11528" max="11528" width="15.44140625" bestFit="1" customWidth="1"/>
    <col min="11529" max="11529" width="14.33203125" bestFit="1" customWidth="1"/>
    <col min="11530" max="11530" width="15.33203125" customWidth="1"/>
    <col min="11531" max="11531" width="15.88671875" customWidth="1"/>
    <col min="11532" max="11532" width="17.109375" bestFit="1" customWidth="1"/>
    <col min="11533" max="11533" width="12.6640625" customWidth="1"/>
    <col min="11534" max="11534" width="13.6640625" customWidth="1"/>
    <col min="11535" max="11535" width="14" bestFit="1" customWidth="1"/>
    <col min="11536" max="11538" width="19.33203125" bestFit="1" customWidth="1"/>
    <col min="11539" max="11539" width="20.5546875" bestFit="1" customWidth="1"/>
    <col min="11540" max="11540" width="20.664062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109375" bestFit="1" customWidth="1"/>
    <col min="11779" max="11779" width="43.88671875" customWidth="1"/>
    <col min="11780" max="11780" width="19.88671875" bestFit="1" customWidth="1"/>
    <col min="11781" max="11781" width="17.109375" bestFit="1" customWidth="1"/>
    <col min="11782" max="11782" width="18.88671875" bestFit="1" customWidth="1"/>
    <col min="11783" max="11783" width="13.44140625" customWidth="1"/>
    <col min="11784" max="11784" width="15.44140625" bestFit="1" customWidth="1"/>
    <col min="11785" max="11785" width="14.33203125" bestFit="1" customWidth="1"/>
    <col min="11786" max="11786" width="15.33203125" customWidth="1"/>
    <col min="11787" max="11787" width="15.88671875" customWidth="1"/>
    <col min="11788" max="11788" width="17.109375" bestFit="1" customWidth="1"/>
    <col min="11789" max="11789" width="12.6640625" customWidth="1"/>
    <col min="11790" max="11790" width="13.6640625" customWidth="1"/>
    <col min="11791" max="11791" width="14" bestFit="1" customWidth="1"/>
    <col min="11792" max="11794" width="19.33203125" bestFit="1" customWidth="1"/>
    <col min="11795" max="11795" width="20.5546875" bestFit="1" customWidth="1"/>
    <col min="11796" max="11796" width="20.664062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109375" bestFit="1" customWidth="1"/>
    <col min="12035" max="12035" width="43.88671875" customWidth="1"/>
    <col min="12036" max="12036" width="19.88671875" bestFit="1" customWidth="1"/>
    <col min="12037" max="12037" width="17.109375" bestFit="1" customWidth="1"/>
    <col min="12038" max="12038" width="18.88671875" bestFit="1" customWidth="1"/>
    <col min="12039" max="12039" width="13.44140625" customWidth="1"/>
    <col min="12040" max="12040" width="15.44140625" bestFit="1" customWidth="1"/>
    <col min="12041" max="12041" width="14.33203125" bestFit="1" customWidth="1"/>
    <col min="12042" max="12042" width="15.33203125" customWidth="1"/>
    <col min="12043" max="12043" width="15.88671875" customWidth="1"/>
    <col min="12044" max="12044" width="17.109375" bestFit="1" customWidth="1"/>
    <col min="12045" max="12045" width="12.6640625" customWidth="1"/>
    <col min="12046" max="12046" width="13.6640625" customWidth="1"/>
    <col min="12047" max="12047" width="14" bestFit="1" customWidth="1"/>
    <col min="12048" max="12050" width="19.33203125" bestFit="1" customWidth="1"/>
    <col min="12051" max="12051" width="20.5546875" bestFit="1" customWidth="1"/>
    <col min="12052" max="12052" width="20.664062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109375" bestFit="1" customWidth="1"/>
    <col min="12291" max="12291" width="43.88671875" customWidth="1"/>
    <col min="12292" max="12292" width="19.88671875" bestFit="1" customWidth="1"/>
    <col min="12293" max="12293" width="17.109375" bestFit="1" customWidth="1"/>
    <col min="12294" max="12294" width="18.88671875" bestFit="1" customWidth="1"/>
    <col min="12295" max="12295" width="13.44140625" customWidth="1"/>
    <col min="12296" max="12296" width="15.44140625" bestFit="1" customWidth="1"/>
    <col min="12297" max="12297" width="14.33203125" bestFit="1" customWidth="1"/>
    <col min="12298" max="12298" width="15.33203125" customWidth="1"/>
    <col min="12299" max="12299" width="15.88671875" customWidth="1"/>
    <col min="12300" max="12300" width="17.109375" bestFit="1" customWidth="1"/>
    <col min="12301" max="12301" width="12.6640625" customWidth="1"/>
    <col min="12302" max="12302" width="13.6640625" customWidth="1"/>
    <col min="12303" max="12303" width="14" bestFit="1" customWidth="1"/>
    <col min="12304" max="12306" width="19.33203125" bestFit="1" customWidth="1"/>
    <col min="12307" max="12307" width="20.5546875" bestFit="1" customWidth="1"/>
    <col min="12308" max="12308" width="20.664062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109375" bestFit="1" customWidth="1"/>
    <col min="12547" max="12547" width="43.88671875" customWidth="1"/>
    <col min="12548" max="12548" width="19.88671875" bestFit="1" customWidth="1"/>
    <col min="12549" max="12549" width="17.109375" bestFit="1" customWidth="1"/>
    <col min="12550" max="12550" width="18.88671875" bestFit="1" customWidth="1"/>
    <col min="12551" max="12551" width="13.44140625" customWidth="1"/>
    <col min="12552" max="12552" width="15.44140625" bestFit="1" customWidth="1"/>
    <col min="12553" max="12553" width="14.33203125" bestFit="1" customWidth="1"/>
    <col min="12554" max="12554" width="15.33203125" customWidth="1"/>
    <col min="12555" max="12555" width="15.88671875" customWidth="1"/>
    <col min="12556" max="12556" width="17.109375" bestFit="1" customWidth="1"/>
    <col min="12557" max="12557" width="12.6640625" customWidth="1"/>
    <col min="12558" max="12558" width="13.6640625" customWidth="1"/>
    <col min="12559" max="12559" width="14" bestFit="1" customWidth="1"/>
    <col min="12560" max="12562" width="19.33203125" bestFit="1" customWidth="1"/>
    <col min="12563" max="12563" width="20.5546875" bestFit="1" customWidth="1"/>
    <col min="12564" max="12564" width="20.664062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109375" bestFit="1" customWidth="1"/>
    <col min="12803" max="12803" width="43.88671875" customWidth="1"/>
    <col min="12804" max="12804" width="19.88671875" bestFit="1" customWidth="1"/>
    <col min="12805" max="12805" width="17.109375" bestFit="1" customWidth="1"/>
    <col min="12806" max="12806" width="18.88671875" bestFit="1" customWidth="1"/>
    <col min="12807" max="12807" width="13.44140625" customWidth="1"/>
    <col min="12808" max="12808" width="15.44140625" bestFit="1" customWidth="1"/>
    <col min="12809" max="12809" width="14.33203125" bestFit="1" customWidth="1"/>
    <col min="12810" max="12810" width="15.33203125" customWidth="1"/>
    <col min="12811" max="12811" width="15.88671875" customWidth="1"/>
    <col min="12812" max="12812" width="17.109375" bestFit="1" customWidth="1"/>
    <col min="12813" max="12813" width="12.6640625" customWidth="1"/>
    <col min="12814" max="12814" width="13.6640625" customWidth="1"/>
    <col min="12815" max="12815" width="14" bestFit="1" customWidth="1"/>
    <col min="12816" max="12818" width="19.33203125" bestFit="1" customWidth="1"/>
    <col min="12819" max="12819" width="20.5546875" bestFit="1" customWidth="1"/>
    <col min="12820" max="12820" width="20.664062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109375" bestFit="1" customWidth="1"/>
    <col min="13059" max="13059" width="43.88671875" customWidth="1"/>
    <col min="13060" max="13060" width="19.88671875" bestFit="1" customWidth="1"/>
    <col min="13061" max="13061" width="17.109375" bestFit="1" customWidth="1"/>
    <col min="13062" max="13062" width="18.88671875" bestFit="1" customWidth="1"/>
    <col min="13063" max="13063" width="13.44140625" customWidth="1"/>
    <col min="13064" max="13064" width="15.44140625" bestFit="1" customWidth="1"/>
    <col min="13065" max="13065" width="14.33203125" bestFit="1" customWidth="1"/>
    <col min="13066" max="13066" width="15.33203125" customWidth="1"/>
    <col min="13067" max="13067" width="15.88671875" customWidth="1"/>
    <col min="13068" max="13068" width="17.109375" bestFit="1" customWidth="1"/>
    <col min="13069" max="13069" width="12.6640625" customWidth="1"/>
    <col min="13070" max="13070" width="13.6640625" customWidth="1"/>
    <col min="13071" max="13071" width="14" bestFit="1" customWidth="1"/>
    <col min="13072" max="13074" width="19.33203125" bestFit="1" customWidth="1"/>
    <col min="13075" max="13075" width="20.5546875" bestFit="1" customWidth="1"/>
    <col min="13076" max="13076" width="20.664062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109375" bestFit="1" customWidth="1"/>
    <col min="13315" max="13315" width="43.88671875" customWidth="1"/>
    <col min="13316" max="13316" width="19.88671875" bestFit="1" customWidth="1"/>
    <col min="13317" max="13317" width="17.109375" bestFit="1" customWidth="1"/>
    <col min="13318" max="13318" width="18.88671875" bestFit="1" customWidth="1"/>
    <col min="13319" max="13319" width="13.44140625" customWidth="1"/>
    <col min="13320" max="13320" width="15.44140625" bestFit="1" customWidth="1"/>
    <col min="13321" max="13321" width="14.33203125" bestFit="1" customWidth="1"/>
    <col min="13322" max="13322" width="15.33203125" customWidth="1"/>
    <col min="13323" max="13323" width="15.88671875" customWidth="1"/>
    <col min="13324" max="13324" width="17.109375" bestFit="1" customWidth="1"/>
    <col min="13325" max="13325" width="12.6640625" customWidth="1"/>
    <col min="13326" max="13326" width="13.6640625" customWidth="1"/>
    <col min="13327" max="13327" width="14" bestFit="1" customWidth="1"/>
    <col min="13328" max="13330" width="19.33203125" bestFit="1" customWidth="1"/>
    <col min="13331" max="13331" width="20.5546875" bestFit="1" customWidth="1"/>
    <col min="13332" max="13332" width="20.664062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109375" bestFit="1" customWidth="1"/>
    <col min="13571" max="13571" width="43.88671875" customWidth="1"/>
    <col min="13572" max="13572" width="19.88671875" bestFit="1" customWidth="1"/>
    <col min="13573" max="13573" width="17.109375" bestFit="1" customWidth="1"/>
    <col min="13574" max="13574" width="18.88671875" bestFit="1" customWidth="1"/>
    <col min="13575" max="13575" width="13.44140625" customWidth="1"/>
    <col min="13576" max="13576" width="15.44140625" bestFit="1" customWidth="1"/>
    <col min="13577" max="13577" width="14.33203125" bestFit="1" customWidth="1"/>
    <col min="13578" max="13578" width="15.33203125" customWidth="1"/>
    <col min="13579" max="13579" width="15.88671875" customWidth="1"/>
    <col min="13580" max="13580" width="17.109375" bestFit="1" customWidth="1"/>
    <col min="13581" max="13581" width="12.6640625" customWidth="1"/>
    <col min="13582" max="13582" width="13.6640625" customWidth="1"/>
    <col min="13583" max="13583" width="14" bestFit="1" customWidth="1"/>
    <col min="13584" max="13586" width="19.33203125" bestFit="1" customWidth="1"/>
    <col min="13587" max="13587" width="20.5546875" bestFit="1" customWidth="1"/>
    <col min="13588" max="13588" width="20.664062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109375" bestFit="1" customWidth="1"/>
    <col min="13827" max="13827" width="43.88671875" customWidth="1"/>
    <col min="13828" max="13828" width="19.88671875" bestFit="1" customWidth="1"/>
    <col min="13829" max="13829" width="17.109375" bestFit="1" customWidth="1"/>
    <col min="13830" max="13830" width="18.88671875" bestFit="1" customWidth="1"/>
    <col min="13831" max="13831" width="13.44140625" customWidth="1"/>
    <col min="13832" max="13832" width="15.44140625" bestFit="1" customWidth="1"/>
    <col min="13833" max="13833" width="14.33203125" bestFit="1" customWidth="1"/>
    <col min="13834" max="13834" width="15.33203125" customWidth="1"/>
    <col min="13835" max="13835" width="15.88671875" customWidth="1"/>
    <col min="13836" max="13836" width="17.109375" bestFit="1" customWidth="1"/>
    <col min="13837" max="13837" width="12.6640625" customWidth="1"/>
    <col min="13838" max="13838" width="13.6640625" customWidth="1"/>
    <col min="13839" max="13839" width="14" bestFit="1" customWidth="1"/>
    <col min="13840" max="13842" width="19.33203125" bestFit="1" customWidth="1"/>
    <col min="13843" max="13843" width="20.5546875" bestFit="1" customWidth="1"/>
    <col min="13844" max="13844" width="20.664062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109375" bestFit="1" customWidth="1"/>
    <col min="14083" max="14083" width="43.88671875" customWidth="1"/>
    <col min="14084" max="14084" width="19.88671875" bestFit="1" customWidth="1"/>
    <col min="14085" max="14085" width="17.109375" bestFit="1" customWidth="1"/>
    <col min="14086" max="14086" width="18.88671875" bestFit="1" customWidth="1"/>
    <col min="14087" max="14087" width="13.44140625" customWidth="1"/>
    <col min="14088" max="14088" width="15.44140625" bestFit="1" customWidth="1"/>
    <col min="14089" max="14089" width="14.33203125" bestFit="1" customWidth="1"/>
    <col min="14090" max="14090" width="15.33203125" customWidth="1"/>
    <col min="14091" max="14091" width="15.88671875" customWidth="1"/>
    <col min="14092" max="14092" width="17.109375" bestFit="1" customWidth="1"/>
    <col min="14093" max="14093" width="12.6640625" customWidth="1"/>
    <col min="14094" max="14094" width="13.6640625" customWidth="1"/>
    <col min="14095" max="14095" width="14" bestFit="1" customWidth="1"/>
    <col min="14096" max="14098" width="19.33203125" bestFit="1" customWidth="1"/>
    <col min="14099" max="14099" width="20.5546875" bestFit="1" customWidth="1"/>
    <col min="14100" max="14100" width="20.664062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109375" bestFit="1" customWidth="1"/>
    <col min="14339" max="14339" width="43.88671875" customWidth="1"/>
    <col min="14340" max="14340" width="19.88671875" bestFit="1" customWidth="1"/>
    <col min="14341" max="14341" width="17.109375" bestFit="1" customWidth="1"/>
    <col min="14342" max="14342" width="18.88671875" bestFit="1" customWidth="1"/>
    <col min="14343" max="14343" width="13.44140625" customWidth="1"/>
    <col min="14344" max="14344" width="15.44140625" bestFit="1" customWidth="1"/>
    <col min="14345" max="14345" width="14.33203125" bestFit="1" customWidth="1"/>
    <col min="14346" max="14346" width="15.33203125" customWidth="1"/>
    <col min="14347" max="14347" width="15.88671875" customWidth="1"/>
    <col min="14348" max="14348" width="17.109375" bestFit="1" customWidth="1"/>
    <col min="14349" max="14349" width="12.6640625" customWidth="1"/>
    <col min="14350" max="14350" width="13.6640625" customWidth="1"/>
    <col min="14351" max="14351" width="14" bestFit="1" customWidth="1"/>
    <col min="14352" max="14354" width="19.33203125" bestFit="1" customWidth="1"/>
    <col min="14355" max="14355" width="20.5546875" bestFit="1" customWidth="1"/>
    <col min="14356" max="14356" width="20.664062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109375" bestFit="1" customWidth="1"/>
    <col min="14595" max="14595" width="43.88671875" customWidth="1"/>
    <col min="14596" max="14596" width="19.88671875" bestFit="1" customWidth="1"/>
    <col min="14597" max="14597" width="17.109375" bestFit="1" customWidth="1"/>
    <col min="14598" max="14598" width="18.88671875" bestFit="1" customWidth="1"/>
    <col min="14599" max="14599" width="13.44140625" customWidth="1"/>
    <col min="14600" max="14600" width="15.44140625" bestFit="1" customWidth="1"/>
    <col min="14601" max="14601" width="14.33203125" bestFit="1" customWidth="1"/>
    <col min="14602" max="14602" width="15.33203125" customWidth="1"/>
    <col min="14603" max="14603" width="15.88671875" customWidth="1"/>
    <col min="14604" max="14604" width="17.109375" bestFit="1" customWidth="1"/>
    <col min="14605" max="14605" width="12.6640625" customWidth="1"/>
    <col min="14606" max="14606" width="13.6640625" customWidth="1"/>
    <col min="14607" max="14607" width="14" bestFit="1" customWidth="1"/>
    <col min="14608" max="14610" width="19.33203125" bestFit="1" customWidth="1"/>
    <col min="14611" max="14611" width="20.5546875" bestFit="1" customWidth="1"/>
    <col min="14612" max="14612" width="20.664062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109375" bestFit="1" customWidth="1"/>
    <col min="14851" max="14851" width="43.88671875" customWidth="1"/>
    <col min="14852" max="14852" width="19.88671875" bestFit="1" customWidth="1"/>
    <col min="14853" max="14853" width="17.109375" bestFit="1" customWidth="1"/>
    <col min="14854" max="14854" width="18.88671875" bestFit="1" customWidth="1"/>
    <col min="14855" max="14855" width="13.44140625" customWidth="1"/>
    <col min="14856" max="14856" width="15.44140625" bestFit="1" customWidth="1"/>
    <col min="14857" max="14857" width="14.33203125" bestFit="1" customWidth="1"/>
    <col min="14858" max="14858" width="15.33203125" customWidth="1"/>
    <col min="14859" max="14859" width="15.88671875" customWidth="1"/>
    <col min="14860" max="14860" width="17.109375" bestFit="1" customWidth="1"/>
    <col min="14861" max="14861" width="12.6640625" customWidth="1"/>
    <col min="14862" max="14862" width="13.6640625" customWidth="1"/>
    <col min="14863" max="14863" width="14" bestFit="1" customWidth="1"/>
    <col min="14864" max="14866" width="19.33203125" bestFit="1" customWidth="1"/>
    <col min="14867" max="14867" width="20.5546875" bestFit="1" customWidth="1"/>
    <col min="14868" max="14868" width="20.664062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109375" bestFit="1" customWidth="1"/>
    <col min="15107" max="15107" width="43.88671875" customWidth="1"/>
    <col min="15108" max="15108" width="19.88671875" bestFit="1" customWidth="1"/>
    <col min="15109" max="15109" width="17.109375" bestFit="1" customWidth="1"/>
    <col min="15110" max="15110" width="18.88671875" bestFit="1" customWidth="1"/>
    <col min="15111" max="15111" width="13.44140625" customWidth="1"/>
    <col min="15112" max="15112" width="15.44140625" bestFit="1" customWidth="1"/>
    <col min="15113" max="15113" width="14.33203125" bestFit="1" customWidth="1"/>
    <col min="15114" max="15114" width="15.33203125" customWidth="1"/>
    <col min="15115" max="15115" width="15.88671875" customWidth="1"/>
    <col min="15116" max="15116" width="17.109375" bestFit="1" customWidth="1"/>
    <col min="15117" max="15117" width="12.6640625" customWidth="1"/>
    <col min="15118" max="15118" width="13.6640625" customWidth="1"/>
    <col min="15119" max="15119" width="14" bestFit="1" customWidth="1"/>
    <col min="15120" max="15122" width="19.33203125" bestFit="1" customWidth="1"/>
    <col min="15123" max="15123" width="20.5546875" bestFit="1" customWidth="1"/>
    <col min="15124" max="15124" width="20.664062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109375" bestFit="1" customWidth="1"/>
    <col min="15363" max="15363" width="43.88671875" customWidth="1"/>
    <col min="15364" max="15364" width="19.88671875" bestFit="1" customWidth="1"/>
    <col min="15365" max="15365" width="17.109375" bestFit="1" customWidth="1"/>
    <col min="15366" max="15366" width="18.88671875" bestFit="1" customWidth="1"/>
    <col min="15367" max="15367" width="13.44140625" customWidth="1"/>
    <col min="15368" max="15368" width="15.44140625" bestFit="1" customWidth="1"/>
    <col min="15369" max="15369" width="14.33203125" bestFit="1" customWidth="1"/>
    <col min="15370" max="15370" width="15.33203125" customWidth="1"/>
    <col min="15371" max="15371" width="15.88671875" customWidth="1"/>
    <col min="15372" max="15372" width="17.109375" bestFit="1" customWidth="1"/>
    <col min="15373" max="15373" width="12.6640625" customWidth="1"/>
    <col min="15374" max="15374" width="13.6640625" customWidth="1"/>
    <col min="15375" max="15375" width="14" bestFit="1" customWidth="1"/>
    <col min="15376" max="15378" width="19.33203125" bestFit="1" customWidth="1"/>
    <col min="15379" max="15379" width="20.5546875" bestFit="1" customWidth="1"/>
    <col min="15380" max="15380" width="20.664062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109375" bestFit="1" customWidth="1"/>
    <col min="15619" max="15619" width="43.88671875" customWidth="1"/>
    <col min="15620" max="15620" width="19.88671875" bestFit="1" customWidth="1"/>
    <col min="15621" max="15621" width="17.109375" bestFit="1" customWidth="1"/>
    <col min="15622" max="15622" width="18.88671875" bestFit="1" customWidth="1"/>
    <col min="15623" max="15623" width="13.44140625" customWidth="1"/>
    <col min="15624" max="15624" width="15.44140625" bestFit="1" customWidth="1"/>
    <col min="15625" max="15625" width="14.33203125" bestFit="1" customWidth="1"/>
    <col min="15626" max="15626" width="15.33203125" customWidth="1"/>
    <col min="15627" max="15627" width="15.88671875" customWidth="1"/>
    <col min="15628" max="15628" width="17.109375" bestFit="1" customWidth="1"/>
    <col min="15629" max="15629" width="12.6640625" customWidth="1"/>
    <col min="15630" max="15630" width="13.6640625" customWidth="1"/>
    <col min="15631" max="15631" width="14" bestFit="1" customWidth="1"/>
    <col min="15632" max="15634" width="19.33203125" bestFit="1" customWidth="1"/>
    <col min="15635" max="15635" width="20.5546875" bestFit="1" customWidth="1"/>
    <col min="15636" max="15636" width="20.664062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109375" bestFit="1" customWidth="1"/>
    <col min="15875" max="15875" width="43.88671875" customWidth="1"/>
    <col min="15876" max="15876" width="19.88671875" bestFit="1" customWidth="1"/>
    <col min="15877" max="15877" width="17.109375" bestFit="1" customWidth="1"/>
    <col min="15878" max="15878" width="18.88671875" bestFit="1" customWidth="1"/>
    <col min="15879" max="15879" width="13.44140625" customWidth="1"/>
    <col min="15880" max="15880" width="15.44140625" bestFit="1" customWidth="1"/>
    <col min="15881" max="15881" width="14.33203125" bestFit="1" customWidth="1"/>
    <col min="15882" max="15882" width="15.33203125" customWidth="1"/>
    <col min="15883" max="15883" width="15.88671875" customWidth="1"/>
    <col min="15884" max="15884" width="17.109375" bestFit="1" customWidth="1"/>
    <col min="15885" max="15885" width="12.6640625" customWidth="1"/>
    <col min="15886" max="15886" width="13.6640625" customWidth="1"/>
    <col min="15887" max="15887" width="14" bestFit="1" customWidth="1"/>
    <col min="15888" max="15890" width="19.33203125" bestFit="1" customWidth="1"/>
    <col min="15891" max="15891" width="20.5546875" bestFit="1" customWidth="1"/>
    <col min="15892" max="15892" width="20.664062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109375" bestFit="1" customWidth="1"/>
    <col min="16131" max="16131" width="43.88671875" customWidth="1"/>
    <col min="16132" max="16132" width="19.88671875" bestFit="1" customWidth="1"/>
    <col min="16133" max="16133" width="17.109375" bestFit="1" customWidth="1"/>
    <col min="16134" max="16134" width="18.88671875" bestFit="1" customWidth="1"/>
    <col min="16135" max="16135" width="13.44140625" customWidth="1"/>
    <col min="16136" max="16136" width="15.44140625" bestFit="1" customWidth="1"/>
    <col min="16137" max="16137" width="14.33203125" bestFit="1" customWidth="1"/>
    <col min="16138" max="16138" width="15.33203125" customWidth="1"/>
    <col min="16139" max="16139" width="15.88671875" customWidth="1"/>
    <col min="16140" max="16140" width="17.109375" bestFit="1" customWidth="1"/>
    <col min="16141" max="16141" width="12.6640625" customWidth="1"/>
    <col min="16142" max="16142" width="13.6640625" customWidth="1"/>
    <col min="16143" max="16143" width="14" bestFit="1" customWidth="1"/>
    <col min="16144" max="16146" width="19.33203125" bestFit="1" customWidth="1"/>
    <col min="16147" max="16147" width="20.5546875" bestFit="1" customWidth="1"/>
    <col min="16148" max="16148" width="20.664062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18230637</v>
      </c>
      <c r="H1" s="202" t="str">
        <f>C4</f>
        <v>SF Existing Wx - Gas</v>
      </c>
      <c r="I1" s="202"/>
    </row>
    <row r="2" spans="2:22" ht="16.2" thickBot="1" x14ac:dyDescent="0.35">
      <c r="B2" s="202" t="s">
        <v>131</v>
      </c>
      <c r="C2" s="203" t="s">
        <v>632</v>
      </c>
      <c r="G2" s="204" t="s">
        <v>8</v>
      </c>
      <c r="Q2" s="4765" t="s">
        <v>612</v>
      </c>
      <c r="R2" s="4765"/>
      <c r="S2" s="4762" t="s">
        <v>132</v>
      </c>
      <c r="T2" s="4763"/>
      <c r="U2" s="4764"/>
      <c r="V2" s="4766" t="s">
        <v>133</v>
      </c>
    </row>
    <row r="3" spans="2:22" ht="16.2" thickBot="1" x14ac:dyDescent="0.35">
      <c r="B3" s="203" t="s">
        <v>6</v>
      </c>
      <c r="C3" s="203">
        <v>18230637</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644</v>
      </c>
      <c r="F4" s="202">
        <v>2011</v>
      </c>
      <c r="G4" s="210">
        <f>B12</f>
        <v>46121</v>
      </c>
      <c r="H4" s="211">
        <f>B17</f>
        <v>9224</v>
      </c>
      <c r="I4" s="211">
        <f>B22</f>
        <v>34867</v>
      </c>
      <c r="J4" s="211">
        <f>B27</f>
        <v>45000</v>
      </c>
      <c r="K4" s="211">
        <f>B32</f>
        <v>2940</v>
      </c>
      <c r="L4" s="211">
        <f>B37</f>
        <v>1451772</v>
      </c>
      <c r="M4" s="211">
        <f>B42</f>
        <v>2400</v>
      </c>
      <c r="N4" s="211">
        <f>B47</f>
        <v>16200</v>
      </c>
      <c r="O4" s="211">
        <f>B52</f>
        <v>2603178</v>
      </c>
      <c r="P4" s="211">
        <f>B53</f>
        <v>0</v>
      </c>
      <c r="Q4" s="213">
        <f>B54</f>
        <v>4211702</v>
      </c>
      <c r="R4" s="372">
        <f>T54</f>
        <v>753115.1</v>
      </c>
      <c r="S4" s="331">
        <f>O4/Q4</f>
        <v>0.618082191000218</v>
      </c>
      <c r="T4" s="331">
        <f>(J4+(H4*1.63))/Q4</f>
        <v>1.4254360826098331E-2</v>
      </c>
      <c r="U4" s="331">
        <f>L4/Q4</f>
        <v>0.34469960125383992</v>
      </c>
      <c r="V4" s="216">
        <f>Q4/R4</f>
        <v>5.5923749238330238</v>
      </c>
    </row>
    <row r="5" spans="2:22" ht="16.2" thickBot="1" x14ac:dyDescent="0.35">
      <c r="B5" s="202" t="s">
        <v>34</v>
      </c>
      <c r="F5" s="202">
        <v>2012</v>
      </c>
      <c r="G5" s="217">
        <f>D12</f>
        <v>333504</v>
      </c>
      <c r="H5" s="218">
        <f>D17</f>
        <v>18000</v>
      </c>
      <c r="I5" s="218">
        <f>D22</f>
        <v>221447.52</v>
      </c>
      <c r="J5" s="218">
        <f>D27</f>
        <v>45000</v>
      </c>
      <c r="K5" s="218">
        <f>D32</f>
        <v>3000</v>
      </c>
      <c r="L5" s="218">
        <f>D37</f>
        <v>72874</v>
      </c>
      <c r="M5" s="218">
        <f>D42</f>
        <v>200000</v>
      </c>
      <c r="N5" s="218">
        <f>D47</f>
        <v>16200</v>
      </c>
      <c r="O5" s="218">
        <f>D52</f>
        <v>2102137.1799999997</v>
      </c>
      <c r="P5" s="218">
        <f>D53</f>
        <v>0</v>
      </c>
      <c r="Q5" s="219">
        <f>SUM(G5:P5)</f>
        <v>3012162.6999999997</v>
      </c>
      <c r="R5" s="373">
        <f>P54</f>
        <v>543029.47400000005</v>
      </c>
      <c r="S5" s="332">
        <f>O5/Q5</f>
        <v>0.69788301276023368</v>
      </c>
      <c r="T5" s="332">
        <f>(J5+(H5*1.63))/Q5</f>
        <v>2.4679941757462173E-2</v>
      </c>
      <c r="U5" s="332">
        <f>L5/Q5</f>
        <v>2.4193248259796858E-2</v>
      </c>
      <c r="V5" s="222">
        <f>Q5/R5</f>
        <v>5.5469598690696476</v>
      </c>
    </row>
    <row r="6" spans="2:22" ht="16.2" thickBot="1" x14ac:dyDescent="0.35">
      <c r="C6" s="202" t="s">
        <v>254</v>
      </c>
      <c r="F6" s="202">
        <v>2013</v>
      </c>
      <c r="G6" s="374">
        <f>E12</f>
        <v>343509</v>
      </c>
      <c r="H6" s="375">
        <f>E17</f>
        <v>18450</v>
      </c>
      <c r="I6" s="375">
        <f>E22</f>
        <v>228034.17</v>
      </c>
      <c r="J6" s="375">
        <f>E27</f>
        <v>45000</v>
      </c>
      <c r="K6" s="375">
        <f>E32</f>
        <v>3000</v>
      </c>
      <c r="L6" s="375">
        <f>E37</f>
        <v>72874</v>
      </c>
      <c r="M6" s="375">
        <f>E42</f>
        <v>200000</v>
      </c>
      <c r="N6" s="375">
        <f>E47</f>
        <v>16200</v>
      </c>
      <c r="O6" s="375">
        <f>E52</f>
        <v>2135137.1799999997</v>
      </c>
      <c r="P6" s="375">
        <f>E53</f>
        <v>0</v>
      </c>
      <c r="Q6" s="219">
        <f>SUM(G6:P6)</f>
        <v>3062204.3499999996</v>
      </c>
      <c r="R6" s="373">
        <f>Q54</f>
        <v>546779.47400000005</v>
      </c>
      <c r="S6" s="332">
        <f>O6/Q6</f>
        <v>0.69725496275256749</v>
      </c>
      <c r="T6" s="332">
        <f>(J6+(H6*1.63))/Q6</f>
        <v>2.4516162678692562E-2</v>
      </c>
      <c r="U6" s="332">
        <f>L6/Q6</f>
        <v>2.3797889255823181E-2</v>
      </c>
      <c r="V6" s="222">
        <f>Q6/R6</f>
        <v>5.6004376455433649</v>
      </c>
    </row>
    <row r="7" spans="2:22" ht="16.2" thickBot="1" x14ac:dyDescent="0.35">
      <c r="C7" s="227" t="s">
        <v>255</v>
      </c>
      <c r="F7" s="376" t="s">
        <v>178</v>
      </c>
      <c r="G7" s="377">
        <f>SUM(G5:G6)</f>
        <v>677013</v>
      </c>
      <c r="H7" s="377">
        <f t="shared" ref="H7:P7" si="0">SUM(H5:H6)</f>
        <v>36450</v>
      </c>
      <c r="I7" s="377">
        <f t="shared" si="0"/>
        <v>449481.69</v>
      </c>
      <c r="J7" s="377">
        <f t="shared" si="0"/>
        <v>90000</v>
      </c>
      <c r="K7" s="377">
        <f t="shared" si="0"/>
        <v>6000</v>
      </c>
      <c r="L7" s="377">
        <f t="shared" si="0"/>
        <v>145748</v>
      </c>
      <c r="M7" s="377">
        <f t="shared" si="0"/>
        <v>400000</v>
      </c>
      <c r="N7" s="377">
        <f t="shared" si="0"/>
        <v>32400</v>
      </c>
      <c r="O7" s="377">
        <f t="shared" si="0"/>
        <v>4237274.3599999994</v>
      </c>
      <c r="P7" s="377">
        <f t="shared" si="0"/>
        <v>0</v>
      </c>
      <c r="Q7" s="378">
        <f>SUM(G7:P7)</f>
        <v>6074367.0499999989</v>
      </c>
      <c r="R7" s="379">
        <f>R54</f>
        <v>1089808.9480000001</v>
      </c>
      <c r="S7" s="332">
        <f>O7/Q7</f>
        <v>0.69756640076598597</v>
      </c>
      <c r="T7" s="332">
        <f>(J7+(H7*1.63))/Q7</f>
        <v>2.4597377598378753E-2</v>
      </c>
      <c r="U7" s="332">
        <f>L7/Q7</f>
        <v>2.3993940241065943E-2</v>
      </c>
      <c r="V7" s="222">
        <f>Q7/R7</f>
        <v>5.573790765021319</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43">
        <v>46121</v>
      </c>
      <c r="C12" s="244" t="s">
        <v>161</v>
      </c>
      <c r="D12" s="245">
        <f>SUM(D13:D16)</f>
        <v>333504</v>
      </c>
      <c r="E12" s="245">
        <f>SUM(E13:E16)</f>
        <v>343509</v>
      </c>
      <c r="F12" s="246">
        <f>D12+E12</f>
        <v>677013</v>
      </c>
      <c r="H12" s="135"/>
      <c r="I12" s="247" t="str">
        <f t="shared" ref="I12:I53" si="1">C62</f>
        <v>Attic Insulation R-0 to R-49 - Gas</v>
      </c>
      <c r="J12" s="248"/>
      <c r="K12" s="249"/>
      <c r="L12" s="380">
        <f t="shared" ref="L12:L53" si="2">D62</f>
        <v>0.11</v>
      </c>
      <c r="M12" s="3525">
        <v>1875767</v>
      </c>
      <c r="N12" s="3525">
        <v>1875767</v>
      </c>
      <c r="O12" s="252">
        <f>M12+N12</f>
        <v>3751534</v>
      </c>
      <c r="P12" s="381">
        <f t="shared" ref="P12:R27" si="3">M12*$D62</f>
        <v>206334.37</v>
      </c>
      <c r="Q12" s="381">
        <f t="shared" si="3"/>
        <v>206334.37</v>
      </c>
      <c r="R12" s="382">
        <f t="shared" si="3"/>
        <v>412668.74</v>
      </c>
      <c r="S12" t="s">
        <v>7</v>
      </c>
      <c r="T12" s="387">
        <v>213000</v>
      </c>
    </row>
    <row r="13" spans="2:22" ht="13.8" x14ac:dyDescent="0.3">
      <c r="B13" s="256"/>
      <c r="C13" s="257" t="s">
        <v>162</v>
      </c>
      <c r="D13" s="258">
        <v>333504</v>
      </c>
      <c r="E13" s="258">
        <v>343509</v>
      </c>
      <c r="F13" s="258">
        <f>SUM(D13:E13)</f>
        <v>677013</v>
      </c>
      <c r="H13" s="135"/>
      <c r="I13" s="259" t="str">
        <f t="shared" si="1"/>
        <v>Floor insulation R-0 to R-30 - Gas</v>
      </c>
      <c r="J13" s="260"/>
      <c r="K13" s="261"/>
      <c r="L13" s="380">
        <f t="shared" si="2"/>
        <v>6.2E-2</v>
      </c>
      <c r="M13" s="3525">
        <v>1652107</v>
      </c>
      <c r="N13" s="3525">
        <v>1652107</v>
      </c>
      <c r="O13" s="252">
        <f t="shared" ref="O13:O53" si="4">M13+N13</f>
        <v>3304214</v>
      </c>
      <c r="P13" s="381">
        <f t="shared" si="3"/>
        <v>102430.63400000001</v>
      </c>
      <c r="Q13" s="381">
        <f t="shared" si="3"/>
        <v>102430.63400000001</v>
      </c>
      <c r="R13" s="382">
        <f t="shared" si="3"/>
        <v>204861.26800000001</v>
      </c>
      <c r="T13" s="387">
        <v>39200</v>
      </c>
    </row>
    <row r="14" spans="2:22" ht="13.8" x14ac:dyDescent="0.3">
      <c r="B14" s="264"/>
      <c r="C14" s="265" t="s">
        <v>163</v>
      </c>
      <c r="D14" s="266">
        <v>0</v>
      </c>
      <c r="E14" s="266"/>
      <c r="F14" s="258">
        <f t="shared" ref="F14:F24" si="5">SUM(D14:E14)</f>
        <v>0</v>
      </c>
      <c r="H14" s="135"/>
      <c r="I14" s="259" t="str">
        <f t="shared" si="1"/>
        <v>Wall Insulation R-0 to R-11 - Gas</v>
      </c>
      <c r="J14" s="260"/>
      <c r="K14" s="261"/>
      <c r="L14" s="380">
        <f t="shared" si="2"/>
        <v>7.2999999999999995E-2</v>
      </c>
      <c r="M14" s="3525">
        <v>584000</v>
      </c>
      <c r="N14" s="3525">
        <v>584000</v>
      </c>
      <c r="O14" s="252">
        <f t="shared" si="4"/>
        <v>1168000</v>
      </c>
      <c r="P14" s="381">
        <f t="shared" si="3"/>
        <v>42632</v>
      </c>
      <c r="Q14" s="381">
        <f t="shared" si="3"/>
        <v>42632</v>
      </c>
      <c r="R14" s="382">
        <f t="shared" si="3"/>
        <v>85264</v>
      </c>
      <c r="T14" s="387">
        <v>261800</v>
      </c>
    </row>
    <row r="15" spans="2:22" ht="13.8" x14ac:dyDescent="0.3">
      <c r="B15" s="264"/>
      <c r="C15" s="265" t="s">
        <v>164</v>
      </c>
      <c r="D15" s="268">
        <v>0</v>
      </c>
      <c r="E15" s="268"/>
      <c r="F15" s="258">
        <f t="shared" si="5"/>
        <v>0</v>
      </c>
      <c r="H15" s="135"/>
      <c r="I15" s="259" t="str">
        <f t="shared" si="1"/>
        <v>Duct Insulation FAF Gas R-2 to R-11</v>
      </c>
      <c r="J15" s="260"/>
      <c r="K15" s="261"/>
      <c r="L15" s="380">
        <f t="shared" si="2"/>
        <v>32</v>
      </c>
      <c r="M15" s="3525">
        <v>0</v>
      </c>
      <c r="N15" s="3525">
        <v>0</v>
      </c>
      <c r="O15" s="252">
        <f t="shared" si="4"/>
        <v>0</v>
      </c>
      <c r="P15" s="381">
        <f t="shared" si="3"/>
        <v>0</v>
      </c>
      <c r="Q15" s="381">
        <f t="shared" si="3"/>
        <v>0</v>
      </c>
      <c r="R15" s="382">
        <f t="shared" si="3"/>
        <v>0</v>
      </c>
      <c r="T15" s="387">
        <v>47840</v>
      </c>
    </row>
    <row r="16" spans="2:22" ht="14.4" thickBot="1" x14ac:dyDescent="0.35">
      <c r="B16" s="388"/>
      <c r="C16" s="265" t="s">
        <v>165</v>
      </c>
      <c r="D16" s="268">
        <v>0</v>
      </c>
      <c r="E16" s="268"/>
      <c r="F16" s="258">
        <f t="shared" si="5"/>
        <v>0</v>
      </c>
      <c r="H16" s="135"/>
      <c r="I16" s="259" t="str">
        <f t="shared" si="1"/>
        <v>PTCS Duct Sealing -Gas</v>
      </c>
      <c r="J16" s="260"/>
      <c r="K16" s="261"/>
      <c r="L16" s="380">
        <f t="shared" si="2"/>
        <v>55</v>
      </c>
      <c r="M16" s="3525">
        <v>0</v>
      </c>
      <c r="N16" s="3525">
        <v>0</v>
      </c>
      <c r="O16" s="252">
        <f t="shared" si="4"/>
        <v>0</v>
      </c>
      <c r="P16" s="381">
        <f t="shared" si="3"/>
        <v>0</v>
      </c>
      <c r="Q16" s="381">
        <f t="shared" si="3"/>
        <v>0</v>
      </c>
      <c r="R16" s="382">
        <f t="shared" si="3"/>
        <v>0</v>
      </c>
      <c r="T16" s="387">
        <v>44160</v>
      </c>
    </row>
    <row r="17" spans="2:20" ht="14.4" thickBot="1" x14ac:dyDescent="0.35">
      <c r="B17" s="243">
        <v>9224</v>
      </c>
      <c r="C17" s="244" t="s">
        <v>166</v>
      </c>
      <c r="D17" s="245">
        <f>SUM(D18:D21)</f>
        <v>18000</v>
      </c>
      <c r="E17" s="245">
        <f>SUM(E18:E21)</f>
        <v>18450</v>
      </c>
      <c r="F17" s="246">
        <f>D17+E17</f>
        <v>36450</v>
      </c>
      <c r="H17" s="135"/>
      <c r="I17" s="259" t="str">
        <f t="shared" si="1"/>
        <v>Air Sealing</v>
      </c>
      <c r="J17" s="260"/>
      <c r="K17" s="261"/>
      <c r="L17" s="380">
        <f t="shared" si="2"/>
        <v>2.3E-2</v>
      </c>
      <c r="M17" s="3525">
        <v>1890000</v>
      </c>
      <c r="N17" s="3525">
        <v>1890000</v>
      </c>
      <c r="O17" s="252">
        <f t="shared" si="4"/>
        <v>3780000</v>
      </c>
      <c r="P17" s="381">
        <f t="shared" si="3"/>
        <v>43470</v>
      </c>
      <c r="Q17" s="381">
        <f t="shared" si="3"/>
        <v>43470</v>
      </c>
      <c r="R17" s="382">
        <f t="shared" si="3"/>
        <v>86940</v>
      </c>
      <c r="T17" s="387">
        <v>127145</v>
      </c>
    </row>
    <row r="18" spans="2:20" ht="13.8" x14ac:dyDescent="0.3">
      <c r="B18" s="256"/>
      <c r="C18" s="257" t="s">
        <v>162</v>
      </c>
      <c r="D18" s="258">
        <v>18000</v>
      </c>
      <c r="E18" s="258">
        <v>18450</v>
      </c>
      <c r="F18" s="258">
        <f t="shared" si="5"/>
        <v>36450</v>
      </c>
      <c r="H18" s="135"/>
      <c r="I18" s="259" t="str">
        <f t="shared" si="1"/>
        <v>Home Performance with Energy Star</v>
      </c>
      <c r="J18" s="260"/>
      <c r="K18" s="261"/>
      <c r="L18" s="380">
        <f t="shared" si="2"/>
        <v>0</v>
      </c>
      <c r="M18" s="3525">
        <v>100</v>
      </c>
      <c r="N18" s="3525">
        <v>120</v>
      </c>
      <c r="O18" s="252">
        <f t="shared" si="4"/>
        <v>220</v>
      </c>
      <c r="P18" s="381">
        <f t="shared" si="3"/>
        <v>0</v>
      </c>
      <c r="Q18" s="381">
        <f t="shared" si="3"/>
        <v>0</v>
      </c>
      <c r="R18" s="382">
        <f t="shared" si="3"/>
        <v>0</v>
      </c>
      <c r="T18" s="295"/>
    </row>
    <row r="19" spans="2:20" ht="13.8" x14ac:dyDescent="0.3">
      <c r="B19" s="264"/>
      <c r="C19" s="265" t="s">
        <v>163</v>
      </c>
      <c r="D19" s="266">
        <v>0</v>
      </c>
      <c r="E19" s="266"/>
      <c r="F19" s="258">
        <f t="shared" si="5"/>
        <v>0</v>
      </c>
      <c r="H19" s="135"/>
      <c r="I19" s="259" t="str">
        <f t="shared" si="1"/>
        <v>Attic Insulation R-19 to R-49 - Gas</v>
      </c>
      <c r="J19" s="260"/>
      <c r="K19" s="261"/>
      <c r="L19" s="380">
        <f t="shared" si="2"/>
        <v>3.3000000000000002E-2</v>
      </c>
      <c r="M19" s="3525">
        <v>346590</v>
      </c>
      <c r="N19" s="3525">
        <v>346590</v>
      </c>
      <c r="O19" s="252">
        <f t="shared" si="4"/>
        <v>693180</v>
      </c>
      <c r="P19" s="381">
        <f t="shared" si="3"/>
        <v>11437.470000000001</v>
      </c>
      <c r="Q19" s="381">
        <f t="shared" si="3"/>
        <v>11437.470000000001</v>
      </c>
      <c r="R19" s="382">
        <f t="shared" si="3"/>
        <v>22874.940000000002</v>
      </c>
      <c r="T19" s="295"/>
    </row>
    <row r="20" spans="2:20" ht="13.8" x14ac:dyDescent="0.3">
      <c r="B20" s="264"/>
      <c r="C20" s="265" t="s">
        <v>164</v>
      </c>
      <c r="D20" s="268">
        <v>0</v>
      </c>
      <c r="E20" s="268"/>
      <c r="F20" s="258">
        <f t="shared" si="5"/>
        <v>0</v>
      </c>
      <c r="H20" s="135"/>
      <c r="I20" s="259" t="str">
        <f t="shared" si="1"/>
        <v>Prescriptive Duct Sealing and Insulation - Gas</v>
      </c>
      <c r="J20" s="260"/>
      <c r="K20" s="261"/>
      <c r="L20" s="380">
        <f t="shared" si="2"/>
        <v>75</v>
      </c>
      <c r="M20" s="3525">
        <v>1823</v>
      </c>
      <c r="N20" s="3525">
        <v>1873</v>
      </c>
      <c r="O20" s="252">
        <f t="shared" si="4"/>
        <v>3696</v>
      </c>
      <c r="P20" s="381">
        <f t="shared" si="3"/>
        <v>136725</v>
      </c>
      <c r="Q20" s="381">
        <f t="shared" si="3"/>
        <v>140475</v>
      </c>
      <c r="R20" s="382">
        <f t="shared" si="3"/>
        <v>277200</v>
      </c>
      <c r="T20" s="295">
        <v>3012</v>
      </c>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v>6425.6</v>
      </c>
    </row>
    <row r="22" spans="2:20" ht="14.4" thickBot="1" x14ac:dyDescent="0.35">
      <c r="B22" s="243">
        <v>34867</v>
      </c>
      <c r="C22" s="244" t="s">
        <v>167</v>
      </c>
      <c r="D22" s="245">
        <f>SUM(D23:D26)</f>
        <v>221447.52</v>
      </c>
      <c r="E22" s="245">
        <f>SUM(E23:E26)</f>
        <v>228034.17</v>
      </c>
      <c r="F22" s="246">
        <f>D22+E22</f>
        <v>449481.69</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v>8184</v>
      </c>
    </row>
    <row r="23" spans="2:20" ht="13.8" x14ac:dyDescent="0.3">
      <c r="B23" s="256"/>
      <c r="C23" s="257" t="s">
        <v>168</v>
      </c>
      <c r="D23" s="258">
        <f>0.63*D12</f>
        <v>210107.51999999999</v>
      </c>
      <c r="E23" s="258">
        <f>0.63*E12</f>
        <v>216410.67</v>
      </c>
      <c r="F23" s="258">
        <f t="shared" si="5"/>
        <v>426518.19</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v>2348.5</v>
      </c>
    </row>
    <row r="24" spans="2:20" ht="13.8" x14ac:dyDescent="0.3">
      <c r="B24" s="256"/>
      <c r="C24" s="257" t="s">
        <v>169</v>
      </c>
      <c r="D24" s="266">
        <f>0.63*D17</f>
        <v>11340</v>
      </c>
      <c r="E24" s="266">
        <f>0.63*E17</f>
        <v>11623.5</v>
      </c>
      <c r="F24" s="258">
        <f t="shared" si="5"/>
        <v>22963.5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43">
        <v>45000</v>
      </c>
      <c r="C27" s="244" t="s">
        <v>170</v>
      </c>
      <c r="D27" s="245">
        <f>SUM(D28:D31)</f>
        <v>45000</v>
      </c>
      <c r="E27" s="245">
        <f>SUM(E28:E31)</f>
        <v>45000</v>
      </c>
      <c r="F27" s="246">
        <f>D27+E27</f>
        <v>90000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258">
        <v>45000</v>
      </c>
      <c r="E28" s="258">
        <v>45000</v>
      </c>
      <c r="F28" s="258">
        <f t="shared" ref="F28:F36" si="6">SUM(D28:E28)</f>
        <v>90000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43">
        <v>2940</v>
      </c>
      <c r="C32" s="244" t="s">
        <v>171</v>
      </c>
      <c r="D32" s="245">
        <f>SUM(D33:D36)</f>
        <v>3000</v>
      </c>
      <c r="E32" s="245">
        <f>SUM(E33:E36)</f>
        <v>3000</v>
      </c>
      <c r="F32" s="246">
        <f>D32+E32</f>
        <v>6000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3000</v>
      </c>
      <c r="E33" s="266">
        <v>3000</v>
      </c>
      <c r="F33" s="258">
        <f t="shared" si="6"/>
        <v>6000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43">
        <v>1451772</v>
      </c>
      <c r="C37" s="244" t="s">
        <v>172</v>
      </c>
      <c r="D37" s="245">
        <f>SUM(D38:D41)</f>
        <v>72874</v>
      </c>
      <c r="E37" s="245">
        <f>SUM(E38:E41)</f>
        <v>72874</v>
      </c>
      <c r="F37" s="246">
        <f>D37+E37</f>
        <v>145748</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334">
        <v>72874</v>
      </c>
      <c r="E38" s="334">
        <v>72874</v>
      </c>
      <c r="F38" s="258">
        <f t="shared" ref="F38:F51" si="8">SUM(D38:E38)</f>
        <v>145748</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43">
        <v>2400</v>
      </c>
      <c r="C42" s="244" t="s">
        <v>173</v>
      </c>
      <c r="D42" s="245">
        <f>SUM(D43:D46)</f>
        <v>200000</v>
      </c>
      <c r="E42" s="245">
        <f>SUM(E43:E46)</f>
        <v>200000</v>
      </c>
      <c r="F42" s="246">
        <f>D42+E42</f>
        <v>400000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200000</v>
      </c>
      <c r="E43" s="266">
        <v>200000</v>
      </c>
      <c r="F43" s="258">
        <f t="shared" si="8"/>
        <v>400000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43">
        <v>16200</v>
      </c>
      <c r="C47" s="244" t="s">
        <v>174</v>
      </c>
      <c r="D47" s="245">
        <f>SUM(D48:D51)</f>
        <v>16200</v>
      </c>
      <c r="E47" s="245">
        <f>SUM(E48:E51)</f>
        <v>16200</v>
      </c>
      <c r="F47" s="246">
        <f>D47+E47</f>
        <v>32400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16200</v>
      </c>
      <c r="E48" s="266">
        <v>16200</v>
      </c>
      <c r="F48" s="258">
        <f t="shared" si="8"/>
        <v>32400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5"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5"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5"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5" ht="14.4" thickBot="1" x14ac:dyDescent="0.35">
      <c r="B52" s="272">
        <v>2603178</v>
      </c>
      <c r="C52" s="244" t="s">
        <v>175</v>
      </c>
      <c r="D52" s="245">
        <f>S104</f>
        <v>2102137.1799999997</v>
      </c>
      <c r="E52" s="245">
        <f>T104</f>
        <v>2135137.1799999997</v>
      </c>
      <c r="F52" s="246">
        <f>U104</f>
        <v>4237274.3599999994</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5"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5" ht="13.8" x14ac:dyDescent="0.3">
      <c r="B54" s="273">
        <f>B12+B17+B22+B27+B32+B37+B42+B47+B52+B53</f>
        <v>4211702</v>
      </c>
      <c r="C54" s="274" t="s">
        <v>178</v>
      </c>
      <c r="D54" s="273">
        <f>D12+D17+D22+D27+D32+D37+D42+D47+D52+D53</f>
        <v>3012162.6999999997</v>
      </c>
      <c r="E54" s="273">
        <f>E12+E17+E22+E27+E32+E37+E42+E47+E52+E53</f>
        <v>3062204.3499999996</v>
      </c>
      <c r="F54" s="273">
        <f>F12+F17+F22+F27+F32+F37+F42+F47+F52+F53</f>
        <v>6074367.0499999989</v>
      </c>
      <c r="P54" s="385">
        <f>SUM(P12:P53)</f>
        <v>543029.47400000005</v>
      </c>
      <c r="Q54" s="385">
        <f>SUM(Q12:Q53)</f>
        <v>546779.47400000005</v>
      </c>
      <c r="R54" s="385">
        <f>SUM(R12:R53)</f>
        <v>1089808.9480000001</v>
      </c>
      <c r="T54" s="385">
        <f>SUM(T12:T53)</f>
        <v>753115.1</v>
      </c>
    </row>
    <row r="55" spans="2:25" ht="13.8" x14ac:dyDescent="0.3">
      <c r="C55" s="274"/>
      <c r="D55" s="273"/>
      <c r="E55" s="273"/>
      <c r="F55" s="273"/>
    </row>
    <row r="56" spans="2:25" ht="13.8" x14ac:dyDescent="0.3">
      <c r="C56" s="274" t="s">
        <v>179</v>
      </c>
      <c r="D56" s="273">
        <f>D54-D52</f>
        <v>910025.52</v>
      </c>
      <c r="E56" s="273">
        <f>E54-E52</f>
        <v>927067.16999999993</v>
      </c>
      <c r="F56" s="273">
        <f>F54-F52</f>
        <v>1837092.6899999995</v>
      </c>
    </row>
    <row r="57" spans="2:25" ht="13.8" x14ac:dyDescent="0.3">
      <c r="C57" s="274" t="s">
        <v>180</v>
      </c>
      <c r="D57" s="276">
        <f>D52</f>
        <v>2102137.1799999997</v>
      </c>
      <c r="E57" s="276">
        <f>E52</f>
        <v>2135137.1799999997</v>
      </c>
      <c r="F57" s="276">
        <f>F52</f>
        <v>4237274.3599999994</v>
      </c>
      <c r="G57" s="335">
        <f>F57/(F56+F57)</f>
        <v>0.69756640076598597</v>
      </c>
      <c r="H57" s="278" t="s">
        <v>181</v>
      </c>
    </row>
    <row r="58" spans="2:25" ht="13.8" thickBot="1" x14ac:dyDescent="0.3"/>
    <row r="59" spans="2:25" ht="16.2" thickBot="1" x14ac:dyDescent="0.35">
      <c r="B59" s="279" t="s">
        <v>182</v>
      </c>
      <c r="C59" s="280"/>
      <c r="D59" s="4760" t="s">
        <v>183</v>
      </c>
      <c r="E59" s="4761"/>
      <c r="F59" s="4761"/>
      <c r="G59" s="4761"/>
      <c r="H59" s="4761"/>
      <c r="K59" s="281"/>
    </row>
    <row r="60" spans="2:25"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5"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5" ht="13.8" x14ac:dyDescent="0.3">
      <c r="B62" s="251">
        <v>48</v>
      </c>
      <c r="C62" s="3521" t="s">
        <v>638</v>
      </c>
      <c r="D62" s="3521">
        <v>0.11</v>
      </c>
      <c r="E62" s="3521" t="s">
        <v>617</v>
      </c>
      <c r="F62" s="3521" t="s">
        <v>295</v>
      </c>
      <c r="G62" s="3523">
        <v>1.08</v>
      </c>
      <c r="H62" s="3523">
        <v>0.22</v>
      </c>
      <c r="I62" s="3524">
        <v>0.37869999999999998</v>
      </c>
      <c r="J62" s="3521">
        <v>30</v>
      </c>
      <c r="K62" s="3521" t="s">
        <v>618</v>
      </c>
      <c r="L62" s="3864">
        <v>4.5163639461636187</v>
      </c>
      <c r="M62" s="3864">
        <v>1.4109276251614935</v>
      </c>
      <c r="N62" s="3520">
        <v>1356012.6864967621</v>
      </c>
      <c r="O62" s="3520">
        <v>4340581.8261822397</v>
      </c>
      <c r="P62" s="3520">
        <v>6124246.8078344464</v>
      </c>
      <c r="Q62" s="3520">
        <v>6124246.8078344464</v>
      </c>
      <c r="R62" s="3519">
        <v>1.081</v>
      </c>
      <c r="S62" s="3923">
        <f t="shared" ref="S62:T71" si="10">M12*$H62</f>
        <v>412668.74</v>
      </c>
      <c r="T62" s="3923">
        <f t="shared" si="10"/>
        <v>412668.74</v>
      </c>
      <c r="U62" s="3518">
        <f>SUM(S62:T62)</f>
        <v>825337.48</v>
      </c>
      <c r="V62" s="338">
        <f t="shared" ref="V62:V80" si="11">U62/(U62+(I62*F$56))</f>
        <v>0.54261232326087616</v>
      </c>
      <c r="W62" s="338">
        <f t="shared" ref="W62:W80" si="12">(I62*((F$17*1.63)+F$27))/(U62+(I62*F$56))</f>
        <v>3.7200024805749514E-2</v>
      </c>
      <c r="X62" s="338">
        <f t="shared" ref="X62:X80" si="13">(I62*F$37)/(U62+(I62*F$56))</f>
        <v>3.6287411883051936E-2</v>
      </c>
      <c r="Y62" s="301">
        <f>I62*F$56</f>
        <v>695707.00170299981</v>
      </c>
    </row>
    <row r="63" spans="2:25" ht="13.8" x14ac:dyDescent="0.3">
      <c r="B63" s="339">
        <v>49</v>
      </c>
      <c r="C63" s="3522" t="s">
        <v>639</v>
      </c>
      <c r="D63" s="3522">
        <v>6.2E-2</v>
      </c>
      <c r="E63" s="3522" t="s">
        <v>617</v>
      </c>
      <c r="F63" s="3522" t="s">
        <v>295</v>
      </c>
      <c r="G63" s="3523">
        <v>1.37</v>
      </c>
      <c r="H63" s="3523">
        <v>0.22</v>
      </c>
      <c r="I63" s="3524">
        <v>4.8000000000000001E-2</v>
      </c>
      <c r="J63" s="3521">
        <v>30</v>
      </c>
      <c r="K63" s="3521" t="s">
        <v>618</v>
      </c>
      <c r="L63" s="3864">
        <v>4.0669169947573982</v>
      </c>
      <c r="M63" s="3864">
        <v>0.71322765917431674</v>
      </c>
      <c r="N63" s="3520">
        <v>747559.32018501393</v>
      </c>
      <c r="O63" s="3520">
        <v>4262680.5967807593</v>
      </c>
      <c r="P63" s="3520">
        <v>3040261.7038497203</v>
      </c>
      <c r="Q63" s="3520">
        <v>3040261.7038497203</v>
      </c>
      <c r="R63" s="3519">
        <v>1.081</v>
      </c>
      <c r="S63" s="3923">
        <f t="shared" si="10"/>
        <v>363463.54</v>
      </c>
      <c r="T63" s="3923">
        <f t="shared" si="10"/>
        <v>363463.54</v>
      </c>
      <c r="U63" s="4117">
        <f t="shared" ref="U63:U103" si="14">SUM(S63:T63)</f>
        <v>726927.08</v>
      </c>
      <c r="V63" s="338">
        <f t="shared" si="11"/>
        <v>0.89181740326309988</v>
      </c>
      <c r="W63" s="338">
        <f t="shared" si="12"/>
        <v>8.7986526240811623E-3</v>
      </c>
      <c r="X63" s="338">
        <f t="shared" si="13"/>
        <v>8.582798894708853E-3</v>
      </c>
      <c r="Y63" s="301">
        <f t="shared" ref="Y63:Y74" si="15">I63*F$56</f>
        <v>88180.449119999976</v>
      </c>
    </row>
    <row r="64" spans="2:25" ht="13.8" x14ac:dyDescent="0.3">
      <c r="B64" s="339">
        <v>51</v>
      </c>
      <c r="C64" s="3522" t="s">
        <v>640</v>
      </c>
      <c r="D64" s="3522">
        <v>7.2999999999999995E-2</v>
      </c>
      <c r="E64" s="3522" t="s">
        <v>617</v>
      </c>
      <c r="F64" s="3522" t="s">
        <v>295</v>
      </c>
      <c r="G64" s="3523">
        <v>0.97</v>
      </c>
      <c r="H64" s="3523">
        <v>0.22</v>
      </c>
      <c r="I64" s="3524">
        <v>7.8200000000000006E-2</v>
      </c>
      <c r="J64" s="3521">
        <v>30</v>
      </c>
      <c r="K64" s="3521" t="s">
        <v>618</v>
      </c>
      <c r="L64" s="3864">
        <v>3.5143405287148166</v>
      </c>
      <c r="M64" s="3864">
        <v>1.0811236755637075</v>
      </c>
      <c r="N64" s="3520">
        <v>360058.42253283993</v>
      </c>
      <c r="O64" s="3520">
        <v>1170419.1995911193</v>
      </c>
      <c r="P64" s="3520">
        <v>1265367.9070122836</v>
      </c>
      <c r="Q64" s="3520">
        <v>1265367.9070122836</v>
      </c>
      <c r="R64" s="3519">
        <v>1.081</v>
      </c>
      <c r="S64" s="3923">
        <f t="shared" si="10"/>
        <v>128480</v>
      </c>
      <c r="T64" s="3923">
        <f t="shared" si="10"/>
        <v>128480</v>
      </c>
      <c r="U64" s="4117">
        <f t="shared" si="14"/>
        <v>256960</v>
      </c>
      <c r="V64" s="338">
        <f t="shared" si="11"/>
        <v>0.6414047829366426</v>
      </c>
      <c r="W64" s="338">
        <f t="shared" si="12"/>
        <v>2.916508609301361E-2</v>
      </c>
      <c r="X64" s="338">
        <f t="shared" si="13"/>
        <v>2.8449591020118986E-2</v>
      </c>
      <c r="Y64" s="301">
        <f t="shared" si="15"/>
        <v>143660.64835799998</v>
      </c>
    </row>
    <row r="65" spans="2:25" ht="13.8" x14ac:dyDescent="0.3">
      <c r="B65" s="339">
        <v>53</v>
      </c>
      <c r="C65" s="3522" t="s">
        <v>641</v>
      </c>
      <c r="D65" s="3522">
        <v>32</v>
      </c>
      <c r="E65" s="3522" t="s">
        <v>617</v>
      </c>
      <c r="F65" s="3522" t="s">
        <v>258</v>
      </c>
      <c r="G65" s="3523">
        <v>734.7</v>
      </c>
      <c r="H65" s="3523">
        <v>200</v>
      </c>
      <c r="I65" s="3524">
        <v>0</v>
      </c>
      <c r="J65" s="3521">
        <v>30</v>
      </c>
      <c r="K65" s="3521" t="s">
        <v>618</v>
      </c>
      <c r="L65" s="3864" t="e">
        <v>#DIV/0!</v>
      </c>
      <c r="M65" s="3864" t="e">
        <v>#DIV/0!</v>
      </c>
      <c r="N65" s="3520">
        <v>0</v>
      </c>
      <c r="O65" s="3520">
        <v>0</v>
      </c>
      <c r="P65" s="3520">
        <v>0</v>
      </c>
      <c r="Q65" s="3520">
        <v>0</v>
      </c>
      <c r="R65" s="3519">
        <v>1.081</v>
      </c>
      <c r="S65" s="3923">
        <f t="shared" si="10"/>
        <v>0</v>
      </c>
      <c r="T65" s="3923">
        <f t="shared" si="10"/>
        <v>0</v>
      </c>
      <c r="U65" s="4117">
        <f t="shared" si="14"/>
        <v>0</v>
      </c>
      <c r="V65" s="338" t="e">
        <f t="shared" si="11"/>
        <v>#DIV/0!</v>
      </c>
      <c r="W65" s="338" t="e">
        <f t="shared" si="12"/>
        <v>#DIV/0!</v>
      </c>
      <c r="X65" s="338" t="e">
        <f t="shared" si="13"/>
        <v>#DIV/0!</v>
      </c>
      <c r="Y65" s="301">
        <f t="shared" si="15"/>
        <v>0</v>
      </c>
    </row>
    <row r="66" spans="2:25" ht="13.8" x14ac:dyDescent="0.3">
      <c r="B66" s="339">
        <v>55</v>
      </c>
      <c r="C66" s="3522" t="s">
        <v>642</v>
      </c>
      <c r="D66" s="3522">
        <v>55</v>
      </c>
      <c r="E66" s="3522" t="s">
        <v>617</v>
      </c>
      <c r="F66" s="3522" t="s">
        <v>258</v>
      </c>
      <c r="G66" s="3523">
        <v>538</v>
      </c>
      <c r="H66" s="3523">
        <v>300</v>
      </c>
      <c r="I66" s="3524">
        <v>0</v>
      </c>
      <c r="J66" s="3521">
        <v>30</v>
      </c>
      <c r="K66" s="3521" t="s">
        <v>618</v>
      </c>
      <c r="L66" s="3864" t="e">
        <v>#DIV/0!</v>
      </c>
      <c r="M66" s="3864" t="e">
        <v>#DIV/0!</v>
      </c>
      <c r="N66" s="3520">
        <v>0</v>
      </c>
      <c r="O66" s="3520">
        <v>0</v>
      </c>
      <c r="P66" s="3520">
        <v>0</v>
      </c>
      <c r="Q66" s="3520">
        <v>0</v>
      </c>
      <c r="R66" s="3519">
        <v>1.081</v>
      </c>
      <c r="S66" s="3923">
        <f t="shared" si="10"/>
        <v>0</v>
      </c>
      <c r="T66" s="3923">
        <f t="shared" si="10"/>
        <v>0</v>
      </c>
      <c r="U66" s="4117">
        <f t="shared" si="14"/>
        <v>0</v>
      </c>
      <c r="V66" s="338" t="e">
        <f t="shared" si="11"/>
        <v>#DIV/0!</v>
      </c>
      <c r="W66" s="338" t="e">
        <f t="shared" si="12"/>
        <v>#DIV/0!</v>
      </c>
      <c r="X66" s="338" t="e">
        <f t="shared" si="13"/>
        <v>#DIV/0!</v>
      </c>
      <c r="Y66" s="301">
        <f t="shared" si="15"/>
        <v>0</v>
      </c>
    </row>
    <row r="67" spans="2:25" ht="13.8" x14ac:dyDescent="0.3">
      <c r="B67" s="339">
        <v>57</v>
      </c>
      <c r="C67" s="3522" t="s">
        <v>643</v>
      </c>
      <c r="D67" s="3522">
        <v>2.3E-2</v>
      </c>
      <c r="E67" s="3522" t="s">
        <v>617</v>
      </c>
      <c r="F67" s="3522" t="s">
        <v>295</v>
      </c>
      <c r="G67" s="3523">
        <v>0.18</v>
      </c>
      <c r="H67" s="3523">
        <v>0.11</v>
      </c>
      <c r="I67" s="3524">
        <v>7.9799999999999996E-2</v>
      </c>
      <c r="J67" s="3521">
        <v>30</v>
      </c>
      <c r="K67" s="3521" t="s">
        <v>618</v>
      </c>
      <c r="L67" s="3864">
        <v>2.5323673927095038</v>
      </c>
      <c r="M67" s="3864">
        <v>1.710574854083301</v>
      </c>
      <c r="N67" s="3520">
        <v>509499.82077890844</v>
      </c>
      <c r="O67" s="3520">
        <v>754273.17878075864</v>
      </c>
      <c r="P67" s="3520">
        <v>1290240.7327318438</v>
      </c>
      <c r="Q67" s="3520">
        <v>1290240.7327318438</v>
      </c>
      <c r="R67" s="3519">
        <v>1.081</v>
      </c>
      <c r="S67" s="3923">
        <f t="shared" si="10"/>
        <v>207900</v>
      </c>
      <c r="T67" s="3923">
        <f t="shared" si="10"/>
        <v>207900</v>
      </c>
      <c r="U67" s="4117">
        <f t="shared" si="14"/>
        <v>415800</v>
      </c>
      <c r="V67" s="338">
        <f t="shared" si="11"/>
        <v>0.73933144108799498</v>
      </c>
      <c r="W67" s="338">
        <f t="shared" si="12"/>
        <v>2.1200564315020421E-2</v>
      </c>
      <c r="X67" s="338">
        <f t="shared" si="13"/>
        <v>2.0680459582203724E-2</v>
      </c>
      <c r="Y67" s="301">
        <f t="shared" si="15"/>
        <v>146599.99666199996</v>
      </c>
    </row>
    <row r="68" spans="2:25" ht="13.8" x14ac:dyDescent="0.3">
      <c r="B68" s="339" t="s">
        <v>7</v>
      </c>
      <c r="C68" s="3522" t="s">
        <v>397</v>
      </c>
      <c r="D68" s="3522">
        <v>0</v>
      </c>
      <c r="E68" s="3522" t="s">
        <v>617</v>
      </c>
      <c r="F68" s="3522" t="s">
        <v>258</v>
      </c>
      <c r="G68" s="3523">
        <v>600</v>
      </c>
      <c r="H68" s="3523">
        <v>400</v>
      </c>
      <c r="I68" s="3524">
        <v>0.15</v>
      </c>
      <c r="J68" s="3521">
        <v>30</v>
      </c>
      <c r="K68" s="3521" t="s">
        <v>618</v>
      </c>
      <c r="L68" s="3864">
        <v>0</v>
      </c>
      <c r="M68" s="3864">
        <v>0</v>
      </c>
      <c r="N68" s="3520">
        <v>316097.78307123028</v>
      </c>
      <c r="O68" s="3520">
        <v>356800.83580018498</v>
      </c>
      <c r="P68" s="3520">
        <v>0</v>
      </c>
      <c r="Q68" s="3520">
        <v>0</v>
      </c>
      <c r="R68" s="3519">
        <v>1.081</v>
      </c>
      <c r="S68" s="3923">
        <f t="shared" si="10"/>
        <v>40000</v>
      </c>
      <c r="T68" s="3923">
        <f t="shared" si="10"/>
        <v>48000</v>
      </c>
      <c r="U68" s="4117">
        <f t="shared" si="14"/>
        <v>88000</v>
      </c>
      <c r="V68" s="338">
        <f t="shared" si="11"/>
        <v>0.24204823183168409</v>
      </c>
      <c r="W68" s="338">
        <f t="shared" si="12"/>
        <v>6.1645352534289766E-2</v>
      </c>
      <c r="X68" s="338">
        <f t="shared" si="13"/>
        <v>6.0133032431257318E-2</v>
      </c>
      <c r="Y68" s="301">
        <f t="shared" si="15"/>
        <v>275563.9034999999</v>
      </c>
    </row>
    <row r="69" spans="2:25" ht="13.8" x14ac:dyDescent="0.3">
      <c r="B69" s="339"/>
      <c r="C69" s="3517" t="s">
        <v>1100</v>
      </c>
      <c r="D69" s="3522">
        <v>3.3000000000000002E-2</v>
      </c>
      <c r="E69" s="3522" t="s">
        <v>617</v>
      </c>
      <c r="F69" s="3522" t="s">
        <v>295</v>
      </c>
      <c r="G69" s="3523">
        <v>0.66</v>
      </c>
      <c r="H69" s="3523">
        <v>0.11</v>
      </c>
      <c r="I69" s="3524">
        <v>1.0999999999999999E-2</v>
      </c>
      <c r="J69" s="3521">
        <v>30</v>
      </c>
      <c r="K69" s="3521" t="s">
        <v>618</v>
      </c>
      <c r="L69" s="3864">
        <v>3.8688189964765556</v>
      </c>
      <c r="M69" s="3864">
        <v>0.77078865257215001</v>
      </c>
      <c r="N69" s="3520">
        <v>87747.078251618877</v>
      </c>
      <c r="O69" s="3520">
        <v>440428.85438482888</v>
      </c>
      <c r="P69" s="3520">
        <v>339477.56322517793</v>
      </c>
      <c r="Q69" s="3520">
        <v>339477.56322517793</v>
      </c>
      <c r="R69" s="3519">
        <v>1.081</v>
      </c>
      <c r="S69" s="3923">
        <f t="shared" si="10"/>
        <v>38124.9</v>
      </c>
      <c r="T69" s="3923">
        <f t="shared" si="10"/>
        <v>38124.9</v>
      </c>
      <c r="U69" s="4117">
        <f t="shared" si="14"/>
        <v>76249.8</v>
      </c>
      <c r="V69" s="338">
        <f t="shared" si="11"/>
        <v>0.79049889707340004</v>
      </c>
      <c r="W69" s="338">
        <f t="shared" si="12"/>
        <v>1.7039038483204427E-2</v>
      </c>
      <c r="X69" s="338">
        <f t="shared" si="13"/>
        <v>1.6621026753607129E-2</v>
      </c>
      <c r="Y69" s="301">
        <f t="shared" si="15"/>
        <v>20208.019589999993</v>
      </c>
    </row>
    <row r="70" spans="2:25" ht="13.8" x14ac:dyDescent="0.3">
      <c r="B70" s="339" t="s">
        <v>7</v>
      </c>
      <c r="C70" s="3517" t="s">
        <v>1101</v>
      </c>
      <c r="D70" s="3522">
        <v>75</v>
      </c>
      <c r="E70" s="3522" t="s">
        <v>617</v>
      </c>
      <c r="F70" s="3522" t="s">
        <v>211</v>
      </c>
      <c r="G70" s="3523">
        <v>1000</v>
      </c>
      <c r="H70" s="3523">
        <v>500</v>
      </c>
      <c r="I70" s="3524">
        <v>0.25440000000000002</v>
      </c>
      <c r="J70" s="3521">
        <v>30</v>
      </c>
      <c r="K70" s="3521" t="s">
        <v>618</v>
      </c>
      <c r="L70" s="3864">
        <v>1.9519257752985222</v>
      </c>
      <c r="M70" s="3864">
        <v>1.0777338873962283</v>
      </c>
      <c r="N70" s="3520">
        <v>2107565.2998482883</v>
      </c>
      <c r="O70" s="3520">
        <v>3817093.5144643849</v>
      </c>
      <c r="P70" s="3520">
        <v>4113811.0318986326</v>
      </c>
      <c r="Q70" s="3520">
        <v>4113811.0318986326</v>
      </c>
      <c r="R70" s="3519">
        <v>1.081</v>
      </c>
      <c r="S70" s="3923">
        <f t="shared" si="10"/>
        <v>911500</v>
      </c>
      <c r="T70" s="3923">
        <f t="shared" si="10"/>
        <v>936500</v>
      </c>
      <c r="U70" s="4117">
        <f t="shared" si="14"/>
        <v>1848000</v>
      </c>
      <c r="V70" s="338">
        <f t="shared" si="11"/>
        <v>0.79814926794631158</v>
      </c>
      <c r="W70" s="338">
        <f t="shared" si="12"/>
        <v>1.6416822361697923E-2</v>
      </c>
      <c r="X70" s="338">
        <f t="shared" si="13"/>
        <v>1.6014075204534722E-2</v>
      </c>
      <c r="Y70" s="301">
        <f t="shared" si="15"/>
        <v>467356.38033599989</v>
      </c>
    </row>
    <row r="71" spans="2:25" ht="13.8" x14ac:dyDescent="0.3">
      <c r="B71" s="339" t="s">
        <v>7</v>
      </c>
      <c r="C71" s="296" t="s">
        <v>219</v>
      </c>
      <c r="D71" s="339">
        <v>0</v>
      </c>
      <c r="E71" s="339" t="s">
        <v>617</v>
      </c>
      <c r="F71" s="339" t="s">
        <v>258</v>
      </c>
      <c r="G71" s="328"/>
      <c r="H71" s="328"/>
      <c r="I71" s="389">
        <v>0</v>
      </c>
      <c r="J71" s="339"/>
      <c r="K71" s="251"/>
      <c r="L71" s="3865" t="e">
        <f t="shared" ref="L71:M77" si="16">P71/N71</f>
        <v>#DIV/0!</v>
      </c>
      <c r="M71" s="3865" t="e">
        <f t="shared" si="16"/>
        <v>#DIV/0!</v>
      </c>
      <c r="N71" s="218">
        <f t="shared" ref="N71:N103" si="17">(($I71*$F$56)+$U71)/$R71</f>
        <v>0</v>
      </c>
      <c r="O71" s="218">
        <f t="shared" ref="O71:O103" si="18">(($I71*$F$56)+($G71*$O21))/$R71</f>
        <v>0</v>
      </c>
      <c r="P71" s="218">
        <f>IF(K71=0, 0, (HLOOKUP(K71,'[1]G-CESTD'!$A$5:$G$35,J71+1,FALSE)*R21))</f>
        <v>0</v>
      </c>
      <c r="Q71" s="218">
        <f>IF(K71=0, 0, (HLOOKUP(K71,'[1]G-CESTD'!$A$5:$G$35,J71+1,FALSE)*R21))</f>
        <v>0</v>
      </c>
      <c r="R71" s="292">
        <v>1.081</v>
      </c>
      <c r="S71" s="3923">
        <f t="shared" si="10"/>
        <v>0</v>
      </c>
      <c r="T71" s="3923">
        <f t="shared" si="10"/>
        <v>0</v>
      </c>
      <c r="U71" s="4117">
        <f t="shared" si="14"/>
        <v>0</v>
      </c>
      <c r="V71" s="338" t="e">
        <f t="shared" si="11"/>
        <v>#DIV/0!</v>
      </c>
      <c r="W71" s="338" t="e">
        <f t="shared" si="12"/>
        <v>#DIV/0!</v>
      </c>
      <c r="X71" s="338" t="e">
        <f t="shared" si="13"/>
        <v>#DIV/0!</v>
      </c>
      <c r="Y71" s="301">
        <f t="shared" si="15"/>
        <v>0</v>
      </c>
    </row>
    <row r="72" spans="2:25" ht="13.8" x14ac:dyDescent="0.3">
      <c r="B72" s="339" t="s">
        <v>7</v>
      </c>
      <c r="C72" s="296" t="s">
        <v>220</v>
      </c>
      <c r="D72" s="339">
        <v>0</v>
      </c>
      <c r="E72" s="339" t="s">
        <v>617</v>
      </c>
      <c r="F72" s="339" t="s">
        <v>258</v>
      </c>
      <c r="G72" s="328"/>
      <c r="H72" s="328"/>
      <c r="I72" s="389">
        <v>0</v>
      </c>
      <c r="J72" s="251"/>
      <c r="K72" s="251"/>
      <c r="L72" s="3865" t="e">
        <f t="shared" si="16"/>
        <v>#DIV/0!</v>
      </c>
      <c r="M72" s="3865" t="e">
        <f t="shared" si="16"/>
        <v>#DIV/0!</v>
      </c>
      <c r="N72" s="218">
        <f t="shared" si="17"/>
        <v>0</v>
      </c>
      <c r="O72" s="218">
        <f t="shared" si="18"/>
        <v>0</v>
      </c>
      <c r="P72" s="218">
        <f>IF(K72=0, 0, (HLOOKUP(K72,'[1]G-CESTD'!$A$5:$G$35,J72+1,FALSE)*R22))</f>
        <v>0</v>
      </c>
      <c r="Q72" s="218">
        <f>IF(K72=0, 0, (HLOOKUP(K72,'[1]G-CESTD'!$A$5:$G$35,J72+1,FALSE)*R22))</f>
        <v>0</v>
      </c>
      <c r="R72" s="292">
        <v>1.081</v>
      </c>
      <c r="S72" s="293">
        <f t="shared" ref="S72:T77" si="19">M22*$H72</f>
        <v>0</v>
      </c>
      <c r="T72" s="293">
        <f t="shared" si="19"/>
        <v>0</v>
      </c>
      <c r="U72" s="4117">
        <f t="shared" si="14"/>
        <v>0</v>
      </c>
      <c r="V72" s="338" t="e">
        <f t="shared" si="11"/>
        <v>#DIV/0!</v>
      </c>
      <c r="W72" s="338" t="e">
        <f t="shared" si="12"/>
        <v>#DIV/0!</v>
      </c>
      <c r="X72" s="338" t="e">
        <f t="shared" si="13"/>
        <v>#DIV/0!</v>
      </c>
      <c r="Y72" s="301">
        <f t="shared" si="15"/>
        <v>0</v>
      </c>
    </row>
    <row r="73" spans="2:25" ht="13.8" x14ac:dyDescent="0.3">
      <c r="B73" s="339" t="s">
        <v>7</v>
      </c>
      <c r="C73" s="296" t="s">
        <v>221</v>
      </c>
      <c r="D73" s="339">
        <v>0</v>
      </c>
      <c r="E73" s="339" t="s">
        <v>617</v>
      </c>
      <c r="F73" s="339" t="s">
        <v>258</v>
      </c>
      <c r="G73" s="328"/>
      <c r="H73" s="328"/>
      <c r="I73" s="389">
        <v>0</v>
      </c>
      <c r="J73" s="251"/>
      <c r="K73" s="251"/>
      <c r="L73" s="3865" t="e">
        <f t="shared" si="16"/>
        <v>#DIV/0!</v>
      </c>
      <c r="M73" s="3865" t="e">
        <f t="shared" si="16"/>
        <v>#DIV/0!</v>
      </c>
      <c r="N73" s="218">
        <f t="shared" si="17"/>
        <v>0</v>
      </c>
      <c r="O73" s="218">
        <f t="shared" si="18"/>
        <v>0</v>
      </c>
      <c r="P73" s="218">
        <f>IF(K73=0, 0, (HLOOKUP(K73,'[1]G-CESTD'!$A$5:$G$35,J73+1,FALSE)*R23))</f>
        <v>0</v>
      </c>
      <c r="Q73" s="218">
        <f>IF(K73=0, 0, (HLOOKUP(K73,'[1]G-CESTD'!$A$5:$G$35,J73+1,FALSE)*R23))</f>
        <v>0</v>
      </c>
      <c r="R73" s="292">
        <v>1.081</v>
      </c>
      <c r="S73" s="293">
        <f t="shared" si="19"/>
        <v>0</v>
      </c>
      <c r="T73" s="293">
        <f t="shared" si="19"/>
        <v>0</v>
      </c>
      <c r="U73" s="4117">
        <f t="shared" si="14"/>
        <v>0</v>
      </c>
      <c r="V73" s="338" t="e">
        <f t="shared" si="11"/>
        <v>#DIV/0!</v>
      </c>
      <c r="W73" s="338" t="e">
        <f t="shared" si="12"/>
        <v>#DIV/0!</v>
      </c>
      <c r="X73" s="338" t="e">
        <f t="shared" si="13"/>
        <v>#DIV/0!</v>
      </c>
      <c r="Y73" s="301">
        <f t="shared" si="15"/>
        <v>0</v>
      </c>
    </row>
    <row r="74" spans="2:25" ht="13.8" x14ac:dyDescent="0.3">
      <c r="B74" s="339"/>
      <c r="C74" s="296" t="s">
        <v>222</v>
      </c>
      <c r="D74" s="339">
        <v>0</v>
      </c>
      <c r="E74" s="339" t="s">
        <v>617</v>
      </c>
      <c r="F74" s="339" t="s">
        <v>211</v>
      </c>
      <c r="G74" s="328"/>
      <c r="H74" s="328"/>
      <c r="I74" s="389">
        <f>R24/R$7</f>
        <v>0</v>
      </c>
      <c r="J74" s="251"/>
      <c r="K74" s="251"/>
      <c r="L74" s="3865" t="e">
        <f t="shared" si="16"/>
        <v>#DIV/0!</v>
      </c>
      <c r="M74" s="3865" t="e">
        <f t="shared" si="16"/>
        <v>#DIV/0!</v>
      </c>
      <c r="N74" s="218">
        <f t="shared" si="17"/>
        <v>0</v>
      </c>
      <c r="O74" s="218">
        <f t="shared" si="18"/>
        <v>0</v>
      </c>
      <c r="P74" s="218">
        <f>IF(K74=0, 0, (HLOOKUP(K74,'[1]G-CESTD'!$A$5:$G$35,J74+1,FALSE)*R24))</f>
        <v>0</v>
      </c>
      <c r="Q74" s="218">
        <f>IF(K74=0, 0, (HLOOKUP(K74,'[1]G-CESTD'!$A$5:$G$35,J74+1,FALSE)*R24))</f>
        <v>0</v>
      </c>
      <c r="R74" s="292">
        <v>1.081</v>
      </c>
      <c r="S74" s="293">
        <f t="shared" si="19"/>
        <v>0</v>
      </c>
      <c r="T74" s="293">
        <f t="shared" si="19"/>
        <v>0</v>
      </c>
      <c r="U74" s="4117">
        <f t="shared" si="14"/>
        <v>0</v>
      </c>
      <c r="V74" s="338" t="e">
        <f t="shared" si="11"/>
        <v>#DIV/0!</v>
      </c>
      <c r="W74" s="338" t="e">
        <f t="shared" si="12"/>
        <v>#DIV/0!</v>
      </c>
      <c r="X74" s="338" t="e">
        <f t="shared" si="13"/>
        <v>#DIV/0!</v>
      </c>
      <c r="Y74" s="301">
        <f t="shared" si="15"/>
        <v>0</v>
      </c>
    </row>
    <row r="75" spans="2:25" ht="13.8" x14ac:dyDescent="0.3">
      <c r="B75" s="296"/>
      <c r="C75" s="296" t="s">
        <v>223</v>
      </c>
      <c r="D75" s="296">
        <v>0</v>
      </c>
      <c r="E75" s="296" t="s">
        <v>617</v>
      </c>
      <c r="F75" s="296" t="s">
        <v>211</v>
      </c>
      <c r="G75" s="328"/>
      <c r="H75" s="328"/>
      <c r="I75" s="352">
        <v>0</v>
      </c>
      <c r="J75" s="267"/>
      <c r="K75" s="267"/>
      <c r="L75" s="3865" t="e">
        <f t="shared" si="16"/>
        <v>#DIV/0!</v>
      </c>
      <c r="M75" s="3865" t="e">
        <f t="shared" si="16"/>
        <v>#DIV/0!</v>
      </c>
      <c r="N75" s="218">
        <f t="shared" si="17"/>
        <v>0</v>
      </c>
      <c r="O75" s="218">
        <f t="shared" si="18"/>
        <v>0</v>
      </c>
      <c r="P75" s="218">
        <f>IF(K75=0, 0, (HLOOKUP(K75,'[1]G-CESTDWO'!$A$5:$G$35,J75+1,FALSE)*R25))</f>
        <v>0</v>
      </c>
      <c r="Q75" s="218">
        <f>IF(K75=0, 0, (HLOOKUP(K75,'[1]G-CESTD'!$A$5:$G$35,J75+1,FALSE)*R25))</f>
        <v>0</v>
      </c>
      <c r="R75" s="292">
        <v>1.081</v>
      </c>
      <c r="S75" s="293">
        <f t="shared" si="19"/>
        <v>0</v>
      </c>
      <c r="T75" s="293">
        <f t="shared" si="19"/>
        <v>0</v>
      </c>
      <c r="U75" s="4117">
        <f t="shared" si="14"/>
        <v>0</v>
      </c>
      <c r="V75" s="338" t="e">
        <f t="shared" si="11"/>
        <v>#DIV/0!</v>
      </c>
      <c r="W75" s="338" t="e">
        <f t="shared" si="12"/>
        <v>#DIV/0!</v>
      </c>
      <c r="X75" s="338" t="e">
        <f t="shared" si="13"/>
        <v>#DIV/0!</v>
      </c>
    </row>
    <row r="76" spans="2:25" ht="13.8" x14ac:dyDescent="0.3">
      <c r="B76" s="296"/>
      <c r="C76" s="296" t="s">
        <v>224</v>
      </c>
      <c r="D76" s="267">
        <v>0</v>
      </c>
      <c r="E76" s="296" t="s">
        <v>617</v>
      </c>
      <c r="F76" s="296" t="s">
        <v>211</v>
      </c>
      <c r="G76" s="297"/>
      <c r="H76" s="297"/>
      <c r="I76" s="326">
        <v>0</v>
      </c>
      <c r="J76" s="267"/>
      <c r="K76" s="267"/>
      <c r="L76" s="3865" t="e">
        <f t="shared" si="16"/>
        <v>#DIV/0!</v>
      </c>
      <c r="M76" s="3865" t="e">
        <f t="shared" si="16"/>
        <v>#DIV/0!</v>
      </c>
      <c r="N76" s="218">
        <f t="shared" si="17"/>
        <v>0</v>
      </c>
      <c r="O76" s="218">
        <f t="shared" si="18"/>
        <v>0</v>
      </c>
      <c r="P76" s="218">
        <f>IF(K76=0, 0, (HLOOKUP(K76,'[1]G-CESTDWO'!$A$5:$G$35,J76+1,FALSE)*R26))</f>
        <v>0</v>
      </c>
      <c r="Q76" s="218">
        <f>IF(K76=0, 0, (HLOOKUP(K76,'[1]G-CESTD'!$A$5:$G$35,J76+1,FALSE)*R26))</f>
        <v>0</v>
      </c>
      <c r="R76" s="292">
        <v>1.081</v>
      </c>
      <c r="S76" s="293">
        <f t="shared" si="19"/>
        <v>0</v>
      </c>
      <c r="T76" s="293">
        <f t="shared" si="19"/>
        <v>0</v>
      </c>
      <c r="U76" s="4117">
        <f t="shared" si="14"/>
        <v>0</v>
      </c>
      <c r="V76" s="338" t="e">
        <f t="shared" si="11"/>
        <v>#DIV/0!</v>
      </c>
      <c r="W76" s="338" t="e">
        <f t="shared" si="12"/>
        <v>#DIV/0!</v>
      </c>
      <c r="X76" s="338" t="e">
        <f t="shared" si="13"/>
        <v>#DIV/0!</v>
      </c>
    </row>
    <row r="77" spans="2:25" ht="13.8" x14ac:dyDescent="0.3">
      <c r="B77" s="296"/>
      <c r="C77" s="296" t="s">
        <v>225</v>
      </c>
      <c r="D77" s="296">
        <v>0</v>
      </c>
      <c r="E77" s="296" t="s">
        <v>617</v>
      </c>
      <c r="F77" s="296" t="s">
        <v>211</v>
      </c>
      <c r="G77" s="297"/>
      <c r="H77" s="297"/>
      <c r="I77" s="326">
        <v>0</v>
      </c>
      <c r="J77" s="267"/>
      <c r="K77" s="267"/>
      <c r="L77" s="3865" t="e">
        <f t="shared" si="16"/>
        <v>#DIV/0!</v>
      </c>
      <c r="M77" s="3865" t="e">
        <f t="shared" si="16"/>
        <v>#DIV/0!</v>
      </c>
      <c r="N77" s="218">
        <f t="shared" si="17"/>
        <v>0</v>
      </c>
      <c r="O77" s="218">
        <f t="shared" si="18"/>
        <v>0</v>
      </c>
      <c r="P77" s="218">
        <f>IF(K77=0, 0, (HLOOKUP(K77,'[1]G-CESTDWO'!$A$5:$G$35,J77+1,FALSE)*R27))</f>
        <v>0</v>
      </c>
      <c r="Q77" s="218">
        <f>IF(K77=0, 0, (HLOOKUP(K77,'[1]G-CESTD'!$A$5:$G$35,J77+1,FALSE)*R27))</f>
        <v>0</v>
      </c>
      <c r="R77" s="292">
        <v>1.081</v>
      </c>
      <c r="S77" s="293">
        <f t="shared" si="19"/>
        <v>0</v>
      </c>
      <c r="T77" s="293">
        <f t="shared" si="19"/>
        <v>0</v>
      </c>
      <c r="U77" s="4117">
        <f t="shared" si="14"/>
        <v>0</v>
      </c>
      <c r="V77" s="338" t="e">
        <f t="shared" si="11"/>
        <v>#DIV/0!</v>
      </c>
      <c r="W77" s="338" t="e">
        <f t="shared" si="12"/>
        <v>#DIV/0!</v>
      </c>
      <c r="X77" s="338" t="e">
        <f t="shared" si="13"/>
        <v>#DIV/0!</v>
      </c>
    </row>
    <row r="78" spans="2:25" ht="13.8" x14ac:dyDescent="0.3">
      <c r="B78" s="296"/>
      <c r="C78" s="296" t="s">
        <v>226</v>
      </c>
      <c r="D78" s="267">
        <v>0</v>
      </c>
      <c r="E78" s="296" t="s">
        <v>617</v>
      </c>
      <c r="F78" s="296" t="s">
        <v>211</v>
      </c>
      <c r="G78" s="297"/>
      <c r="H78" s="297"/>
      <c r="I78" s="326">
        <v>0</v>
      </c>
      <c r="J78" s="267"/>
      <c r="K78" s="267"/>
      <c r="L78" s="3865" t="e">
        <f t="shared" ref="L78:M103" si="20">P78/N78</f>
        <v>#DIV/0!</v>
      </c>
      <c r="M78" s="3865" t="e">
        <f t="shared" si="20"/>
        <v>#DIV/0!</v>
      </c>
      <c r="N78" s="218">
        <f t="shared" si="17"/>
        <v>0</v>
      </c>
      <c r="O78" s="218">
        <f t="shared" si="18"/>
        <v>0</v>
      </c>
      <c r="P78" s="218">
        <f>IF(K78=0, 0, (HLOOKUP(K78,'[1]G-CESTDWO'!$A$5:$G$35,J78+1,FALSE)*R28))</f>
        <v>0</v>
      </c>
      <c r="Q78" s="218">
        <f>IF(K78=0, 0, (HLOOKUP(K78,'[1]G-CESTD'!$A$5:$G$35,J78+1,FALSE)*R28))</f>
        <v>0</v>
      </c>
      <c r="R78" s="292">
        <v>1.081</v>
      </c>
      <c r="S78" s="293">
        <f t="shared" ref="S78:T103" si="21">M28*$H78</f>
        <v>0</v>
      </c>
      <c r="T78" s="293">
        <f t="shared" si="21"/>
        <v>0</v>
      </c>
      <c r="U78" s="4117">
        <f t="shared" si="14"/>
        <v>0</v>
      </c>
      <c r="V78" s="338" t="e">
        <f t="shared" si="11"/>
        <v>#DIV/0!</v>
      </c>
      <c r="W78" s="338" t="e">
        <f t="shared" si="12"/>
        <v>#DIV/0!</v>
      </c>
      <c r="X78" s="338" t="e">
        <f t="shared" si="13"/>
        <v>#DIV/0!</v>
      </c>
    </row>
    <row r="79" spans="2:25" ht="13.8" x14ac:dyDescent="0.3">
      <c r="B79" s="296"/>
      <c r="C79" s="296" t="s">
        <v>227</v>
      </c>
      <c r="D79" s="296">
        <v>0</v>
      </c>
      <c r="E79" s="296" t="s">
        <v>617</v>
      </c>
      <c r="F79" s="296" t="s">
        <v>211</v>
      </c>
      <c r="G79" s="297"/>
      <c r="H79" s="297"/>
      <c r="I79" s="326">
        <v>0</v>
      </c>
      <c r="J79" s="267"/>
      <c r="K79" s="267"/>
      <c r="L79" s="3865" t="e">
        <f t="shared" si="20"/>
        <v>#DIV/0!</v>
      </c>
      <c r="M79" s="3865" t="e">
        <f t="shared" si="20"/>
        <v>#DIV/0!</v>
      </c>
      <c r="N79" s="218">
        <f t="shared" si="17"/>
        <v>0</v>
      </c>
      <c r="O79" s="218">
        <f t="shared" si="18"/>
        <v>0</v>
      </c>
      <c r="P79" s="218">
        <f>IF(K79=0, 0, (HLOOKUP(K79,'[1]G-CESTDWO'!$A$5:$G$35,J79+1,FALSE)*R29))</f>
        <v>0</v>
      </c>
      <c r="Q79" s="218">
        <f>IF(K79=0, 0, (HLOOKUP(K79,'[1]G-CESTD'!$A$5:$G$35,J79+1,FALSE)*R29))</f>
        <v>0</v>
      </c>
      <c r="R79" s="292">
        <v>1.081</v>
      </c>
      <c r="S79" s="293">
        <f t="shared" si="21"/>
        <v>0</v>
      </c>
      <c r="T79" s="293">
        <f t="shared" si="21"/>
        <v>0</v>
      </c>
      <c r="U79" s="4117">
        <f t="shared" si="14"/>
        <v>0</v>
      </c>
      <c r="V79" s="338" t="e">
        <f t="shared" si="11"/>
        <v>#DIV/0!</v>
      </c>
      <c r="W79" s="338" t="e">
        <f t="shared" si="12"/>
        <v>#DIV/0!</v>
      </c>
      <c r="X79" s="338" t="e">
        <f t="shared" si="13"/>
        <v>#DIV/0!</v>
      </c>
    </row>
    <row r="80" spans="2:25" ht="13.8" x14ac:dyDescent="0.3">
      <c r="B80" s="296"/>
      <c r="C80" s="296" t="s">
        <v>228</v>
      </c>
      <c r="D80" s="296">
        <v>0</v>
      </c>
      <c r="E80" s="296" t="s">
        <v>617</v>
      </c>
      <c r="F80" s="296" t="s">
        <v>211</v>
      </c>
      <c r="G80" s="297"/>
      <c r="H80" s="297"/>
      <c r="I80" s="326">
        <v>0</v>
      </c>
      <c r="J80" s="267"/>
      <c r="K80" s="267"/>
      <c r="L80" s="3865" t="e">
        <f t="shared" si="20"/>
        <v>#DIV/0!</v>
      </c>
      <c r="M80" s="3865" t="e">
        <f t="shared" si="20"/>
        <v>#DIV/0!</v>
      </c>
      <c r="N80" s="218">
        <f t="shared" si="17"/>
        <v>0</v>
      </c>
      <c r="O80" s="218">
        <f t="shared" si="18"/>
        <v>0</v>
      </c>
      <c r="P80" s="218">
        <f>IF(K80=0, 0, (HLOOKUP(K80,'[1]G-CESTDWO'!$A$5:$G$35,J80+1,FALSE)*R30))</f>
        <v>0</v>
      </c>
      <c r="Q80" s="218">
        <f>IF(K80=0, 0, (HLOOKUP(K80,'[1]G-CESTD'!$A$5:$G$35,J80+1,FALSE)*R30))</f>
        <v>0</v>
      </c>
      <c r="R80" s="292">
        <v>1.081</v>
      </c>
      <c r="S80" s="293">
        <f t="shared" si="21"/>
        <v>0</v>
      </c>
      <c r="T80" s="293">
        <f t="shared" si="21"/>
        <v>0</v>
      </c>
      <c r="U80" s="4117">
        <f t="shared" si="14"/>
        <v>0</v>
      </c>
      <c r="V80" s="338" t="e">
        <f t="shared" si="11"/>
        <v>#DIV/0!</v>
      </c>
      <c r="W80" s="338" t="e">
        <f t="shared" si="12"/>
        <v>#DIV/0!</v>
      </c>
      <c r="X80" s="338" t="e">
        <f t="shared" si="13"/>
        <v>#DIV/0!</v>
      </c>
    </row>
    <row r="81" spans="2:21" ht="13.8" x14ac:dyDescent="0.3">
      <c r="B81" s="296"/>
      <c r="C81" s="296" t="s">
        <v>229</v>
      </c>
      <c r="D81" s="296">
        <v>0</v>
      </c>
      <c r="E81" s="296" t="s">
        <v>617</v>
      </c>
      <c r="F81" s="296" t="s">
        <v>211</v>
      </c>
      <c r="G81" s="297"/>
      <c r="H81" s="297"/>
      <c r="I81" s="326">
        <v>0</v>
      </c>
      <c r="J81" s="267"/>
      <c r="K81" s="267"/>
      <c r="L81" s="3865" t="e">
        <f t="shared" si="20"/>
        <v>#DIV/0!</v>
      </c>
      <c r="M81" s="3865" t="e">
        <f t="shared" si="20"/>
        <v>#DIV/0!</v>
      </c>
      <c r="N81" s="218">
        <f t="shared" si="17"/>
        <v>0</v>
      </c>
      <c r="O81" s="218">
        <f t="shared" si="18"/>
        <v>0</v>
      </c>
      <c r="P81" s="218">
        <f>IF(K81=0, 0, (HLOOKUP(K81,'[1]G-CESTDWO'!$A$5:$G$35,J81+1,FALSE)*R31))</f>
        <v>0</v>
      </c>
      <c r="Q81" s="218">
        <f>IF(K81=0, 0, (HLOOKUP(K81,'[1]G-CESTD'!$A$5:$G$35,J81+1,FALSE)*R31))</f>
        <v>0</v>
      </c>
      <c r="R81" s="292">
        <v>1.081</v>
      </c>
      <c r="S81" s="293">
        <f t="shared" si="21"/>
        <v>0</v>
      </c>
      <c r="T81" s="293">
        <f t="shared" si="21"/>
        <v>0</v>
      </c>
      <c r="U81" s="4117">
        <f t="shared" si="14"/>
        <v>0</v>
      </c>
    </row>
    <row r="82" spans="2:21" ht="13.8" x14ac:dyDescent="0.3">
      <c r="B82" s="296"/>
      <c r="C82" s="296" t="s">
        <v>230</v>
      </c>
      <c r="D82" s="299">
        <v>0</v>
      </c>
      <c r="E82" s="296" t="s">
        <v>617</v>
      </c>
      <c r="F82" s="296" t="s">
        <v>211</v>
      </c>
      <c r="G82" s="297"/>
      <c r="H82" s="297"/>
      <c r="I82" s="326">
        <v>0</v>
      </c>
      <c r="J82" s="267"/>
      <c r="K82" s="267"/>
      <c r="L82" s="3865" t="e">
        <f t="shared" si="20"/>
        <v>#DIV/0!</v>
      </c>
      <c r="M82" s="3865" t="e">
        <f t="shared" si="20"/>
        <v>#DIV/0!</v>
      </c>
      <c r="N82" s="218">
        <f t="shared" si="17"/>
        <v>0</v>
      </c>
      <c r="O82" s="218">
        <f t="shared" si="18"/>
        <v>0</v>
      </c>
      <c r="P82" s="218">
        <f>IF(K82=0, 0, (HLOOKUP(K82,'[1]G-CESTDWO'!$A$5:$G$35,J82+1,FALSE)*R32))</f>
        <v>0</v>
      </c>
      <c r="Q82" s="218">
        <f>IF(K82=0, 0, (HLOOKUP(K82,'[1]G-CESTD'!$A$5:$G$35,J82+1,FALSE)*R32))</f>
        <v>0</v>
      </c>
      <c r="R82" s="292">
        <v>1.081</v>
      </c>
      <c r="S82" s="293">
        <f t="shared" si="21"/>
        <v>0</v>
      </c>
      <c r="T82" s="293">
        <f t="shared" si="21"/>
        <v>0</v>
      </c>
      <c r="U82" s="4117">
        <f t="shared" si="14"/>
        <v>0</v>
      </c>
    </row>
    <row r="83" spans="2:21" ht="13.8" x14ac:dyDescent="0.3">
      <c r="B83" s="296"/>
      <c r="C83" s="296" t="s">
        <v>231</v>
      </c>
      <c r="D83" s="299">
        <v>0</v>
      </c>
      <c r="E83" s="296" t="s">
        <v>617</v>
      </c>
      <c r="F83" s="296" t="s">
        <v>211</v>
      </c>
      <c r="G83" s="297"/>
      <c r="H83" s="297"/>
      <c r="I83" s="326">
        <v>0</v>
      </c>
      <c r="J83" s="267"/>
      <c r="K83" s="267"/>
      <c r="L83" s="3865" t="e">
        <f t="shared" si="20"/>
        <v>#DIV/0!</v>
      </c>
      <c r="M83" s="3865" t="e">
        <f t="shared" si="20"/>
        <v>#DIV/0!</v>
      </c>
      <c r="N83" s="218">
        <f t="shared" si="17"/>
        <v>0</v>
      </c>
      <c r="O83" s="218">
        <f t="shared" si="18"/>
        <v>0</v>
      </c>
      <c r="P83" s="218">
        <f>IF(K83=0, 0, (HLOOKUP(K83,'[1]G-CESTDWO'!$A$5:$G$35,J83+1,FALSE)*R33))</f>
        <v>0</v>
      </c>
      <c r="Q83" s="218">
        <f>IF(K83=0, 0, (HLOOKUP(K83,'[1]G-CESTD'!$A$5:$G$35,J83+1,FALSE)*R33))</f>
        <v>0</v>
      </c>
      <c r="R83" s="292">
        <v>1.081</v>
      </c>
      <c r="S83" s="293">
        <f t="shared" si="21"/>
        <v>0</v>
      </c>
      <c r="T83" s="293">
        <f t="shared" si="21"/>
        <v>0</v>
      </c>
      <c r="U83" s="4117">
        <f t="shared" si="14"/>
        <v>0</v>
      </c>
    </row>
    <row r="84" spans="2:21" ht="13.8" x14ac:dyDescent="0.3">
      <c r="B84" s="296"/>
      <c r="C84" s="296" t="s">
        <v>232</v>
      </c>
      <c r="D84" s="299">
        <v>0</v>
      </c>
      <c r="E84" s="296" t="s">
        <v>617</v>
      </c>
      <c r="F84" s="296" t="s">
        <v>211</v>
      </c>
      <c r="G84" s="297"/>
      <c r="H84" s="297"/>
      <c r="I84" s="326">
        <v>0</v>
      </c>
      <c r="J84" s="267"/>
      <c r="K84" s="267"/>
      <c r="L84" s="3865" t="e">
        <f t="shared" si="20"/>
        <v>#DIV/0!</v>
      </c>
      <c r="M84" s="3865" t="e">
        <f t="shared" si="20"/>
        <v>#DIV/0!</v>
      </c>
      <c r="N84" s="218">
        <f t="shared" si="17"/>
        <v>0</v>
      </c>
      <c r="O84" s="218">
        <f t="shared" si="18"/>
        <v>0</v>
      </c>
      <c r="P84" s="218">
        <f>IF(K84=0, 0, (HLOOKUP(K84,'[1]G-CESTDWO'!$A$5:$G$35,J84+1,FALSE)*R34))</f>
        <v>0</v>
      </c>
      <c r="Q84" s="218">
        <f>IF(K84=0, 0, (HLOOKUP(K84,'[1]G-CESTD'!$A$5:$G$35,J84+1,FALSE)*R34))</f>
        <v>0</v>
      </c>
      <c r="R84" s="292">
        <v>1.081</v>
      </c>
      <c r="S84" s="293">
        <f t="shared" si="21"/>
        <v>0</v>
      </c>
      <c r="T84" s="293">
        <f t="shared" si="21"/>
        <v>0</v>
      </c>
      <c r="U84" s="4117">
        <f t="shared" si="14"/>
        <v>0</v>
      </c>
    </row>
    <row r="85" spans="2:21" ht="13.8" x14ac:dyDescent="0.3">
      <c r="B85" s="296"/>
      <c r="C85" s="296" t="s">
        <v>233</v>
      </c>
      <c r="D85" s="299">
        <v>0</v>
      </c>
      <c r="E85" s="296" t="s">
        <v>617</v>
      </c>
      <c r="F85" s="296" t="s">
        <v>211</v>
      </c>
      <c r="G85" s="297"/>
      <c r="H85" s="297"/>
      <c r="I85" s="326">
        <v>0</v>
      </c>
      <c r="J85" s="267"/>
      <c r="K85" s="267"/>
      <c r="L85" s="3865" t="e">
        <f t="shared" si="20"/>
        <v>#DIV/0!</v>
      </c>
      <c r="M85" s="3865" t="e">
        <f t="shared" si="20"/>
        <v>#DIV/0!</v>
      </c>
      <c r="N85" s="218">
        <f t="shared" si="17"/>
        <v>0</v>
      </c>
      <c r="O85" s="218">
        <f t="shared" si="18"/>
        <v>0</v>
      </c>
      <c r="P85" s="218">
        <f>IF(K85=0, 0, (HLOOKUP(K85,'[1]G-CESTDWO'!$A$5:$G$35,J85+1,FALSE)*R35))</f>
        <v>0</v>
      </c>
      <c r="Q85" s="218">
        <f>IF(K85=0, 0, (HLOOKUP(K85,'[1]G-CESTD'!$A$5:$G$35,J85+1,FALSE)*R35))</f>
        <v>0</v>
      </c>
      <c r="R85" s="292">
        <v>1.081</v>
      </c>
      <c r="S85" s="293">
        <f t="shared" si="21"/>
        <v>0</v>
      </c>
      <c r="T85" s="293">
        <f t="shared" si="21"/>
        <v>0</v>
      </c>
      <c r="U85" s="4117">
        <f t="shared" si="14"/>
        <v>0</v>
      </c>
    </row>
    <row r="86" spans="2:21" ht="13.8" x14ac:dyDescent="0.3">
      <c r="B86" s="296"/>
      <c r="C86" s="296" t="s">
        <v>234</v>
      </c>
      <c r="D86" s="299">
        <v>0</v>
      </c>
      <c r="E86" s="296" t="s">
        <v>617</v>
      </c>
      <c r="F86" s="296" t="s">
        <v>211</v>
      </c>
      <c r="G86" s="297"/>
      <c r="H86" s="297"/>
      <c r="I86" s="326">
        <v>0</v>
      </c>
      <c r="J86" s="267"/>
      <c r="K86" s="267"/>
      <c r="L86" s="3865" t="e">
        <f t="shared" si="20"/>
        <v>#DIV/0!</v>
      </c>
      <c r="M86" s="3865" t="e">
        <f t="shared" si="20"/>
        <v>#DIV/0!</v>
      </c>
      <c r="N86" s="218">
        <f t="shared" si="17"/>
        <v>0</v>
      </c>
      <c r="O86" s="218">
        <f t="shared" si="18"/>
        <v>0</v>
      </c>
      <c r="P86" s="218">
        <f>IF(K86=0, 0, (HLOOKUP(K86,'[1]G-CESTDWO'!$A$5:$G$35,J86+1,FALSE)*R36))</f>
        <v>0</v>
      </c>
      <c r="Q86" s="218">
        <f>IF(K86=0, 0, (HLOOKUP(K86,'[1]G-CESTD'!$A$5:$G$35,J86+1,FALSE)*R36))</f>
        <v>0</v>
      </c>
      <c r="R86" s="292">
        <v>1.081</v>
      </c>
      <c r="S86" s="293">
        <f t="shared" si="21"/>
        <v>0</v>
      </c>
      <c r="T86" s="293">
        <f t="shared" si="21"/>
        <v>0</v>
      </c>
      <c r="U86" s="4117">
        <f t="shared" si="14"/>
        <v>0</v>
      </c>
    </row>
    <row r="87" spans="2:21" ht="13.8" x14ac:dyDescent="0.3">
      <c r="B87" s="296"/>
      <c r="C87" s="296" t="s">
        <v>235</v>
      </c>
      <c r="D87" s="299">
        <v>0</v>
      </c>
      <c r="E87" s="296" t="s">
        <v>617</v>
      </c>
      <c r="F87" s="296" t="s">
        <v>211</v>
      </c>
      <c r="G87" s="297"/>
      <c r="H87" s="297"/>
      <c r="I87" s="326">
        <v>0</v>
      </c>
      <c r="J87" s="267"/>
      <c r="K87" s="267"/>
      <c r="L87" s="3865" t="e">
        <f t="shared" si="20"/>
        <v>#DIV/0!</v>
      </c>
      <c r="M87" s="3865" t="e">
        <f t="shared" si="20"/>
        <v>#DIV/0!</v>
      </c>
      <c r="N87" s="218">
        <f t="shared" si="17"/>
        <v>0</v>
      </c>
      <c r="O87" s="218">
        <f t="shared" si="18"/>
        <v>0</v>
      </c>
      <c r="P87" s="218">
        <f>IF(K87=0, 0, (HLOOKUP(K87,'[1]G-CESTDWO'!$A$5:$G$35,J87+1,FALSE)*R37))</f>
        <v>0</v>
      </c>
      <c r="Q87" s="218">
        <f>IF(K87=0, 0, (HLOOKUP(K87,'[1]G-CESTD'!$A$5:$G$35,J87+1,FALSE)*R37))</f>
        <v>0</v>
      </c>
      <c r="R87" s="292">
        <v>1.081</v>
      </c>
      <c r="S87" s="293">
        <f t="shared" si="21"/>
        <v>0</v>
      </c>
      <c r="T87" s="293">
        <f t="shared" si="21"/>
        <v>0</v>
      </c>
      <c r="U87" s="4117">
        <f t="shared" si="14"/>
        <v>0</v>
      </c>
    </row>
    <row r="88" spans="2:21" ht="13.8" x14ac:dyDescent="0.3">
      <c r="B88" s="296"/>
      <c r="C88" s="296" t="s">
        <v>236</v>
      </c>
      <c r="D88" s="299">
        <v>0</v>
      </c>
      <c r="E88" s="296" t="s">
        <v>617</v>
      </c>
      <c r="F88" s="296" t="s">
        <v>211</v>
      </c>
      <c r="G88" s="297"/>
      <c r="H88" s="297"/>
      <c r="I88" s="326">
        <v>0</v>
      </c>
      <c r="J88" s="267"/>
      <c r="K88" s="267"/>
      <c r="L88" s="3865" t="e">
        <f t="shared" si="20"/>
        <v>#DIV/0!</v>
      </c>
      <c r="M88" s="3865" t="e">
        <f t="shared" si="20"/>
        <v>#DIV/0!</v>
      </c>
      <c r="N88" s="218">
        <f t="shared" si="17"/>
        <v>0</v>
      </c>
      <c r="O88" s="218">
        <f t="shared" si="18"/>
        <v>0</v>
      </c>
      <c r="P88" s="218">
        <f>IF(K88=0, 0, (HLOOKUP(K88,'[1]G-CESTDWO'!$A$5:$G$35,J88+1,FALSE)*R38))</f>
        <v>0</v>
      </c>
      <c r="Q88" s="218">
        <f>IF(K88=0, 0, (HLOOKUP(K88,'[1]G-CESTD'!$A$5:$G$35,J88+1,FALSE)*R38))</f>
        <v>0</v>
      </c>
      <c r="R88" s="292">
        <v>1.081</v>
      </c>
      <c r="S88" s="293">
        <f t="shared" si="21"/>
        <v>0</v>
      </c>
      <c r="T88" s="293">
        <f t="shared" si="21"/>
        <v>0</v>
      </c>
      <c r="U88" s="4117">
        <f t="shared" si="14"/>
        <v>0</v>
      </c>
    </row>
    <row r="89" spans="2:21" ht="13.8" x14ac:dyDescent="0.3">
      <c r="B89" s="296"/>
      <c r="C89" s="296" t="s">
        <v>237</v>
      </c>
      <c r="D89" s="299">
        <v>0</v>
      </c>
      <c r="E89" s="296" t="s">
        <v>617</v>
      </c>
      <c r="F89" s="296" t="s">
        <v>211</v>
      </c>
      <c r="G89" s="297"/>
      <c r="H89" s="297"/>
      <c r="I89" s="326">
        <v>0</v>
      </c>
      <c r="J89" s="267"/>
      <c r="K89" s="267"/>
      <c r="L89" s="3865" t="e">
        <f t="shared" si="20"/>
        <v>#DIV/0!</v>
      </c>
      <c r="M89" s="3865" t="e">
        <f t="shared" si="20"/>
        <v>#DIV/0!</v>
      </c>
      <c r="N89" s="218">
        <f t="shared" si="17"/>
        <v>0</v>
      </c>
      <c r="O89" s="218">
        <f t="shared" si="18"/>
        <v>0</v>
      </c>
      <c r="P89" s="218">
        <f>IF(K89=0, 0, (HLOOKUP(K89,'[1]G-CESTDWO'!$A$5:$G$35,J89+1,FALSE)*R39))</f>
        <v>0</v>
      </c>
      <c r="Q89" s="218">
        <f>IF(K89=0, 0, (HLOOKUP(K89,'[1]G-CESTD'!$A$5:$G$35,J89+1,FALSE)*R39))</f>
        <v>0</v>
      </c>
      <c r="R89" s="292">
        <v>1.081</v>
      </c>
      <c r="S89" s="293">
        <f t="shared" si="21"/>
        <v>0</v>
      </c>
      <c r="T89" s="293">
        <f t="shared" si="21"/>
        <v>0</v>
      </c>
      <c r="U89" s="4117">
        <f t="shared" si="14"/>
        <v>0</v>
      </c>
    </row>
    <row r="90" spans="2:21" ht="13.8" x14ac:dyDescent="0.3">
      <c r="B90" s="296"/>
      <c r="C90" s="296" t="s">
        <v>238</v>
      </c>
      <c r="D90" s="299">
        <v>0</v>
      </c>
      <c r="E90" s="296" t="s">
        <v>617</v>
      </c>
      <c r="F90" s="296" t="s">
        <v>211</v>
      </c>
      <c r="G90" s="297"/>
      <c r="H90" s="297"/>
      <c r="I90" s="326">
        <v>0</v>
      </c>
      <c r="J90" s="267"/>
      <c r="K90" s="267"/>
      <c r="L90" s="3865" t="e">
        <f t="shared" si="20"/>
        <v>#DIV/0!</v>
      </c>
      <c r="M90" s="3865" t="e">
        <f t="shared" si="20"/>
        <v>#DIV/0!</v>
      </c>
      <c r="N90" s="218">
        <f t="shared" si="17"/>
        <v>0</v>
      </c>
      <c r="O90" s="218">
        <f t="shared" si="18"/>
        <v>0</v>
      </c>
      <c r="P90" s="218">
        <f>IF(K90=0, 0, (HLOOKUP(K90,'[1]G-CESTDWO'!$A$5:$G$35,J90+1,FALSE)*R40))</f>
        <v>0</v>
      </c>
      <c r="Q90" s="218">
        <f>IF(K90=0, 0, (HLOOKUP(K90,'[1]G-CESTD'!$A$5:$G$35,J90+1,FALSE)*R40))</f>
        <v>0</v>
      </c>
      <c r="R90" s="292">
        <v>1.081</v>
      </c>
      <c r="S90" s="293">
        <f t="shared" si="21"/>
        <v>0</v>
      </c>
      <c r="T90" s="293">
        <f t="shared" si="21"/>
        <v>0</v>
      </c>
      <c r="U90" s="4117">
        <f t="shared" si="14"/>
        <v>0</v>
      </c>
    </row>
    <row r="91" spans="2:21" ht="13.8" x14ac:dyDescent="0.3">
      <c r="B91" s="296"/>
      <c r="C91" s="296" t="s">
        <v>239</v>
      </c>
      <c r="D91" s="299">
        <v>0</v>
      </c>
      <c r="E91" s="296" t="s">
        <v>617</v>
      </c>
      <c r="F91" s="296" t="s">
        <v>211</v>
      </c>
      <c r="G91" s="297"/>
      <c r="H91" s="297"/>
      <c r="I91" s="326">
        <v>0</v>
      </c>
      <c r="J91" s="267"/>
      <c r="K91" s="267"/>
      <c r="L91" s="3865" t="e">
        <f t="shared" si="20"/>
        <v>#DIV/0!</v>
      </c>
      <c r="M91" s="3865" t="e">
        <f t="shared" si="20"/>
        <v>#DIV/0!</v>
      </c>
      <c r="N91" s="218">
        <f t="shared" si="17"/>
        <v>0</v>
      </c>
      <c r="O91" s="218">
        <f t="shared" si="18"/>
        <v>0</v>
      </c>
      <c r="P91" s="218">
        <f>IF(K91=0, 0, (HLOOKUP(K91,'[1]G-CESTDWO'!$A$5:$G$35,J91+1,FALSE)*R41))</f>
        <v>0</v>
      </c>
      <c r="Q91" s="218">
        <f>IF(K91=0, 0, (HLOOKUP(K91,'[1]G-CESTD'!$A$5:$G$35,J91+1,FALSE)*R41))</f>
        <v>0</v>
      </c>
      <c r="R91" s="292">
        <v>1.081</v>
      </c>
      <c r="S91" s="293">
        <f t="shared" si="21"/>
        <v>0</v>
      </c>
      <c r="T91" s="293">
        <f t="shared" si="21"/>
        <v>0</v>
      </c>
      <c r="U91" s="4117">
        <f t="shared" si="14"/>
        <v>0</v>
      </c>
    </row>
    <row r="92" spans="2:21" ht="13.8" x14ac:dyDescent="0.3">
      <c r="B92" s="296"/>
      <c r="C92" s="296" t="s">
        <v>240</v>
      </c>
      <c r="D92" s="299">
        <v>0</v>
      </c>
      <c r="E92" s="296" t="s">
        <v>617</v>
      </c>
      <c r="F92" s="296" t="s">
        <v>211</v>
      </c>
      <c r="G92" s="297"/>
      <c r="H92" s="297"/>
      <c r="I92" s="326">
        <v>0</v>
      </c>
      <c r="J92" s="267"/>
      <c r="K92" s="267"/>
      <c r="L92" s="3865" t="e">
        <f t="shared" si="20"/>
        <v>#DIV/0!</v>
      </c>
      <c r="M92" s="3865" t="e">
        <f t="shared" si="20"/>
        <v>#DIV/0!</v>
      </c>
      <c r="N92" s="218">
        <f t="shared" si="17"/>
        <v>0</v>
      </c>
      <c r="O92" s="218">
        <f t="shared" si="18"/>
        <v>0</v>
      </c>
      <c r="P92" s="218">
        <f>IF(K92=0, 0, (HLOOKUP(K92,'[1]G-CESTDWO'!$A$5:$G$35,J92+1,FALSE)*R42))</f>
        <v>0</v>
      </c>
      <c r="Q92" s="218">
        <f>IF(K92=0, 0, (HLOOKUP(K92,'[1]G-CESTD'!$A$5:$G$35,J92+1,FALSE)*R42))</f>
        <v>0</v>
      </c>
      <c r="R92" s="292">
        <v>1.081</v>
      </c>
      <c r="S92" s="293">
        <f t="shared" si="21"/>
        <v>0</v>
      </c>
      <c r="T92" s="293">
        <f t="shared" si="21"/>
        <v>0</v>
      </c>
      <c r="U92" s="4117">
        <f t="shared" si="14"/>
        <v>0</v>
      </c>
    </row>
    <row r="93" spans="2:21" ht="13.8" x14ac:dyDescent="0.3">
      <c r="B93" s="296"/>
      <c r="C93" s="296" t="s">
        <v>241</v>
      </c>
      <c r="D93" s="299">
        <v>0</v>
      </c>
      <c r="E93" s="296" t="s">
        <v>617</v>
      </c>
      <c r="F93" s="296" t="s">
        <v>211</v>
      </c>
      <c r="G93" s="297"/>
      <c r="H93" s="297"/>
      <c r="I93" s="326">
        <v>0</v>
      </c>
      <c r="J93" s="267"/>
      <c r="K93" s="267"/>
      <c r="L93" s="3865" t="e">
        <f t="shared" si="20"/>
        <v>#DIV/0!</v>
      </c>
      <c r="M93" s="3865" t="e">
        <f t="shared" si="20"/>
        <v>#DIV/0!</v>
      </c>
      <c r="N93" s="218">
        <f t="shared" si="17"/>
        <v>0</v>
      </c>
      <c r="O93" s="218">
        <f t="shared" si="18"/>
        <v>0</v>
      </c>
      <c r="P93" s="218">
        <f>IF(K93=0, 0, (HLOOKUP(K93,'[1]G-CESTDWO'!$A$5:$G$35,J93+1,FALSE)*R43))</f>
        <v>0</v>
      </c>
      <c r="Q93" s="218">
        <f>IF(K93=0, 0, (HLOOKUP(K93,'[1]G-CESTD'!$A$5:$G$35,J93+1,FALSE)*R43))</f>
        <v>0</v>
      </c>
      <c r="R93" s="292">
        <v>1.081</v>
      </c>
      <c r="S93" s="293">
        <f t="shared" si="21"/>
        <v>0</v>
      </c>
      <c r="T93" s="293">
        <f t="shared" si="21"/>
        <v>0</v>
      </c>
      <c r="U93" s="4117">
        <f t="shared" si="14"/>
        <v>0</v>
      </c>
    </row>
    <row r="94" spans="2:21" ht="13.8" x14ac:dyDescent="0.3">
      <c r="B94" s="296"/>
      <c r="C94" s="296" t="s">
        <v>242</v>
      </c>
      <c r="D94" s="299">
        <v>0</v>
      </c>
      <c r="E94" s="296" t="s">
        <v>617</v>
      </c>
      <c r="F94" s="296" t="s">
        <v>211</v>
      </c>
      <c r="G94" s="297"/>
      <c r="H94" s="297"/>
      <c r="I94" s="326">
        <v>0</v>
      </c>
      <c r="J94" s="267"/>
      <c r="K94" s="267"/>
      <c r="L94" s="3865" t="e">
        <f t="shared" si="20"/>
        <v>#DIV/0!</v>
      </c>
      <c r="M94" s="3865" t="e">
        <f t="shared" si="20"/>
        <v>#DIV/0!</v>
      </c>
      <c r="N94" s="218">
        <f t="shared" si="17"/>
        <v>0</v>
      </c>
      <c r="O94" s="218">
        <f t="shared" si="18"/>
        <v>0</v>
      </c>
      <c r="P94" s="218">
        <f>IF(K94=0, 0, (HLOOKUP(K94,'[1]G-CESTDWO'!$A$5:$G$35,J94+1,FALSE)*R44))</f>
        <v>0</v>
      </c>
      <c r="Q94" s="218">
        <f>IF(K94=0, 0, (HLOOKUP(K94,'[1]G-CESTD'!$A$5:$G$35,J94+1,FALSE)*R44))</f>
        <v>0</v>
      </c>
      <c r="R94" s="292">
        <v>1.081</v>
      </c>
      <c r="S94" s="293">
        <f t="shared" si="21"/>
        <v>0</v>
      </c>
      <c r="T94" s="293">
        <f t="shared" si="21"/>
        <v>0</v>
      </c>
      <c r="U94" s="4117">
        <f t="shared" si="14"/>
        <v>0</v>
      </c>
    </row>
    <row r="95" spans="2:21" ht="13.8" x14ac:dyDescent="0.3">
      <c r="B95" s="296"/>
      <c r="C95" s="296" t="s">
        <v>243</v>
      </c>
      <c r="D95" s="299">
        <v>0</v>
      </c>
      <c r="E95" s="296" t="s">
        <v>617</v>
      </c>
      <c r="F95" s="296" t="s">
        <v>211</v>
      </c>
      <c r="G95" s="297"/>
      <c r="H95" s="297"/>
      <c r="I95" s="326">
        <v>0</v>
      </c>
      <c r="J95" s="267"/>
      <c r="K95" s="267"/>
      <c r="L95" s="3865" t="e">
        <f t="shared" si="20"/>
        <v>#DIV/0!</v>
      </c>
      <c r="M95" s="3865" t="e">
        <f t="shared" si="20"/>
        <v>#DIV/0!</v>
      </c>
      <c r="N95" s="218">
        <f t="shared" si="17"/>
        <v>0</v>
      </c>
      <c r="O95" s="218">
        <f t="shared" si="18"/>
        <v>0</v>
      </c>
      <c r="P95" s="218">
        <f>IF(K95=0, 0, (HLOOKUP(K95,'[1]G-CESTDWO'!$A$5:$G$35,J95+1,FALSE)*R45))</f>
        <v>0</v>
      </c>
      <c r="Q95" s="218">
        <f>IF(K95=0, 0, (HLOOKUP(K95,'[1]G-CESTD'!$A$5:$G$35,J95+1,FALSE)*R45))</f>
        <v>0</v>
      </c>
      <c r="R95" s="292">
        <v>1.081</v>
      </c>
      <c r="S95" s="293">
        <f t="shared" si="21"/>
        <v>0</v>
      </c>
      <c r="T95" s="293">
        <f t="shared" si="21"/>
        <v>0</v>
      </c>
      <c r="U95" s="4117">
        <f t="shared" si="14"/>
        <v>0</v>
      </c>
    </row>
    <row r="96" spans="2:21" ht="13.8" x14ac:dyDescent="0.3">
      <c r="B96" s="296"/>
      <c r="C96" s="296" t="s">
        <v>244</v>
      </c>
      <c r="D96" s="299">
        <v>0</v>
      </c>
      <c r="E96" s="296" t="s">
        <v>617</v>
      </c>
      <c r="F96" s="296" t="s">
        <v>211</v>
      </c>
      <c r="G96" s="297"/>
      <c r="H96" s="297"/>
      <c r="I96" s="326">
        <v>0</v>
      </c>
      <c r="J96" s="267"/>
      <c r="K96" s="267"/>
      <c r="L96" s="3865" t="e">
        <f t="shared" si="20"/>
        <v>#DIV/0!</v>
      </c>
      <c r="M96" s="3865" t="e">
        <f t="shared" si="20"/>
        <v>#DIV/0!</v>
      </c>
      <c r="N96" s="218">
        <f t="shared" si="17"/>
        <v>0</v>
      </c>
      <c r="O96" s="218">
        <f t="shared" si="18"/>
        <v>0</v>
      </c>
      <c r="P96" s="218">
        <f>IF(K96=0, 0, (HLOOKUP(K96,'[1]G-CESTDWO'!$A$5:$G$35,J96+1,FALSE)*R46))</f>
        <v>0</v>
      </c>
      <c r="Q96" s="218">
        <f>IF(K96=0, 0, (HLOOKUP(K96,'[1]G-CESTD'!$A$5:$G$35,J96+1,FALSE)*R46))</f>
        <v>0</v>
      </c>
      <c r="R96" s="292">
        <v>1.081</v>
      </c>
      <c r="S96" s="293">
        <f t="shared" si="21"/>
        <v>0</v>
      </c>
      <c r="T96" s="293">
        <f t="shared" si="21"/>
        <v>0</v>
      </c>
      <c r="U96" s="4117">
        <f t="shared" si="14"/>
        <v>0</v>
      </c>
    </row>
    <row r="97" spans="2:21" ht="13.8" x14ac:dyDescent="0.3">
      <c r="B97" s="296"/>
      <c r="C97" s="296" t="s">
        <v>245</v>
      </c>
      <c r="D97" s="299">
        <v>0</v>
      </c>
      <c r="E97" s="296" t="s">
        <v>617</v>
      </c>
      <c r="F97" s="296" t="s">
        <v>211</v>
      </c>
      <c r="G97" s="297"/>
      <c r="H97" s="297"/>
      <c r="I97" s="326">
        <v>0</v>
      </c>
      <c r="J97" s="267"/>
      <c r="K97" s="267"/>
      <c r="L97" s="3865" t="e">
        <f t="shared" si="20"/>
        <v>#DIV/0!</v>
      </c>
      <c r="M97" s="3865" t="e">
        <f t="shared" si="20"/>
        <v>#DIV/0!</v>
      </c>
      <c r="N97" s="218">
        <f t="shared" si="17"/>
        <v>0</v>
      </c>
      <c r="O97" s="218">
        <f t="shared" si="18"/>
        <v>0</v>
      </c>
      <c r="P97" s="218">
        <f>IF(K97=0, 0, (HLOOKUP(K97,'[1]G-CESTDWO'!$A$5:$G$35,J97+1,FALSE)*R47))</f>
        <v>0</v>
      </c>
      <c r="Q97" s="218">
        <f>IF(K97=0, 0, (HLOOKUP(K97,'[1]G-CESTD'!$A$5:$G$35,J97+1,FALSE)*R47))</f>
        <v>0</v>
      </c>
      <c r="R97" s="292">
        <v>1.081</v>
      </c>
      <c r="S97" s="293">
        <f t="shared" si="21"/>
        <v>0</v>
      </c>
      <c r="T97" s="293">
        <f t="shared" si="21"/>
        <v>0</v>
      </c>
      <c r="U97" s="4117">
        <f t="shared" si="14"/>
        <v>0</v>
      </c>
    </row>
    <row r="98" spans="2:21" ht="13.8" x14ac:dyDescent="0.3">
      <c r="B98" s="296"/>
      <c r="C98" s="296" t="s">
        <v>246</v>
      </c>
      <c r="D98" s="299">
        <v>0</v>
      </c>
      <c r="E98" s="296" t="s">
        <v>617</v>
      </c>
      <c r="F98" s="296" t="s">
        <v>211</v>
      </c>
      <c r="G98" s="297"/>
      <c r="H98" s="297"/>
      <c r="I98" s="326">
        <v>0</v>
      </c>
      <c r="J98" s="267"/>
      <c r="K98" s="267"/>
      <c r="L98" s="3865" t="e">
        <f t="shared" si="20"/>
        <v>#DIV/0!</v>
      </c>
      <c r="M98" s="3865" t="e">
        <f t="shared" si="20"/>
        <v>#DIV/0!</v>
      </c>
      <c r="N98" s="218">
        <f t="shared" si="17"/>
        <v>0</v>
      </c>
      <c r="O98" s="218">
        <f t="shared" si="18"/>
        <v>0</v>
      </c>
      <c r="P98" s="218">
        <f>IF(K98=0, 0, (HLOOKUP(K98,'[1]G-CESTDWO'!$A$5:$G$35,J98+1,FALSE)*R48))</f>
        <v>0</v>
      </c>
      <c r="Q98" s="218">
        <f>IF(K98=0, 0, (HLOOKUP(K98,'[1]G-CESTD'!$A$5:$G$35,J98+1,FALSE)*R48))</f>
        <v>0</v>
      </c>
      <c r="R98" s="292">
        <v>1.081</v>
      </c>
      <c r="S98" s="293">
        <f t="shared" si="21"/>
        <v>0</v>
      </c>
      <c r="T98" s="293">
        <f t="shared" si="21"/>
        <v>0</v>
      </c>
      <c r="U98" s="4117">
        <f t="shared" si="14"/>
        <v>0</v>
      </c>
    </row>
    <row r="99" spans="2:21" ht="13.8" x14ac:dyDescent="0.3">
      <c r="B99" s="296"/>
      <c r="C99" s="296" t="s">
        <v>247</v>
      </c>
      <c r="D99" s="299">
        <v>0</v>
      </c>
      <c r="E99" s="296" t="s">
        <v>617</v>
      </c>
      <c r="F99" s="296" t="s">
        <v>211</v>
      </c>
      <c r="G99" s="297"/>
      <c r="H99" s="297"/>
      <c r="I99" s="326">
        <v>0</v>
      </c>
      <c r="J99" s="267"/>
      <c r="K99" s="267"/>
      <c r="L99" s="3865" t="e">
        <f t="shared" si="20"/>
        <v>#DIV/0!</v>
      </c>
      <c r="M99" s="3865" t="e">
        <f t="shared" si="20"/>
        <v>#DIV/0!</v>
      </c>
      <c r="N99" s="218">
        <f t="shared" si="17"/>
        <v>0</v>
      </c>
      <c r="O99" s="218">
        <f t="shared" si="18"/>
        <v>0</v>
      </c>
      <c r="P99" s="218">
        <f>IF(K99=0, 0, (HLOOKUP(K99,'[1]G-CESTDWO'!$A$5:$G$35,J99+1,FALSE)*R49))</f>
        <v>0</v>
      </c>
      <c r="Q99" s="218">
        <f>IF(K99=0, 0, (HLOOKUP(K99,'[1]G-CESTD'!$A$5:$G$35,J99+1,FALSE)*R49))</f>
        <v>0</v>
      </c>
      <c r="R99" s="292">
        <v>1.081</v>
      </c>
      <c r="S99" s="293">
        <f t="shared" si="21"/>
        <v>0</v>
      </c>
      <c r="T99" s="293">
        <f t="shared" si="21"/>
        <v>0</v>
      </c>
      <c r="U99" s="4117">
        <f t="shared" si="14"/>
        <v>0</v>
      </c>
    </row>
    <row r="100" spans="2:21" ht="13.8" x14ac:dyDescent="0.3">
      <c r="B100" s="296"/>
      <c r="C100" s="296" t="s">
        <v>248</v>
      </c>
      <c r="D100" s="299">
        <v>0</v>
      </c>
      <c r="E100" s="296" t="s">
        <v>617</v>
      </c>
      <c r="F100" s="296" t="s">
        <v>211</v>
      </c>
      <c r="G100" s="297"/>
      <c r="H100" s="297"/>
      <c r="I100" s="326">
        <v>0</v>
      </c>
      <c r="J100" s="267"/>
      <c r="K100" s="267"/>
      <c r="L100" s="3865" t="e">
        <f t="shared" si="20"/>
        <v>#DIV/0!</v>
      </c>
      <c r="M100" s="3865" t="e">
        <f t="shared" si="20"/>
        <v>#DIV/0!</v>
      </c>
      <c r="N100" s="218">
        <f t="shared" si="17"/>
        <v>0</v>
      </c>
      <c r="O100" s="218">
        <f t="shared" si="18"/>
        <v>0</v>
      </c>
      <c r="P100" s="218">
        <f>IF(K100=0, 0, (HLOOKUP(K100,'[1]G-CESTDWO'!$A$5:$G$35,J100+1,FALSE)*R50))</f>
        <v>0</v>
      </c>
      <c r="Q100" s="218">
        <f>IF(K100=0, 0, (HLOOKUP(K100,'[1]G-CESTD'!$A$5:$G$35,J100+1,FALSE)*R50))</f>
        <v>0</v>
      </c>
      <c r="R100" s="292">
        <v>1.081</v>
      </c>
      <c r="S100" s="293">
        <f t="shared" si="21"/>
        <v>0</v>
      </c>
      <c r="T100" s="293">
        <f t="shared" si="21"/>
        <v>0</v>
      </c>
      <c r="U100" s="4117">
        <f t="shared" si="14"/>
        <v>0</v>
      </c>
    </row>
    <row r="101" spans="2:21" ht="13.8" x14ac:dyDescent="0.3">
      <c r="B101" s="296"/>
      <c r="C101" s="296" t="s">
        <v>249</v>
      </c>
      <c r="D101" s="299">
        <v>0</v>
      </c>
      <c r="E101" s="296" t="s">
        <v>617</v>
      </c>
      <c r="F101" s="296" t="s">
        <v>211</v>
      </c>
      <c r="G101" s="297"/>
      <c r="H101" s="297"/>
      <c r="I101" s="326">
        <v>0</v>
      </c>
      <c r="J101" s="267"/>
      <c r="K101" s="267"/>
      <c r="L101" s="3865" t="e">
        <f t="shared" si="20"/>
        <v>#DIV/0!</v>
      </c>
      <c r="M101" s="3865" t="e">
        <f t="shared" si="20"/>
        <v>#DIV/0!</v>
      </c>
      <c r="N101" s="218">
        <f t="shared" si="17"/>
        <v>0</v>
      </c>
      <c r="O101" s="218">
        <f t="shared" si="18"/>
        <v>0</v>
      </c>
      <c r="P101" s="218">
        <f>IF(K101=0, 0, (HLOOKUP(K101,'[1]G-CESTDWO'!$A$5:$G$35,J101+1,FALSE)*R51))</f>
        <v>0</v>
      </c>
      <c r="Q101" s="218">
        <f>IF(K101=0, 0, (HLOOKUP(K101,'[1]G-CESTD'!$A$5:$G$35,J101+1,FALSE)*R51))</f>
        <v>0</v>
      </c>
      <c r="R101" s="292">
        <v>1.081</v>
      </c>
      <c r="S101" s="293">
        <f t="shared" si="21"/>
        <v>0</v>
      </c>
      <c r="T101" s="293">
        <f t="shared" si="21"/>
        <v>0</v>
      </c>
      <c r="U101" s="4117">
        <f t="shared" si="14"/>
        <v>0</v>
      </c>
    </row>
    <row r="102" spans="2:21" ht="13.8" x14ac:dyDescent="0.3">
      <c r="B102" s="296"/>
      <c r="C102" s="296" t="s">
        <v>250</v>
      </c>
      <c r="D102" s="299">
        <v>0</v>
      </c>
      <c r="E102" s="296" t="s">
        <v>617</v>
      </c>
      <c r="F102" s="296" t="s">
        <v>211</v>
      </c>
      <c r="G102" s="297"/>
      <c r="H102" s="297"/>
      <c r="I102" s="326">
        <v>0</v>
      </c>
      <c r="J102" s="267"/>
      <c r="K102" s="267"/>
      <c r="L102" s="3865" t="e">
        <f t="shared" si="20"/>
        <v>#DIV/0!</v>
      </c>
      <c r="M102" s="3865" t="e">
        <f t="shared" si="20"/>
        <v>#DIV/0!</v>
      </c>
      <c r="N102" s="218">
        <f t="shared" si="17"/>
        <v>0</v>
      </c>
      <c r="O102" s="218">
        <f t="shared" si="18"/>
        <v>0</v>
      </c>
      <c r="P102" s="218">
        <f>IF(K102=0, 0, (HLOOKUP(K102,'[1]G-CESTDWO'!$A$5:$G$35,J102+1,FALSE)*R52))</f>
        <v>0</v>
      </c>
      <c r="Q102" s="218">
        <f>IF(K102=0, 0, (HLOOKUP(K102,'[1]G-CESTD'!$A$5:$G$35,J102+1,FALSE)*R52))</f>
        <v>0</v>
      </c>
      <c r="R102" s="292">
        <v>1.081</v>
      </c>
      <c r="S102" s="293">
        <f t="shared" si="21"/>
        <v>0</v>
      </c>
      <c r="T102" s="293">
        <f t="shared" si="21"/>
        <v>0</v>
      </c>
      <c r="U102" s="4117">
        <f t="shared" si="14"/>
        <v>0</v>
      </c>
    </row>
    <row r="103" spans="2:21" ht="14.4" thickBot="1" x14ac:dyDescent="0.35">
      <c r="B103" s="296"/>
      <c r="C103" s="296" t="s">
        <v>251</v>
      </c>
      <c r="D103" s="299">
        <v>0</v>
      </c>
      <c r="E103" s="296" t="s">
        <v>617</v>
      </c>
      <c r="F103" s="296" t="s">
        <v>211</v>
      </c>
      <c r="G103" s="297"/>
      <c r="H103" s="297"/>
      <c r="I103" s="326">
        <v>0</v>
      </c>
      <c r="J103" s="267"/>
      <c r="K103" s="267"/>
      <c r="L103" s="3865" t="e">
        <f t="shared" si="20"/>
        <v>#DIV/0!</v>
      </c>
      <c r="M103" s="3865" t="e">
        <f t="shared" si="20"/>
        <v>#DIV/0!</v>
      </c>
      <c r="N103" s="218">
        <f t="shared" si="17"/>
        <v>0</v>
      </c>
      <c r="O103" s="218">
        <f t="shared" si="18"/>
        <v>0</v>
      </c>
      <c r="P103" s="218">
        <f>IF(K103=0, 0, (HLOOKUP(K103,'[1]G-CESTDWO'!$A$5:$G$35,J103+1,FALSE)*R53))</f>
        <v>0</v>
      </c>
      <c r="Q103" s="218">
        <f>IF(K103=0, 0, (HLOOKUP(K103,'[1]G-CESTD'!$A$5:$G$35,J103+1,FALSE)*R53))</f>
        <v>0</v>
      </c>
      <c r="R103" s="292">
        <v>1.081</v>
      </c>
      <c r="S103" s="293">
        <f t="shared" si="21"/>
        <v>0</v>
      </c>
      <c r="T103" s="293">
        <f t="shared" si="21"/>
        <v>0</v>
      </c>
      <c r="U103" s="4117">
        <f t="shared" si="14"/>
        <v>0</v>
      </c>
    </row>
    <row r="104" spans="2:21" ht="14.4" thickBot="1" x14ac:dyDescent="0.35">
      <c r="G104" s="300">
        <f>SUMPRODUCT(G62:G103,O12:O53)</f>
        <v>14677288.700000001</v>
      </c>
      <c r="H104" s="301">
        <f>U104</f>
        <v>4237274.3599999994</v>
      </c>
      <c r="I104" s="302">
        <f>SUM(I62:I103)</f>
        <v>1.0001</v>
      </c>
      <c r="J104" s="303">
        <f>ROUND(SUMPRODUCT(J62:J103,R12:R53)/R54,0)</f>
        <v>30</v>
      </c>
      <c r="K104" s="274"/>
      <c r="L104" s="3866">
        <f>P104/N104</f>
        <v>2.9489081188331738</v>
      </c>
      <c r="M104" s="3867">
        <f>Q104/O104</f>
        <v>1.0680959456800569</v>
      </c>
      <c r="N104" s="311">
        <f>SUM(N62:N103)</f>
        <v>5484540.4111646619</v>
      </c>
      <c r="O104" s="311">
        <f>SUM(O62:O103)</f>
        <v>15142278.005984277</v>
      </c>
      <c r="P104" s="311">
        <f>SUM(P62:P103)</f>
        <v>16173405.746552104</v>
      </c>
      <c r="Q104" s="311">
        <f>SUM(Q62:Q103)</f>
        <v>16173405.746552104</v>
      </c>
      <c r="R104" s="307">
        <v>1.081</v>
      </c>
      <c r="S104" s="308">
        <f>SUM(S62:S103)</f>
        <v>2102137.1799999997</v>
      </c>
      <c r="T104" s="308">
        <f>SUM(T62:T103)</f>
        <v>2135137.1799999997</v>
      </c>
      <c r="U104" s="4117">
        <f t="shared" ref="U104" si="22">SUM(S104:T104)</f>
        <v>4237274.3599999994</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23" top="0.35" bottom="0.34" header="0.3" footer="0.3"/>
  <pageSetup paperSize="17" scale="52" orientation="landscape" r:id="rId2"/>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Y104"/>
  <sheetViews>
    <sheetView workbookViewId="0">
      <pane xSplit="1" ySplit="1" topLeftCell="B2" activePane="bottomRight" state="frozen"/>
      <selection pane="topRight" activeCell="B1" sqref="B1"/>
      <selection pane="bottomLeft" activeCell="A2" sqref="A2"/>
      <selection pane="bottomRight" activeCell="G4" sqref="G4"/>
    </sheetView>
  </sheetViews>
  <sheetFormatPr defaultRowHeight="13.2" x14ac:dyDescent="0.25"/>
  <cols>
    <col min="1" max="1" width="15.6640625" style="3369" customWidth="1"/>
    <col min="2" max="2" width="17.6640625" customWidth="1"/>
    <col min="3" max="3" width="31.33203125" customWidth="1"/>
    <col min="4" max="4" width="15.6640625" style="19" customWidth="1"/>
    <col min="5" max="5" width="15.6640625" customWidth="1"/>
    <col min="6" max="6" width="15.554687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7.6640625" bestFit="1" customWidth="1"/>
    <col min="17" max="17" width="17.33203125" bestFit="1" customWidth="1"/>
    <col min="18" max="18" width="17.6640625" bestFit="1" customWidth="1"/>
    <col min="19" max="20" width="20.5546875" bestFit="1" customWidth="1"/>
    <col min="21" max="21" width="16.44140625" bestFit="1" customWidth="1"/>
    <col min="22" max="22" width="14.33203125" customWidth="1"/>
    <col min="23" max="23" width="12.88671875" bestFit="1" customWidth="1"/>
    <col min="24" max="24" width="15.66406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7.109375" customWidth="1"/>
    <col min="262" max="262" width="19.4414062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7.6640625" bestFit="1" customWidth="1"/>
    <col min="273" max="273" width="17.33203125" bestFit="1" customWidth="1"/>
    <col min="274" max="274" width="17.6640625" bestFit="1" customWidth="1"/>
    <col min="275" max="276" width="20.5546875" bestFit="1" customWidth="1"/>
    <col min="277" max="277" width="16.44140625" bestFit="1" customWidth="1"/>
    <col min="278" max="278" width="14.33203125" customWidth="1"/>
    <col min="279" max="279" width="12.88671875" bestFit="1" customWidth="1"/>
    <col min="280" max="280" width="15.66406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7.109375" customWidth="1"/>
    <col min="518" max="518" width="19.4414062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7.6640625" bestFit="1" customWidth="1"/>
    <col min="529" max="529" width="17.33203125" bestFit="1" customWidth="1"/>
    <col min="530" max="530" width="17.6640625" bestFit="1" customWidth="1"/>
    <col min="531" max="532" width="20.5546875" bestFit="1" customWidth="1"/>
    <col min="533" max="533" width="16.44140625" bestFit="1" customWidth="1"/>
    <col min="534" max="534" width="14.33203125" customWidth="1"/>
    <col min="535" max="535" width="12.88671875" bestFit="1" customWidth="1"/>
    <col min="536" max="536" width="15.66406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7.109375" customWidth="1"/>
    <col min="774" max="774" width="19.4414062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7.6640625" bestFit="1" customWidth="1"/>
    <col min="785" max="785" width="17.33203125" bestFit="1" customWidth="1"/>
    <col min="786" max="786" width="17.6640625" bestFit="1" customWidth="1"/>
    <col min="787" max="788" width="20.5546875" bestFit="1" customWidth="1"/>
    <col min="789" max="789" width="16.44140625" bestFit="1" customWidth="1"/>
    <col min="790" max="790" width="14.33203125" customWidth="1"/>
    <col min="791" max="791" width="12.88671875" bestFit="1" customWidth="1"/>
    <col min="792" max="792" width="15.66406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7.109375" customWidth="1"/>
    <col min="1030" max="1030" width="19.4414062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7.6640625" bestFit="1" customWidth="1"/>
    <col min="1041" max="1041" width="17.33203125" bestFit="1" customWidth="1"/>
    <col min="1042" max="1042" width="17.6640625" bestFit="1" customWidth="1"/>
    <col min="1043" max="1044" width="20.5546875" bestFit="1" customWidth="1"/>
    <col min="1045" max="1045" width="16.44140625" bestFit="1" customWidth="1"/>
    <col min="1046" max="1046" width="14.33203125" customWidth="1"/>
    <col min="1047" max="1047" width="12.88671875" bestFit="1" customWidth="1"/>
    <col min="1048" max="1048" width="15.66406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7.109375" customWidth="1"/>
    <col min="1286" max="1286" width="19.4414062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7.6640625" bestFit="1" customWidth="1"/>
    <col min="1297" max="1297" width="17.33203125" bestFit="1" customWidth="1"/>
    <col min="1298" max="1298" width="17.6640625" bestFit="1" customWidth="1"/>
    <col min="1299" max="1300" width="20.5546875" bestFit="1" customWidth="1"/>
    <col min="1301" max="1301" width="16.44140625" bestFit="1" customWidth="1"/>
    <col min="1302" max="1302" width="14.33203125" customWidth="1"/>
    <col min="1303" max="1303" width="12.88671875" bestFit="1" customWidth="1"/>
    <col min="1304" max="1304" width="15.66406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7.109375" customWidth="1"/>
    <col min="1542" max="1542" width="19.4414062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7.6640625" bestFit="1" customWidth="1"/>
    <col min="1553" max="1553" width="17.33203125" bestFit="1" customWidth="1"/>
    <col min="1554" max="1554" width="17.6640625" bestFit="1" customWidth="1"/>
    <col min="1555" max="1556" width="20.5546875" bestFit="1" customWidth="1"/>
    <col min="1557" max="1557" width="16.44140625" bestFit="1" customWidth="1"/>
    <col min="1558" max="1558" width="14.33203125" customWidth="1"/>
    <col min="1559" max="1559" width="12.88671875" bestFit="1" customWidth="1"/>
    <col min="1560" max="1560" width="15.66406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7.109375" customWidth="1"/>
    <col min="1798" max="1798" width="19.4414062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7.6640625" bestFit="1" customWidth="1"/>
    <col min="1809" max="1809" width="17.33203125" bestFit="1" customWidth="1"/>
    <col min="1810" max="1810" width="17.6640625" bestFit="1" customWidth="1"/>
    <col min="1811" max="1812" width="20.5546875" bestFit="1" customWidth="1"/>
    <col min="1813" max="1813" width="16.44140625" bestFit="1" customWidth="1"/>
    <col min="1814" max="1814" width="14.33203125" customWidth="1"/>
    <col min="1815" max="1815" width="12.88671875" bestFit="1" customWidth="1"/>
    <col min="1816" max="1816" width="15.66406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7.109375" customWidth="1"/>
    <col min="2054" max="2054" width="19.4414062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7.6640625" bestFit="1" customWidth="1"/>
    <col min="2065" max="2065" width="17.33203125" bestFit="1" customWidth="1"/>
    <col min="2066" max="2066" width="17.6640625" bestFit="1" customWidth="1"/>
    <col min="2067" max="2068" width="20.5546875" bestFit="1" customWidth="1"/>
    <col min="2069" max="2069" width="16.44140625" bestFit="1" customWidth="1"/>
    <col min="2070" max="2070" width="14.33203125" customWidth="1"/>
    <col min="2071" max="2071" width="12.88671875" bestFit="1" customWidth="1"/>
    <col min="2072" max="2072" width="15.66406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7.109375" customWidth="1"/>
    <col min="2310" max="2310" width="19.4414062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7.6640625" bestFit="1" customWidth="1"/>
    <col min="2321" max="2321" width="17.33203125" bestFit="1" customWidth="1"/>
    <col min="2322" max="2322" width="17.6640625" bestFit="1" customWidth="1"/>
    <col min="2323" max="2324" width="20.5546875" bestFit="1" customWidth="1"/>
    <col min="2325" max="2325" width="16.44140625" bestFit="1" customWidth="1"/>
    <col min="2326" max="2326" width="14.33203125" customWidth="1"/>
    <col min="2327" max="2327" width="12.88671875" bestFit="1" customWidth="1"/>
    <col min="2328" max="2328" width="15.66406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7.109375" customWidth="1"/>
    <col min="2566" max="2566" width="19.4414062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7.6640625" bestFit="1" customWidth="1"/>
    <col min="2577" max="2577" width="17.33203125" bestFit="1" customWidth="1"/>
    <col min="2578" max="2578" width="17.6640625" bestFit="1" customWidth="1"/>
    <col min="2579" max="2580" width="20.5546875" bestFit="1" customWidth="1"/>
    <col min="2581" max="2581" width="16.44140625" bestFit="1" customWidth="1"/>
    <col min="2582" max="2582" width="14.33203125" customWidth="1"/>
    <col min="2583" max="2583" width="12.88671875" bestFit="1" customWidth="1"/>
    <col min="2584" max="2584" width="15.66406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7.109375" customWidth="1"/>
    <col min="2822" max="2822" width="19.4414062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7.6640625" bestFit="1" customWidth="1"/>
    <col min="2833" max="2833" width="17.33203125" bestFit="1" customWidth="1"/>
    <col min="2834" max="2834" width="17.6640625" bestFit="1" customWidth="1"/>
    <col min="2835" max="2836" width="20.5546875" bestFit="1" customWidth="1"/>
    <col min="2837" max="2837" width="16.44140625" bestFit="1" customWidth="1"/>
    <col min="2838" max="2838" width="14.33203125" customWidth="1"/>
    <col min="2839" max="2839" width="12.88671875" bestFit="1" customWidth="1"/>
    <col min="2840" max="2840" width="15.66406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7.109375" customWidth="1"/>
    <col min="3078" max="3078" width="19.4414062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7.6640625" bestFit="1" customWidth="1"/>
    <col min="3089" max="3089" width="17.33203125" bestFit="1" customWidth="1"/>
    <col min="3090" max="3090" width="17.6640625" bestFit="1" customWidth="1"/>
    <col min="3091" max="3092" width="20.5546875" bestFit="1" customWidth="1"/>
    <col min="3093" max="3093" width="16.44140625" bestFit="1" customWidth="1"/>
    <col min="3094" max="3094" width="14.33203125" customWidth="1"/>
    <col min="3095" max="3095" width="12.88671875" bestFit="1" customWidth="1"/>
    <col min="3096" max="3096" width="15.66406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7.109375" customWidth="1"/>
    <col min="3334" max="3334" width="19.4414062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7.6640625" bestFit="1" customWidth="1"/>
    <col min="3345" max="3345" width="17.33203125" bestFit="1" customWidth="1"/>
    <col min="3346" max="3346" width="17.6640625" bestFit="1" customWidth="1"/>
    <col min="3347" max="3348" width="20.5546875" bestFit="1" customWidth="1"/>
    <col min="3349" max="3349" width="16.44140625" bestFit="1" customWidth="1"/>
    <col min="3350" max="3350" width="14.33203125" customWidth="1"/>
    <col min="3351" max="3351" width="12.88671875" bestFit="1" customWidth="1"/>
    <col min="3352" max="3352" width="15.66406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7.109375" customWidth="1"/>
    <col min="3590" max="3590" width="19.4414062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7.6640625" bestFit="1" customWidth="1"/>
    <col min="3601" max="3601" width="17.33203125" bestFit="1" customWidth="1"/>
    <col min="3602" max="3602" width="17.6640625" bestFit="1" customWidth="1"/>
    <col min="3603" max="3604" width="20.5546875" bestFit="1" customWidth="1"/>
    <col min="3605" max="3605" width="16.44140625" bestFit="1" customWidth="1"/>
    <col min="3606" max="3606" width="14.33203125" customWidth="1"/>
    <col min="3607" max="3607" width="12.88671875" bestFit="1" customWidth="1"/>
    <col min="3608" max="3608" width="15.66406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7.109375" customWidth="1"/>
    <col min="3846" max="3846" width="19.4414062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7.6640625" bestFit="1" customWidth="1"/>
    <col min="3857" max="3857" width="17.33203125" bestFit="1" customWidth="1"/>
    <col min="3858" max="3858" width="17.6640625" bestFit="1" customWidth="1"/>
    <col min="3859" max="3860" width="20.5546875" bestFit="1" customWidth="1"/>
    <col min="3861" max="3861" width="16.44140625" bestFit="1" customWidth="1"/>
    <col min="3862" max="3862" width="14.33203125" customWidth="1"/>
    <col min="3863" max="3863" width="12.88671875" bestFit="1" customWidth="1"/>
    <col min="3864" max="3864" width="15.66406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7.109375" customWidth="1"/>
    <col min="4102" max="4102" width="19.4414062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7.6640625" bestFit="1" customWidth="1"/>
    <col min="4113" max="4113" width="17.33203125" bestFit="1" customWidth="1"/>
    <col min="4114" max="4114" width="17.6640625" bestFit="1" customWidth="1"/>
    <col min="4115" max="4116" width="20.5546875" bestFit="1" customWidth="1"/>
    <col min="4117" max="4117" width="16.44140625" bestFit="1" customWidth="1"/>
    <col min="4118" max="4118" width="14.33203125" customWidth="1"/>
    <col min="4119" max="4119" width="12.88671875" bestFit="1" customWidth="1"/>
    <col min="4120" max="4120" width="15.66406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7.109375" customWidth="1"/>
    <col min="4358" max="4358" width="19.4414062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7.6640625" bestFit="1" customWidth="1"/>
    <col min="4369" max="4369" width="17.33203125" bestFit="1" customWidth="1"/>
    <col min="4370" max="4370" width="17.6640625" bestFit="1" customWidth="1"/>
    <col min="4371" max="4372" width="20.5546875" bestFit="1" customWidth="1"/>
    <col min="4373" max="4373" width="16.44140625" bestFit="1" customWidth="1"/>
    <col min="4374" max="4374" width="14.33203125" customWidth="1"/>
    <col min="4375" max="4375" width="12.88671875" bestFit="1" customWidth="1"/>
    <col min="4376" max="4376" width="15.66406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7.109375" customWidth="1"/>
    <col min="4614" max="4614" width="19.4414062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7.6640625" bestFit="1" customWidth="1"/>
    <col min="4625" max="4625" width="17.33203125" bestFit="1" customWidth="1"/>
    <col min="4626" max="4626" width="17.6640625" bestFit="1" customWidth="1"/>
    <col min="4627" max="4628" width="20.5546875" bestFit="1" customWidth="1"/>
    <col min="4629" max="4629" width="16.44140625" bestFit="1" customWidth="1"/>
    <col min="4630" max="4630" width="14.33203125" customWidth="1"/>
    <col min="4631" max="4631" width="12.88671875" bestFit="1" customWidth="1"/>
    <col min="4632" max="4632" width="15.66406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7.109375" customWidth="1"/>
    <col min="4870" max="4870" width="19.4414062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7.6640625" bestFit="1" customWidth="1"/>
    <col min="4881" max="4881" width="17.33203125" bestFit="1" customWidth="1"/>
    <col min="4882" max="4882" width="17.6640625" bestFit="1" customWidth="1"/>
    <col min="4883" max="4884" width="20.5546875" bestFit="1" customWidth="1"/>
    <col min="4885" max="4885" width="16.44140625" bestFit="1" customWidth="1"/>
    <col min="4886" max="4886" width="14.33203125" customWidth="1"/>
    <col min="4887" max="4887" width="12.88671875" bestFit="1" customWidth="1"/>
    <col min="4888" max="4888" width="15.66406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7.109375" customWidth="1"/>
    <col min="5126" max="5126" width="19.4414062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7.6640625" bestFit="1" customWidth="1"/>
    <col min="5137" max="5137" width="17.33203125" bestFit="1" customWidth="1"/>
    <col min="5138" max="5138" width="17.6640625" bestFit="1" customWidth="1"/>
    <col min="5139" max="5140" width="20.5546875" bestFit="1" customWidth="1"/>
    <col min="5141" max="5141" width="16.44140625" bestFit="1" customWidth="1"/>
    <col min="5142" max="5142" width="14.33203125" customWidth="1"/>
    <col min="5143" max="5143" width="12.88671875" bestFit="1" customWidth="1"/>
    <col min="5144" max="5144" width="15.66406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7.109375" customWidth="1"/>
    <col min="5382" max="5382" width="19.4414062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7.6640625" bestFit="1" customWidth="1"/>
    <col min="5393" max="5393" width="17.33203125" bestFit="1" customWidth="1"/>
    <col min="5394" max="5394" width="17.6640625" bestFit="1" customWidth="1"/>
    <col min="5395" max="5396" width="20.5546875" bestFit="1" customWidth="1"/>
    <col min="5397" max="5397" width="16.44140625" bestFit="1" customWidth="1"/>
    <col min="5398" max="5398" width="14.33203125" customWidth="1"/>
    <col min="5399" max="5399" width="12.88671875" bestFit="1" customWidth="1"/>
    <col min="5400" max="5400" width="15.66406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7.109375" customWidth="1"/>
    <col min="5638" max="5638" width="19.4414062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7.6640625" bestFit="1" customWidth="1"/>
    <col min="5649" max="5649" width="17.33203125" bestFit="1" customWidth="1"/>
    <col min="5650" max="5650" width="17.6640625" bestFit="1" customWidth="1"/>
    <col min="5651" max="5652" width="20.5546875" bestFit="1" customWidth="1"/>
    <col min="5653" max="5653" width="16.44140625" bestFit="1" customWidth="1"/>
    <col min="5654" max="5654" width="14.33203125" customWidth="1"/>
    <col min="5655" max="5655" width="12.88671875" bestFit="1" customWidth="1"/>
    <col min="5656" max="5656" width="15.66406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7.109375" customWidth="1"/>
    <col min="5894" max="5894" width="19.4414062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7.6640625" bestFit="1" customWidth="1"/>
    <col min="5905" max="5905" width="17.33203125" bestFit="1" customWidth="1"/>
    <col min="5906" max="5906" width="17.6640625" bestFit="1" customWidth="1"/>
    <col min="5907" max="5908" width="20.5546875" bestFit="1" customWidth="1"/>
    <col min="5909" max="5909" width="16.44140625" bestFit="1" customWidth="1"/>
    <col min="5910" max="5910" width="14.33203125" customWidth="1"/>
    <col min="5911" max="5911" width="12.88671875" bestFit="1" customWidth="1"/>
    <col min="5912" max="5912" width="15.66406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7.109375" customWidth="1"/>
    <col min="6150" max="6150" width="19.4414062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7.6640625" bestFit="1" customWidth="1"/>
    <col min="6161" max="6161" width="17.33203125" bestFit="1" customWidth="1"/>
    <col min="6162" max="6162" width="17.6640625" bestFit="1" customWidth="1"/>
    <col min="6163" max="6164" width="20.5546875" bestFit="1" customWidth="1"/>
    <col min="6165" max="6165" width="16.44140625" bestFit="1" customWidth="1"/>
    <col min="6166" max="6166" width="14.33203125" customWidth="1"/>
    <col min="6167" max="6167" width="12.88671875" bestFit="1" customWidth="1"/>
    <col min="6168" max="6168" width="15.66406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7.109375" customWidth="1"/>
    <col min="6406" max="6406" width="19.4414062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7.6640625" bestFit="1" customWidth="1"/>
    <col min="6417" max="6417" width="17.33203125" bestFit="1" customWidth="1"/>
    <col min="6418" max="6418" width="17.6640625" bestFit="1" customWidth="1"/>
    <col min="6419" max="6420" width="20.5546875" bestFit="1" customWidth="1"/>
    <col min="6421" max="6421" width="16.44140625" bestFit="1" customWidth="1"/>
    <col min="6422" max="6422" width="14.33203125" customWidth="1"/>
    <col min="6423" max="6423" width="12.88671875" bestFit="1" customWidth="1"/>
    <col min="6424" max="6424" width="15.66406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7.109375" customWidth="1"/>
    <col min="6662" max="6662" width="19.4414062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7.6640625" bestFit="1" customWidth="1"/>
    <col min="6673" max="6673" width="17.33203125" bestFit="1" customWidth="1"/>
    <col min="6674" max="6674" width="17.6640625" bestFit="1" customWidth="1"/>
    <col min="6675" max="6676" width="20.5546875" bestFit="1" customWidth="1"/>
    <col min="6677" max="6677" width="16.44140625" bestFit="1" customWidth="1"/>
    <col min="6678" max="6678" width="14.33203125" customWidth="1"/>
    <col min="6679" max="6679" width="12.88671875" bestFit="1" customWidth="1"/>
    <col min="6680" max="6680" width="15.66406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7.109375" customWidth="1"/>
    <col min="6918" max="6918" width="19.4414062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7.6640625" bestFit="1" customWidth="1"/>
    <col min="6929" max="6929" width="17.33203125" bestFit="1" customWidth="1"/>
    <col min="6930" max="6930" width="17.6640625" bestFit="1" customWidth="1"/>
    <col min="6931" max="6932" width="20.5546875" bestFit="1" customWidth="1"/>
    <col min="6933" max="6933" width="16.44140625" bestFit="1" customWidth="1"/>
    <col min="6934" max="6934" width="14.33203125" customWidth="1"/>
    <col min="6935" max="6935" width="12.88671875" bestFit="1" customWidth="1"/>
    <col min="6936" max="6936" width="15.66406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7.109375" customWidth="1"/>
    <col min="7174" max="7174" width="19.4414062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7.6640625" bestFit="1" customWidth="1"/>
    <col min="7185" max="7185" width="17.33203125" bestFit="1" customWidth="1"/>
    <col min="7186" max="7186" width="17.6640625" bestFit="1" customWidth="1"/>
    <col min="7187" max="7188" width="20.5546875" bestFit="1" customWidth="1"/>
    <col min="7189" max="7189" width="16.44140625" bestFit="1" customWidth="1"/>
    <col min="7190" max="7190" width="14.33203125" customWidth="1"/>
    <col min="7191" max="7191" width="12.88671875" bestFit="1" customWidth="1"/>
    <col min="7192" max="7192" width="15.66406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7.109375" customWidth="1"/>
    <col min="7430" max="7430" width="19.4414062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7.6640625" bestFit="1" customWidth="1"/>
    <col min="7441" max="7441" width="17.33203125" bestFit="1" customWidth="1"/>
    <col min="7442" max="7442" width="17.6640625" bestFit="1" customWidth="1"/>
    <col min="7443" max="7444" width="20.5546875" bestFit="1" customWidth="1"/>
    <col min="7445" max="7445" width="16.44140625" bestFit="1" customWidth="1"/>
    <col min="7446" max="7446" width="14.33203125" customWidth="1"/>
    <col min="7447" max="7447" width="12.88671875" bestFit="1" customWidth="1"/>
    <col min="7448" max="7448" width="15.66406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7.109375" customWidth="1"/>
    <col min="7686" max="7686" width="19.4414062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7.6640625" bestFit="1" customWidth="1"/>
    <col min="7697" max="7697" width="17.33203125" bestFit="1" customWidth="1"/>
    <col min="7698" max="7698" width="17.6640625" bestFit="1" customWidth="1"/>
    <col min="7699" max="7700" width="20.5546875" bestFit="1" customWidth="1"/>
    <col min="7701" max="7701" width="16.44140625" bestFit="1" customWidth="1"/>
    <col min="7702" max="7702" width="14.33203125" customWidth="1"/>
    <col min="7703" max="7703" width="12.88671875" bestFit="1" customWidth="1"/>
    <col min="7704" max="7704" width="15.66406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7.109375" customWidth="1"/>
    <col min="7942" max="7942" width="19.4414062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7.6640625" bestFit="1" customWidth="1"/>
    <col min="7953" max="7953" width="17.33203125" bestFit="1" customWidth="1"/>
    <col min="7954" max="7954" width="17.6640625" bestFit="1" customWidth="1"/>
    <col min="7955" max="7956" width="20.5546875" bestFit="1" customWidth="1"/>
    <col min="7957" max="7957" width="16.44140625" bestFit="1" customWidth="1"/>
    <col min="7958" max="7958" width="14.33203125" customWidth="1"/>
    <col min="7959" max="7959" width="12.88671875" bestFit="1" customWidth="1"/>
    <col min="7960" max="7960" width="15.66406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7.109375" customWidth="1"/>
    <col min="8198" max="8198" width="19.4414062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7.6640625" bestFit="1" customWidth="1"/>
    <col min="8209" max="8209" width="17.33203125" bestFit="1" customWidth="1"/>
    <col min="8210" max="8210" width="17.6640625" bestFit="1" customWidth="1"/>
    <col min="8211" max="8212" width="20.5546875" bestFit="1" customWidth="1"/>
    <col min="8213" max="8213" width="16.44140625" bestFit="1" customWidth="1"/>
    <col min="8214" max="8214" width="14.33203125" customWidth="1"/>
    <col min="8215" max="8215" width="12.88671875" bestFit="1" customWidth="1"/>
    <col min="8216" max="8216" width="15.66406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7.109375" customWidth="1"/>
    <col min="8454" max="8454" width="19.4414062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7.6640625" bestFit="1" customWidth="1"/>
    <col min="8465" max="8465" width="17.33203125" bestFit="1" customWidth="1"/>
    <col min="8466" max="8466" width="17.6640625" bestFit="1" customWidth="1"/>
    <col min="8467" max="8468" width="20.5546875" bestFit="1" customWidth="1"/>
    <col min="8469" max="8469" width="16.44140625" bestFit="1" customWidth="1"/>
    <col min="8470" max="8470" width="14.33203125" customWidth="1"/>
    <col min="8471" max="8471" width="12.88671875" bestFit="1" customWidth="1"/>
    <col min="8472" max="8472" width="15.66406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7.109375" customWidth="1"/>
    <col min="8710" max="8710" width="19.4414062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7.6640625" bestFit="1" customWidth="1"/>
    <col min="8721" max="8721" width="17.33203125" bestFit="1" customWidth="1"/>
    <col min="8722" max="8722" width="17.6640625" bestFit="1" customWidth="1"/>
    <col min="8723" max="8724" width="20.5546875" bestFit="1" customWidth="1"/>
    <col min="8725" max="8725" width="16.44140625" bestFit="1" customWidth="1"/>
    <col min="8726" max="8726" width="14.33203125" customWidth="1"/>
    <col min="8727" max="8727" width="12.88671875" bestFit="1" customWidth="1"/>
    <col min="8728" max="8728" width="15.66406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7.109375" customWidth="1"/>
    <col min="8966" max="8966" width="19.4414062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7.6640625" bestFit="1" customWidth="1"/>
    <col min="8977" max="8977" width="17.33203125" bestFit="1" customWidth="1"/>
    <col min="8978" max="8978" width="17.6640625" bestFit="1" customWidth="1"/>
    <col min="8979" max="8980" width="20.5546875" bestFit="1" customWidth="1"/>
    <col min="8981" max="8981" width="16.44140625" bestFit="1" customWidth="1"/>
    <col min="8982" max="8982" width="14.33203125" customWidth="1"/>
    <col min="8983" max="8983" width="12.88671875" bestFit="1" customWidth="1"/>
    <col min="8984" max="8984" width="15.66406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7.109375" customWidth="1"/>
    <col min="9222" max="9222" width="19.4414062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7.6640625" bestFit="1" customWidth="1"/>
    <col min="9233" max="9233" width="17.33203125" bestFit="1" customWidth="1"/>
    <col min="9234" max="9234" width="17.6640625" bestFit="1" customWidth="1"/>
    <col min="9235" max="9236" width="20.5546875" bestFit="1" customWidth="1"/>
    <col min="9237" max="9237" width="16.44140625" bestFit="1" customWidth="1"/>
    <col min="9238" max="9238" width="14.33203125" customWidth="1"/>
    <col min="9239" max="9239" width="12.88671875" bestFit="1" customWidth="1"/>
    <col min="9240" max="9240" width="15.66406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7.109375" customWidth="1"/>
    <col min="9478" max="9478" width="19.4414062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7.6640625" bestFit="1" customWidth="1"/>
    <col min="9489" max="9489" width="17.33203125" bestFit="1" customWidth="1"/>
    <col min="9490" max="9490" width="17.6640625" bestFit="1" customWidth="1"/>
    <col min="9491" max="9492" width="20.5546875" bestFit="1" customWidth="1"/>
    <col min="9493" max="9493" width="16.44140625" bestFit="1" customWidth="1"/>
    <col min="9494" max="9494" width="14.33203125" customWidth="1"/>
    <col min="9495" max="9495" width="12.88671875" bestFit="1" customWidth="1"/>
    <col min="9496" max="9496" width="15.66406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7.109375" customWidth="1"/>
    <col min="9734" max="9734" width="19.4414062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7.6640625" bestFit="1" customWidth="1"/>
    <col min="9745" max="9745" width="17.33203125" bestFit="1" customWidth="1"/>
    <col min="9746" max="9746" width="17.6640625" bestFit="1" customWidth="1"/>
    <col min="9747" max="9748" width="20.5546875" bestFit="1" customWidth="1"/>
    <col min="9749" max="9749" width="16.44140625" bestFit="1" customWidth="1"/>
    <col min="9750" max="9750" width="14.33203125" customWidth="1"/>
    <col min="9751" max="9751" width="12.88671875" bestFit="1" customWidth="1"/>
    <col min="9752" max="9752" width="15.66406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7.109375" customWidth="1"/>
    <col min="9990" max="9990" width="19.4414062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7.6640625" bestFit="1" customWidth="1"/>
    <col min="10001" max="10001" width="17.33203125" bestFit="1" customWidth="1"/>
    <col min="10002" max="10002" width="17.6640625" bestFit="1" customWidth="1"/>
    <col min="10003" max="10004" width="20.5546875" bestFit="1" customWidth="1"/>
    <col min="10005" max="10005" width="16.44140625" bestFit="1" customWidth="1"/>
    <col min="10006" max="10006" width="14.33203125" customWidth="1"/>
    <col min="10007" max="10007" width="12.88671875" bestFit="1" customWidth="1"/>
    <col min="10008" max="10008" width="15.66406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7.109375" customWidth="1"/>
    <col min="10246" max="10246" width="19.4414062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7.6640625" bestFit="1" customWidth="1"/>
    <col min="10257" max="10257" width="17.33203125" bestFit="1" customWidth="1"/>
    <col min="10258" max="10258" width="17.6640625" bestFit="1" customWidth="1"/>
    <col min="10259" max="10260" width="20.5546875" bestFit="1" customWidth="1"/>
    <col min="10261" max="10261" width="16.44140625" bestFit="1" customWidth="1"/>
    <col min="10262" max="10262" width="14.33203125" customWidth="1"/>
    <col min="10263" max="10263" width="12.88671875" bestFit="1" customWidth="1"/>
    <col min="10264" max="10264" width="15.66406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7.109375" customWidth="1"/>
    <col min="10502" max="10502" width="19.4414062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7.6640625" bestFit="1" customWidth="1"/>
    <col min="10513" max="10513" width="17.33203125" bestFit="1" customWidth="1"/>
    <col min="10514" max="10514" width="17.6640625" bestFit="1" customWidth="1"/>
    <col min="10515" max="10516" width="20.5546875" bestFit="1" customWidth="1"/>
    <col min="10517" max="10517" width="16.44140625" bestFit="1" customWidth="1"/>
    <col min="10518" max="10518" width="14.33203125" customWidth="1"/>
    <col min="10519" max="10519" width="12.88671875" bestFit="1" customWidth="1"/>
    <col min="10520" max="10520" width="15.66406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7.109375" customWidth="1"/>
    <col min="10758" max="10758" width="19.4414062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7.6640625" bestFit="1" customWidth="1"/>
    <col min="10769" max="10769" width="17.33203125" bestFit="1" customWidth="1"/>
    <col min="10770" max="10770" width="17.6640625" bestFit="1" customWidth="1"/>
    <col min="10771" max="10772" width="20.5546875" bestFit="1" customWidth="1"/>
    <col min="10773" max="10773" width="16.44140625" bestFit="1" customWidth="1"/>
    <col min="10774" max="10774" width="14.33203125" customWidth="1"/>
    <col min="10775" max="10775" width="12.88671875" bestFit="1" customWidth="1"/>
    <col min="10776" max="10776" width="15.66406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7.109375" customWidth="1"/>
    <col min="11014" max="11014" width="19.4414062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7.6640625" bestFit="1" customWidth="1"/>
    <col min="11025" max="11025" width="17.33203125" bestFit="1" customWidth="1"/>
    <col min="11026" max="11026" width="17.6640625" bestFit="1" customWidth="1"/>
    <col min="11027" max="11028" width="20.5546875" bestFit="1" customWidth="1"/>
    <col min="11029" max="11029" width="16.44140625" bestFit="1" customWidth="1"/>
    <col min="11030" max="11030" width="14.33203125" customWidth="1"/>
    <col min="11031" max="11031" width="12.88671875" bestFit="1" customWidth="1"/>
    <col min="11032" max="11032" width="15.66406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7.109375" customWidth="1"/>
    <col min="11270" max="11270" width="19.4414062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7.6640625" bestFit="1" customWidth="1"/>
    <col min="11281" max="11281" width="17.33203125" bestFit="1" customWidth="1"/>
    <col min="11282" max="11282" width="17.6640625" bestFit="1" customWidth="1"/>
    <col min="11283" max="11284" width="20.5546875" bestFit="1" customWidth="1"/>
    <col min="11285" max="11285" width="16.44140625" bestFit="1" customWidth="1"/>
    <col min="11286" max="11286" width="14.33203125" customWidth="1"/>
    <col min="11287" max="11287" width="12.88671875" bestFit="1" customWidth="1"/>
    <col min="11288" max="11288" width="15.66406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7.109375" customWidth="1"/>
    <col min="11526" max="11526" width="19.4414062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7.6640625" bestFit="1" customWidth="1"/>
    <col min="11537" max="11537" width="17.33203125" bestFit="1" customWidth="1"/>
    <col min="11538" max="11538" width="17.6640625" bestFit="1" customWidth="1"/>
    <col min="11539" max="11540" width="20.5546875" bestFit="1" customWidth="1"/>
    <col min="11541" max="11541" width="16.44140625" bestFit="1" customWidth="1"/>
    <col min="11542" max="11542" width="14.33203125" customWidth="1"/>
    <col min="11543" max="11543" width="12.88671875" bestFit="1" customWidth="1"/>
    <col min="11544" max="11544" width="15.66406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7.109375" customWidth="1"/>
    <col min="11782" max="11782" width="19.4414062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7.6640625" bestFit="1" customWidth="1"/>
    <col min="11793" max="11793" width="17.33203125" bestFit="1" customWidth="1"/>
    <col min="11794" max="11794" width="17.6640625" bestFit="1" customWidth="1"/>
    <col min="11795" max="11796" width="20.5546875" bestFit="1" customWidth="1"/>
    <col min="11797" max="11797" width="16.44140625" bestFit="1" customWidth="1"/>
    <col min="11798" max="11798" width="14.33203125" customWidth="1"/>
    <col min="11799" max="11799" width="12.88671875" bestFit="1" customWidth="1"/>
    <col min="11800" max="11800" width="15.66406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7.109375" customWidth="1"/>
    <col min="12038" max="12038" width="19.4414062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7.6640625" bestFit="1" customWidth="1"/>
    <col min="12049" max="12049" width="17.33203125" bestFit="1" customWidth="1"/>
    <col min="12050" max="12050" width="17.6640625" bestFit="1" customWidth="1"/>
    <col min="12051" max="12052" width="20.5546875" bestFit="1" customWidth="1"/>
    <col min="12053" max="12053" width="16.44140625" bestFit="1" customWidth="1"/>
    <col min="12054" max="12054" width="14.33203125" customWidth="1"/>
    <col min="12055" max="12055" width="12.88671875" bestFit="1" customWidth="1"/>
    <col min="12056" max="12056" width="15.66406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7.109375" customWidth="1"/>
    <col min="12294" max="12294" width="19.4414062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7.6640625" bestFit="1" customWidth="1"/>
    <col min="12305" max="12305" width="17.33203125" bestFit="1" customWidth="1"/>
    <col min="12306" max="12306" width="17.6640625" bestFit="1" customWidth="1"/>
    <col min="12307" max="12308" width="20.5546875" bestFit="1" customWidth="1"/>
    <col min="12309" max="12309" width="16.44140625" bestFit="1" customWidth="1"/>
    <col min="12310" max="12310" width="14.33203125" customWidth="1"/>
    <col min="12311" max="12311" width="12.88671875" bestFit="1" customWidth="1"/>
    <col min="12312" max="12312" width="15.66406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7.109375" customWidth="1"/>
    <col min="12550" max="12550" width="19.4414062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7.6640625" bestFit="1" customWidth="1"/>
    <col min="12561" max="12561" width="17.33203125" bestFit="1" customWidth="1"/>
    <col min="12562" max="12562" width="17.6640625" bestFit="1" customWidth="1"/>
    <col min="12563" max="12564" width="20.5546875" bestFit="1" customWidth="1"/>
    <col min="12565" max="12565" width="16.44140625" bestFit="1" customWidth="1"/>
    <col min="12566" max="12566" width="14.33203125" customWidth="1"/>
    <col min="12567" max="12567" width="12.88671875" bestFit="1" customWidth="1"/>
    <col min="12568" max="12568" width="15.66406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7.109375" customWidth="1"/>
    <col min="12806" max="12806" width="19.4414062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7.6640625" bestFit="1" customWidth="1"/>
    <col min="12817" max="12817" width="17.33203125" bestFit="1" customWidth="1"/>
    <col min="12818" max="12818" width="17.6640625" bestFit="1" customWidth="1"/>
    <col min="12819" max="12820" width="20.5546875" bestFit="1" customWidth="1"/>
    <col min="12821" max="12821" width="16.44140625" bestFit="1" customWidth="1"/>
    <col min="12822" max="12822" width="14.33203125" customWidth="1"/>
    <col min="12823" max="12823" width="12.88671875" bestFit="1" customWidth="1"/>
    <col min="12824" max="12824" width="15.66406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7.109375" customWidth="1"/>
    <col min="13062" max="13062" width="19.4414062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7.6640625" bestFit="1" customWidth="1"/>
    <col min="13073" max="13073" width="17.33203125" bestFit="1" customWidth="1"/>
    <col min="13074" max="13074" width="17.6640625" bestFit="1" customWidth="1"/>
    <col min="13075" max="13076" width="20.5546875" bestFit="1" customWidth="1"/>
    <col min="13077" max="13077" width="16.44140625" bestFit="1" customWidth="1"/>
    <col min="13078" max="13078" width="14.33203125" customWidth="1"/>
    <col min="13079" max="13079" width="12.88671875" bestFit="1" customWidth="1"/>
    <col min="13080" max="13080" width="15.66406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7.109375" customWidth="1"/>
    <col min="13318" max="13318" width="19.4414062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7.6640625" bestFit="1" customWidth="1"/>
    <col min="13329" max="13329" width="17.33203125" bestFit="1" customWidth="1"/>
    <col min="13330" max="13330" width="17.6640625" bestFit="1" customWidth="1"/>
    <col min="13331" max="13332" width="20.5546875" bestFit="1" customWidth="1"/>
    <col min="13333" max="13333" width="16.44140625" bestFit="1" customWidth="1"/>
    <col min="13334" max="13334" width="14.33203125" customWidth="1"/>
    <col min="13335" max="13335" width="12.88671875" bestFit="1" customWidth="1"/>
    <col min="13336" max="13336" width="15.66406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7.109375" customWidth="1"/>
    <col min="13574" max="13574" width="19.4414062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7.6640625" bestFit="1" customWidth="1"/>
    <col min="13585" max="13585" width="17.33203125" bestFit="1" customWidth="1"/>
    <col min="13586" max="13586" width="17.6640625" bestFit="1" customWidth="1"/>
    <col min="13587" max="13588" width="20.5546875" bestFit="1" customWidth="1"/>
    <col min="13589" max="13589" width="16.44140625" bestFit="1" customWidth="1"/>
    <col min="13590" max="13590" width="14.33203125" customWidth="1"/>
    <col min="13591" max="13591" width="12.88671875" bestFit="1" customWidth="1"/>
    <col min="13592" max="13592" width="15.66406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7.109375" customWidth="1"/>
    <col min="13830" max="13830" width="19.4414062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7.6640625" bestFit="1" customWidth="1"/>
    <col min="13841" max="13841" width="17.33203125" bestFit="1" customWidth="1"/>
    <col min="13842" max="13842" width="17.6640625" bestFit="1" customWidth="1"/>
    <col min="13843" max="13844" width="20.5546875" bestFit="1" customWidth="1"/>
    <col min="13845" max="13845" width="16.44140625" bestFit="1" customWidth="1"/>
    <col min="13846" max="13846" width="14.33203125" customWidth="1"/>
    <col min="13847" max="13847" width="12.88671875" bestFit="1" customWidth="1"/>
    <col min="13848" max="13848" width="15.66406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7.109375" customWidth="1"/>
    <col min="14086" max="14086" width="19.4414062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7.6640625" bestFit="1" customWidth="1"/>
    <col min="14097" max="14097" width="17.33203125" bestFit="1" customWidth="1"/>
    <col min="14098" max="14098" width="17.6640625" bestFit="1" customWidth="1"/>
    <col min="14099" max="14100" width="20.5546875" bestFit="1" customWidth="1"/>
    <col min="14101" max="14101" width="16.44140625" bestFit="1" customWidth="1"/>
    <col min="14102" max="14102" width="14.33203125" customWidth="1"/>
    <col min="14103" max="14103" width="12.88671875" bestFit="1" customWidth="1"/>
    <col min="14104" max="14104" width="15.66406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7.109375" customWidth="1"/>
    <col min="14342" max="14342" width="19.4414062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7.6640625" bestFit="1" customWidth="1"/>
    <col min="14353" max="14353" width="17.33203125" bestFit="1" customWidth="1"/>
    <col min="14354" max="14354" width="17.6640625" bestFit="1" customWidth="1"/>
    <col min="14355" max="14356" width="20.5546875" bestFit="1" customWidth="1"/>
    <col min="14357" max="14357" width="16.44140625" bestFit="1" customWidth="1"/>
    <col min="14358" max="14358" width="14.33203125" customWidth="1"/>
    <col min="14359" max="14359" width="12.88671875" bestFit="1" customWidth="1"/>
    <col min="14360" max="14360" width="15.66406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7.109375" customWidth="1"/>
    <col min="14598" max="14598" width="19.4414062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7.6640625" bestFit="1" customWidth="1"/>
    <col min="14609" max="14609" width="17.33203125" bestFit="1" customWidth="1"/>
    <col min="14610" max="14610" width="17.6640625" bestFit="1" customWidth="1"/>
    <col min="14611" max="14612" width="20.5546875" bestFit="1" customWidth="1"/>
    <col min="14613" max="14613" width="16.44140625" bestFit="1" customWidth="1"/>
    <col min="14614" max="14614" width="14.33203125" customWidth="1"/>
    <col min="14615" max="14615" width="12.88671875" bestFit="1" customWidth="1"/>
    <col min="14616" max="14616" width="15.66406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7.109375" customWidth="1"/>
    <col min="14854" max="14854" width="19.4414062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7.6640625" bestFit="1" customWidth="1"/>
    <col min="14865" max="14865" width="17.33203125" bestFit="1" customWidth="1"/>
    <col min="14866" max="14866" width="17.6640625" bestFit="1" customWidth="1"/>
    <col min="14867" max="14868" width="20.5546875" bestFit="1" customWidth="1"/>
    <col min="14869" max="14869" width="16.44140625" bestFit="1" customWidth="1"/>
    <col min="14870" max="14870" width="14.33203125" customWidth="1"/>
    <col min="14871" max="14871" width="12.88671875" bestFit="1" customWidth="1"/>
    <col min="14872" max="14872" width="15.66406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7.109375" customWidth="1"/>
    <col min="15110" max="15110" width="19.4414062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7.6640625" bestFit="1" customWidth="1"/>
    <col min="15121" max="15121" width="17.33203125" bestFit="1" customWidth="1"/>
    <col min="15122" max="15122" width="17.6640625" bestFit="1" customWidth="1"/>
    <col min="15123" max="15124" width="20.5546875" bestFit="1" customWidth="1"/>
    <col min="15125" max="15125" width="16.44140625" bestFit="1" customWidth="1"/>
    <col min="15126" max="15126" width="14.33203125" customWidth="1"/>
    <col min="15127" max="15127" width="12.88671875" bestFit="1" customWidth="1"/>
    <col min="15128" max="15128" width="15.66406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7.109375" customWidth="1"/>
    <col min="15366" max="15366" width="19.4414062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7.6640625" bestFit="1" customWidth="1"/>
    <col min="15377" max="15377" width="17.33203125" bestFit="1" customWidth="1"/>
    <col min="15378" max="15378" width="17.6640625" bestFit="1" customWidth="1"/>
    <col min="15379" max="15380" width="20.5546875" bestFit="1" customWidth="1"/>
    <col min="15381" max="15381" width="16.44140625" bestFit="1" customWidth="1"/>
    <col min="15382" max="15382" width="14.33203125" customWidth="1"/>
    <col min="15383" max="15383" width="12.88671875" bestFit="1" customWidth="1"/>
    <col min="15384" max="15384" width="15.66406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7.109375" customWidth="1"/>
    <col min="15622" max="15622" width="19.4414062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7.6640625" bestFit="1" customWidth="1"/>
    <col min="15633" max="15633" width="17.33203125" bestFit="1" customWidth="1"/>
    <col min="15634" max="15634" width="17.6640625" bestFit="1" customWidth="1"/>
    <col min="15635" max="15636" width="20.5546875" bestFit="1" customWidth="1"/>
    <col min="15637" max="15637" width="16.44140625" bestFit="1" customWidth="1"/>
    <col min="15638" max="15638" width="14.33203125" customWidth="1"/>
    <col min="15639" max="15639" width="12.88671875" bestFit="1" customWidth="1"/>
    <col min="15640" max="15640" width="15.66406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7.109375" customWidth="1"/>
    <col min="15878" max="15878" width="19.4414062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7.6640625" bestFit="1" customWidth="1"/>
    <col min="15889" max="15889" width="17.33203125" bestFit="1" customWidth="1"/>
    <col min="15890" max="15890" width="17.6640625" bestFit="1" customWidth="1"/>
    <col min="15891" max="15892" width="20.5546875" bestFit="1" customWidth="1"/>
    <col min="15893" max="15893" width="16.44140625" bestFit="1" customWidth="1"/>
    <col min="15894" max="15894" width="14.33203125" customWidth="1"/>
    <col min="15895" max="15895" width="12.88671875" bestFit="1" customWidth="1"/>
    <col min="15896" max="15896" width="15.66406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7.109375" customWidth="1"/>
    <col min="16134" max="16134" width="19.4414062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7.6640625" bestFit="1" customWidth="1"/>
    <col min="16145" max="16145" width="17.33203125" bestFit="1" customWidth="1"/>
    <col min="16146" max="16146" width="17.6640625" bestFit="1" customWidth="1"/>
    <col min="16147" max="16148" width="20.5546875" bestFit="1" customWidth="1"/>
    <col min="16149" max="16149" width="16.44140625" bestFit="1" customWidth="1"/>
    <col min="16150" max="16150" width="14.33203125" customWidth="1"/>
    <col min="16151" max="16151" width="12.88671875" bestFit="1" customWidth="1"/>
    <col min="16152" max="16152" width="15.66406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D1" s="390"/>
      <c r="F1" s="202"/>
      <c r="G1" s="202">
        <f>C3</f>
        <v>18230638</v>
      </c>
      <c r="H1" s="202" t="str">
        <f>C4</f>
        <v>SF Existing Space Heat - Gas</v>
      </c>
      <c r="I1" s="202"/>
    </row>
    <row r="2" spans="2:22" ht="16.2" thickBot="1" x14ac:dyDescent="0.35">
      <c r="B2" s="202" t="s">
        <v>131</v>
      </c>
      <c r="C2" s="203" t="s">
        <v>632</v>
      </c>
      <c r="G2" s="204" t="s">
        <v>8</v>
      </c>
      <c r="Q2" s="4765" t="s">
        <v>612</v>
      </c>
      <c r="R2" s="4765"/>
      <c r="S2" s="4762" t="s">
        <v>132</v>
      </c>
      <c r="T2" s="4763"/>
      <c r="U2" s="4764"/>
      <c r="V2" s="4766" t="s">
        <v>133</v>
      </c>
    </row>
    <row r="3" spans="2:22" ht="16.2" thickBot="1" x14ac:dyDescent="0.35">
      <c r="B3" s="203" t="s">
        <v>6</v>
      </c>
      <c r="C3" s="203">
        <v>18230638</v>
      </c>
      <c r="D3" s="391"/>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649</v>
      </c>
      <c r="F4" s="202">
        <v>2011</v>
      </c>
      <c r="G4" s="210">
        <f>B12</f>
        <v>159123</v>
      </c>
      <c r="H4" s="211">
        <f>B17</f>
        <v>11530</v>
      </c>
      <c r="I4" s="211">
        <f>B22</f>
        <v>107512</v>
      </c>
      <c r="J4" s="211">
        <f>B27</f>
        <v>24000</v>
      </c>
      <c r="K4" s="211">
        <f>B32</f>
        <v>4800</v>
      </c>
      <c r="L4" s="211">
        <f>B37</f>
        <v>24000</v>
      </c>
      <c r="M4" s="211">
        <f>B42</f>
        <v>4200</v>
      </c>
      <c r="N4" s="211">
        <f>B47</f>
        <v>9000</v>
      </c>
      <c r="O4" s="211">
        <f>B52</f>
        <v>1621900</v>
      </c>
      <c r="P4" s="211">
        <f>B53</f>
        <v>0</v>
      </c>
      <c r="Q4" s="213">
        <f>B54</f>
        <v>1966065</v>
      </c>
      <c r="R4" s="372">
        <f>T54</f>
        <v>756986</v>
      </c>
      <c r="S4" s="331">
        <f>O4/Q4</f>
        <v>0.82494729319732563</v>
      </c>
      <c r="T4" s="331">
        <f>(J4+(H4*1.63))/Q4</f>
        <v>2.1766269172178943E-2</v>
      </c>
      <c r="U4" s="331">
        <f>L4/Q4</f>
        <v>1.2207124382968009E-2</v>
      </c>
      <c r="V4" s="216">
        <f>Q4/R4</f>
        <v>2.5972276898119646</v>
      </c>
    </row>
    <row r="5" spans="2:22" ht="16.2" thickBot="1" x14ac:dyDescent="0.35">
      <c r="B5" s="202" t="s">
        <v>34</v>
      </c>
      <c r="F5" s="202">
        <v>2012</v>
      </c>
      <c r="G5" s="217">
        <f>D12</f>
        <v>139654.79999999999</v>
      </c>
      <c r="H5" s="218">
        <f>D17</f>
        <v>21000</v>
      </c>
      <c r="I5" s="218">
        <f>D22</f>
        <v>101212.52399999999</v>
      </c>
      <c r="J5" s="218">
        <f>D27</f>
        <v>50000</v>
      </c>
      <c r="K5" s="218">
        <f>D32</f>
        <v>5400</v>
      </c>
      <c r="L5" s="218">
        <f>D37</f>
        <v>18000</v>
      </c>
      <c r="M5" s="218">
        <f>D42</f>
        <v>15400</v>
      </c>
      <c r="N5" s="218">
        <f>D47</f>
        <v>10200</v>
      </c>
      <c r="O5" s="218">
        <f>D52</f>
        <v>1752400</v>
      </c>
      <c r="P5" s="218">
        <f>D53</f>
        <v>0</v>
      </c>
      <c r="Q5" s="219">
        <f>SUM(G5:P5)</f>
        <v>2113267.324</v>
      </c>
      <c r="R5" s="373">
        <f>P54</f>
        <v>742699</v>
      </c>
      <c r="S5" s="332">
        <f>O5/Q5</f>
        <v>0.82923725744410359</v>
      </c>
      <c r="T5" s="332">
        <f>(J5+(H5*1.63))/Q5</f>
        <v>3.9857711820655589E-2</v>
      </c>
      <c r="U5" s="332">
        <f>L5/Q5</f>
        <v>8.517616202918207E-3</v>
      </c>
      <c r="V5" s="222">
        <f>Q5/R5</f>
        <v>2.8453886756276767</v>
      </c>
    </row>
    <row r="6" spans="2:22" ht="16.2" thickBot="1" x14ac:dyDescent="0.35">
      <c r="C6" s="202" t="s">
        <v>264</v>
      </c>
      <c r="F6" s="202">
        <v>2013</v>
      </c>
      <c r="G6" s="374">
        <f>E12</f>
        <v>143844.39000000001</v>
      </c>
      <c r="H6" s="375">
        <f>E17</f>
        <v>21525</v>
      </c>
      <c r="I6" s="375">
        <f>E22</f>
        <v>104182.71570000002</v>
      </c>
      <c r="J6" s="375">
        <f>E27</f>
        <v>50000</v>
      </c>
      <c r="K6" s="375">
        <f>E32</f>
        <v>5400</v>
      </c>
      <c r="L6" s="375">
        <f>E37</f>
        <v>18000</v>
      </c>
      <c r="M6" s="375">
        <f>E42</f>
        <v>15400</v>
      </c>
      <c r="N6" s="375">
        <f>E47</f>
        <v>10200</v>
      </c>
      <c r="O6" s="375">
        <f>E52</f>
        <v>1776400</v>
      </c>
      <c r="P6" s="375">
        <f>E53</f>
        <v>0</v>
      </c>
      <c r="Q6" s="219">
        <f>SUM(G6:P6)</f>
        <v>2144952.1057000002</v>
      </c>
      <c r="R6" s="373">
        <f>Q54</f>
        <v>747889</v>
      </c>
      <c r="S6" s="332">
        <f>O6/Q6</f>
        <v>0.82817699998027505</v>
      </c>
      <c r="T6" s="332">
        <f>(J6+(H6*1.63))/Q6</f>
        <v>3.966790203561793E-2</v>
      </c>
      <c r="U6" s="332">
        <f>L6/Q6</f>
        <v>8.3917957665193381E-3</v>
      </c>
      <c r="V6" s="222">
        <f>Q6/R6</f>
        <v>2.8680086292217162</v>
      </c>
    </row>
    <row r="7" spans="2:22" ht="16.2" thickBot="1" x14ac:dyDescent="0.35">
      <c r="C7" s="227" t="s">
        <v>255</v>
      </c>
      <c r="F7" s="376" t="s">
        <v>178</v>
      </c>
      <c r="G7" s="377">
        <f>SUM(G5:G6)</f>
        <v>283499.19</v>
      </c>
      <c r="H7" s="377">
        <f t="shared" ref="H7:P7" si="0">SUM(H5:H6)</f>
        <v>42525</v>
      </c>
      <c r="I7" s="377">
        <f t="shared" si="0"/>
        <v>205395.23970000001</v>
      </c>
      <c r="J7" s="377">
        <f t="shared" si="0"/>
        <v>100000</v>
      </c>
      <c r="K7" s="377">
        <f t="shared" si="0"/>
        <v>10800</v>
      </c>
      <c r="L7" s="377">
        <f t="shared" si="0"/>
        <v>36000</v>
      </c>
      <c r="M7" s="377">
        <f t="shared" si="0"/>
        <v>30800</v>
      </c>
      <c r="N7" s="377">
        <f t="shared" si="0"/>
        <v>20400</v>
      </c>
      <c r="O7" s="377">
        <f t="shared" si="0"/>
        <v>3528800</v>
      </c>
      <c r="P7" s="377">
        <f t="shared" si="0"/>
        <v>0</v>
      </c>
      <c r="Q7" s="378">
        <f>SUM(G7:P7)</f>
        <v>4258219.4297000002</v>
      </c>
      <c r="R7" s="379">
        <f>R54</f>
        <v>1490588</v>
      </c>
      <c r="S7" s="332">
        <f>O7/Q7</f>
        <v>0.82870318410261234</v>
      </c>
      <c r="T7" s="332">
        <f>(J7+(H7*1.63))/Q7</f>
        <v>3.9762100754852037E-2</v>
      </c>
      <c r="U7" s="332">
        <f>L7/Q7</f>
        <v>8.4542378790790195E-3</v>
      </c>
      <c r="V7" s="222">
        <f>Q7/R7</f>
        <v>2.8567380320383635</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159123</v>
      </c>
      <c r="C12" s="244" t="s">
        <v>161</v>
      </c>
      <c r="D12" s="245">
        <f>SUM(D13:D16)</f>
        <v>139654.79999999999</v>
      </c>
      <c r="E12" s="245">
        <f>SUM(E13:E16)</f>
        <v>143844.39000000001</v>
      </c>
      <c r="F12" s="246">
        <f>D12+E12</f>
        <v>283499.19</v>
      </c>
      <c r="H12" s="135"/>
      <c r="I12" s="247" t="str">
        <f t="shared" ref="I12:I53" si="1">C62</f>
        <v>Efficient 95% Gas Furnace (Note:  Raised from 90%)</v>
      </c>
      <c r="J12" s="248"/>
      <c r="K12" s="249"/>
      <c r="L12" s="380">
        <f t="shared" ref="L12:L53" si="2">D62</f>
        <v>110</v>
      </c>
      <c r="M12" s="2569">
        <v>6180</v>
      </c>
      <c r="N12" s="2569">
        <v>6180</v>
      </c>
      <c r="O12" s="252">
        <f>M12+N12</f>
        <v>12360</v>
      </c>
      <c r="P12" s="381">
        <f t="shared" ref="P12:R27" si="3">M12*$D62</f>
        <v>679800</v>
      </c>
      <c r="Q12" s="381">
        <f t="shared" si="3"/>
        <v>679800</v>
      </c>
      <c r="R12" s="382">
        <f t="shared" si="3"/>
        <v>1359600</v>
      </c>
      <c r="T12" s="267">
        <v>721790</v>
      </c>
    </row>
    <row r="13" spans="2:22" ht="13.8" x14ac:dyDescent="0.3">
      <c r="B13" s="256"/>
      <c r="C13" s="257" t="s">
        <v>162</v>
      </c>
      <c r="D13" s="258">
        <v>139654.79999999999</v>
      </c>
      <c r="E13" s="258">
        <v>143844.39000000001</v>
      </c>
      <c r="F13" s="258">
        <f>SUM(D13:E13)</f>
        <v>283499.19</v>
      </c>
      <c r="H13" s="135"/>
      <c r="I13" s="259" t="str">
        <f t="shared" si="1"/>
        <v>Energy Star qualified Boilers (95% AFUE)</v>
      </c>
      <c r="J13" s="260"/>
      <c r="K13" s="261"/>
      <c r="L13" s="380">
        <f t="shared" si="2"/>
        <v>119</v>
      </c>
      <c r="M13" s="2569">
        <v>120</v>
      </c>
      <c r="N13" s="2569">
        <v>120</v>
      </c>
      <c r="O13" s="252">
        <f t="shared" ref="O13:O53" si="4">M13+N13</f>
        <v>240</v>
      </c>
      <c r="P13" s="381">
        <f t="shared" si="3"/>
        <v>14280</v>
      </c>
      <c r="Q13" s="381">
        <f t="shared" si="3"/>
        <v>14280</v>
      </c>
      <c r="R13" s="382">
        <f t="shared" si="3"/>
        <v>28560</v>
      </c>
      <c r="T13" s="296">
        <v>9996</v>
      </c>
    </row>
    <row r="14" spans="2:22" ht="13.8" x14ac:dyDescent="0.3">
      <c r="B14" s="264"/>
      <c r="C14" s="265" t="s">
        <v>163</v>
      </c>
      <c r="D14" s="266">
        <v>0</v>
      </c>
      <c r="E14" s="266"/>
      <c r="F14" s="258">
        <f t="shared" ref="F14:F24" si="5">SUM(D14:E14)</f>
        <v>0</v>
      </c>
      <c r="H14" s="135"/>
      <c r="I14" s="259" t="str">
        <f t="shared" si="1"/>
        <v xml:space="preserve">High Efficiency Natural Gas Fireplace </v>
      </c>
      <c r="J14" s="260"/>
      <c r="K14" s="261"/>
      <c r="L14" s="380">
        <f t="shared" si="2"/>
        <v>72</v>
      </c>
      <c r="M14" s="2569">
        <v>447</v>
      </c>
      <c r="N14" s="2569">
        <v>447</v>
      </c>
      <c r="O14" s="252">
        <f t="shared" si="4"/>
        <v>894</v>
      </c>
      <c r="P14" s="381">
        <f t="shared" si="3"/>
        <v>32184</v>
      </c>
      <c r="Q14" s="381">
        <f t="shared" si="3"/>
        <v>32184</v>
      </c>
      <c r="R14" s="382">
        <f t="shared" si="3"/>
        <v>64368</v>
      </c>
      <c r="T14" s="296">
        <v>25200</v>
      </c>
    </row>
    <row r="15" spans="2:22" ht="13.8" x14ac:dyDescent="0.3">
      <c r="B15" s="264"/>
      <c r="C15" s="265" t="s">
        <v>164</v>
      </c>
      <c r="D15" s="268">
        <v>0</v>
      </c>
      <c r="E15" s="268"/>
      <c r="F15" s="258">
        <f t="shared" si="5"/>
        <v>0</v>
      </c>
      <c r="H15" s="135"/>
      <c r="I15" s="259" t="str">
        <f t="shared" si="1"/>
        <v>NEW Integrated Space &amp; Water Heating</v>
      </c>
      <c r="J15" s="260"/>
      <c r="K15" s="261"/>
      <c r="L15" s="380">
        <f t="shared" si="2"/>
        <v>173</v>
      </c>
      <c r="M15" s="2569">
        <v>95</v>
      </c>
      <c r="N15" s="2569">
        <v>125</v>
      </c>
      <c r="O15" s="252">
        <f t="shared" si="4"/>
        <v>220</v>
      </c>
      <c r="P15" s="381">
        <f t="shared" si="3"/>
        <v>16435</v>
      </c>
      <c r="Q15" s="381">
        <f t="shared" si="3"/>
        <v>21625</v>
      </c>
      <c r="R15" s="382">
        <f t="shared" si="3"/>
        <v>38060</v>
      </c>
      <c r="T15" s="296"/>
    </row>
    <row r="16" spans="2:22" ht="14.4" thickBot="1" x14ac:dyDescent="0.35">
      <c r="B16" s="264"/>
      <c r="C16" s="265" t="s">
        <v>165</v>
      </c>
      <c r="D16" s="268">
        <v>0</v>
      </c>
      <c r="E16" s="268"/>
      <c r="F16" s="258">
        <f t="shared" si="5"/>
        <v>0</v>
      </c>
      <c r="H16" s="135"/>
      <c r="I16" s="259" t="str">
        <f t="shared" si="1"/>
        <v>NEW Web Enabled T-Stats (Programmable)</v>
      </c>
      <c r="J16" s="260"/>
      <c r="K16" s="261"/>
      <c r="L16" s="380">
        <f t="shared" si="2"/>
        <v>67</v>
      </c>
      <c r="M16" s="2569">
        <v>0</v>
      </c>
      <c r="N16" s="2569">
        <v>0</v>
      </c>
      <c r="O16" s="252">
        <f t="shared" si="4"/>
        <v>0</v>
      </c>
      <c r="P16" s="381">
        <f t="shared" si="3"/>
        <v>0</v>
      </c>
      <c r="Q16" s="381">
        <f t="shared" si="3"/>
        <v>0</v>
      </c>
      <c r="R16" s="382">
        <f t="shared" si="3"/>
        <v>0</v>
      </c>
      <c r="T16" s="296"/>
    </row>
    <row r="17" spans="2:20" ht="14.4" thickBot="1" x14ac:dyDescent="0.35">
      <c r="B17" s="272">
        <v>11530</v>
      </c>
      <c r="C17" s="244" t="s">
        <v>166</v>
      </c>
      <c r="D17" s="245">
        <f>SUM(D18:D21)</f>
        <v>21000</v>
      </c>
      <c r="E17" s="245">
        <f>SUM(E18:E21)</f>
        <v>21525</v>
      </c>
      <c r="F17" s="246">
        <f>D17+E17</f>
        <v>42525</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257" t="s">
        <v>162</v>
      </c>
      <c r="D18" s="258">
        <v>21000</v>
      </c>
      <c r="E18" s="258">
        <v>21525</v>
      </c>
      <c r="F18" s="258">
        <f t="shared" si="5"/>
        <v>42525</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107512</v>
      </c>
      <c r="C22" s="244" t="s">
        <v>167</v>
      </c>
      <c r="D22" s="245">
        <f>SUM(D23:D26)</f>
        <v>101212.52399999999</v>
      </c>
      <c r="E22" s="245">
        <f>SUM(E23:E26)</f>
        <v>104182.71570000002</v>
      </c>
      <c r="F22" s="246">
        <f>D22+E22</f>
        <v>205395.23970000001</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87982.52399999999</v>
      </c>
      <c r="E23" s="258">
        <f>0.63*E12</f>
        <v>90621.965700000015</v>
      </c>
      <c r="F23" s="258">
        <f t="shared" si="5"/>
        <v>178604.48970000001</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13230</v>
      </c>
      <c r="E24" s="266">
        <f>0.63*E17</f>
        <v>13560.75</v>
      </c>
      <c r="F24" s="258">
        <f t="shared" si="5"/>
        <v>26790.75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24000</v>
      </c>
      <c r="C27" s="244" t="s">
        <v>170</v>
      </c>
      <c r="D27" s="245">
        <f>SUM(D28:D31)</f>
        <v>50000</v>
      </c>
      <c r="E27" s="245">
        <f>SUM(E28:E31)</f>
        <v>50000</v>
      </c>
      <c r="F27" s="246">
        <f>D27+E27</f>
        <v>100000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258">
        <v>50000</v>
      </c>
      <c r="E28" s="258">
        <v>50000</v>
      </c>
      <c r="F28" s="258">
        <f t="shared" ref="F28:F36" si="6">SUM(D28:E28)</f>
        <v>100000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4800</v>
      </c>
      <c r="C32" s="244" t="s">
        <v>171</v>
      </c>
      <c r="D32" s="245">
        <f>SUM(D33:D36)</f>
        <v>5400</v>
      </c>
      <c r="E32" s="245">
        <f>SUM(E33:E36)</f>
        <v>5400</v>
      </c>
      <c r="F32" s="246">
        <f>D32+E32</f>
        <v>10800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5400</v>
      </c>
      <c r="E33" s="266">
        <v>5400</v>
      </c>
      <c r="F33" s="258">
        <f t="shared" si="6"/>
        <v>10800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24000</v>
      </c>
      <c r="C37" s="244" t="s">
        <v>172</v>
      </c>
      <c r="D37" s="245">
        <f>SUM(D38:D41)</f>
        <v>18000</v>
      </c>
      <c r="E37" s="245">
        <f>SUM(E38:E41)</f>
        <v>18000</v>
      </c>
      <c r="F37" s="246">
        <f>D37+E37</f>
        <v>36000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266">
        <v>18000</v>
      </c>
      <c r="E38" s="266">
        <v>18000</v>
      </c>
      <c r="F38" s="258">
        <f t="shared" ref="F38:F51" si="8">SUM(D38:E38)</f>
        <v>36000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4200</v>
      </c>
      <c r="C42" s="244" t="s">
        <v>173</v>
      </c>
      <c r="D42" s="245">
        <f>SUM(D43:D46)</f>
        <v>15400</v>
      </c>
      <c r="E42" s="245">
        <f>SUM(E43:E46)</f>
        <v>15400</v>
      </c>
      <c r="F42" s="246">
        <f>D42+E42</f>
        <v>30800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15400</v>
      </c>
      <c r="E43" s="266">
        <v>15400</v>
      </c>
      <c r="F43" s="258">
        <f t="shared" si="8"/>
        <v>30800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9000</v>
      </c>
      <c r="C47" s="244" t="s">
        <v>174</v>
      </c>
      <c r="D47" s="245">
        <f>SUM(D48:D51)</f>
        <v>10200</v>
      </c>
      <c r="E47" s="245">
        <f>SUM(E48:E51)</f>
        <v>10200</v>
      </c>
      <c r="F47" s="246">
        <f>D47+E47</f>
        <v>20400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10200</v>
      </c>
      <c r="E48" s="266">
        <v>10200</v>
      </c>
      <c r="F48" s="258">
        <f t="shared" si="8"/>
        <v>20400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5"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5"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5"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5" ht="14.4" thickBot="1" x14ac:dyDescent="0.35">
      <c r="B52" s="272">
        <v>1621900</v>
      </c>
      <c r="C52" s="244" t="s">
        <v>175</v>
      </c>
      <c r="D52" s="245">
        <f>S104</f>
        <v>1752400</v>
      </c>
      <c r="E52" s="245">
        <f>T104</f>
        <v>1776400</v>
      </c>
      <c r="F52" s="246">
        <f>U104</f>
        <v>3528800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5"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5" ht="13.8" x14ac:dyDescent="0.3">
      <c r="B54" s="273">
        <f>B12+B17+B22+B27+B32+B37+B42+B47+B52+B53</f>
        <v>1966065</v>
      </c>
      <c r="C54" s="274" t="s">
        <v>178</v>
      </c>
      <c r="D54" s="273">
        <f>D12+D17+D22+D27+D32+D37+D42+D47+D52+D53</f>
        <v>2113267.324</v>
      </c>
      <c r="E54" s="273">
        <f>E12+E17+E22+E27+E32+E37+E42+E47+E52+E53</f>
        <v>2144952.1057000002</v>
      </c>
      <c r="F54" s="273">
        <f>F12+F17+F22+F27+F32+F37+F42+F47+F52+F53</f>
        <v>4258219.4297000002</v>
      </c>
      <c r="P54" s="385">
        <f>SUM(P12:P53)</f>
        <v>742699</v>
      </c>
      <c r="Q54" s="385">
        <f>SUM(Q12:Q53)</f>
        <v>747889</v>
      </c>
      <c r="R54" s="385">
        <f>SUM(R12:R53)</f>
        <v>1490588</v>
      </c>
      <c r="T54" s="385">
        <f>SUM(T12:T53)</f>
        <v>756986</v>
      </c>
    </row>
    <row r="55" spans="2:25" ht="13.8" x14ac:dyDescent="0.3">
      <c r="C55" s="274"/>
      <c r="D55" s="273"/>
      <c r="E55" s="273"/>
      <c r="F55" s="273"/>
    </row>
    <row r="56" spans="2:25" ht="13.8" x14ac:dyDescent="0.3">
      <c r="C56" s="274" t="s">
        <v>179</v>
      </c>
      <c r="D56" s="273">
        <f>D54-D52</f>
        <v>360867.32400000002</v>
      </c>
      <c r="E56" s="273">
        <f>E54-E52</f>
        <v>368552.10570000019</v>
      </c>
      <c r="F56" s="273">
        <f>F54-F52</f>
        <v>729419.42970000021</v>
      </c>
    </row>
    <row r="57" spans="2:25" ht="13.8" x14ac:dyDescent="0.3">
      <c r="C57" s="274" t="s">
        <v>180</v>
      </c>
      <c r="D57" s="276">
        <f>D52</f>
        <v>1752400</v>
      </c>
      <c r="E57" s="276">
        <f>E52</f>
        <v>1776400</v>
      </c>
      <c r="F57" s="276">
        <f>F52</f>
        <v>3528800</v>
      </c>
      <c r="G57" s="335">
        <f>F57/(F56+F57)</f>
        <v>0.82870318410261234</v>
      </c>
      <c r="H57" s="278" t="s">
        <v>181</v>
      </c>
    </row>
    <row r="58" spans="2:25" ht="13.8" thickBot="1" x14ac:dyDescent="0.3"/>
    <row r="59" spans="2:25" ht="16.2" thickBot="1" x14ac:dyDescent="0.35">
      <c r="B59" s="279" t="s">
        <v>182</v>
      </c>
      <c r="C59" s="280"/>
      <c r="D59" s="4760" t="s">
        <v>183</v>
      </c>
      <c r="E59" s="4761"/>
      <c r="F59" s="4761"/>
      <c r="G59" s="4761"/>
      <c r="H59" s="4761"/>
      <c r="K59" s="281"/>
    </row>
    <row r="60" spans="2:25"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c r="Y60" s="392"/>
    </row>
    <row r="61" spans="2:25"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c r="Y61" s="392"/>
    </row>
    <row r="62" spans="2:25" ht="13.8" x14ac:dyDescent="0.3">
      <c r="B62" s="296">
        <v>73</v>
      </c>
      <c r="C62" s="3355" t="s">
        <v>645</v>
      </c>
      <c r="D62" s="3355">
        <v>110</v>
      </c>
      <c r="E62" s="3355" t="s">
        <v>617</v>
      </c>
      <c r="F62" s="3355" t="s">
        <v>211</v>
      </c>
      <c r="G62" s="3357">
        <v>603</v>
      </c>
      <c r="H62" s="3357">
        <v>250</v>
      </c>
      <c r="I62" s="3358">
        <v>0.83</v>
      </c>
      <c r="J62" s="3356">
        <v>18</v>
      </c>
      <c r="K62" s="3356" t="s">
        <v>618</v>
      </c>
      <c r="L62" s="3864">
        <v>4.442903748751676</v>
      </c>
      <c r="M62" s="3864">
        <v>2.0374003679176727</v>
      </c>
      <c r="N62" s="3361">
        <v>3418518.1560138762</v>
      </c>
      <c r="O62" s="3361">
        <v>7454669.8673922298</v>
      </c>
      <c r="P62" s="3361">
        <v>15188147.130529717</v>
      </c>
      <c r="Q62" s="3361">
        <v>15188147.130529717</v>
      </c>
      <c r="R62" s="3360">
        <v>1.081</v>
      </c>
      <c r="S62" s="3359">
        <v>1545000</v>
      </c>
      <c r="T62" s="3359">
        <v>1545000</v>
      </c>
      <c r="U62" s="3359">
        <v>3090000</v>
      </c>
      <c r="V62" s="338">
        <f>U62/(U62+(I62*F$56))</f>
        <v>0.83617060210730065</v>
      </c>
      <c r="W62" s="338">
        <f t="shared" ref="W62:W80" si="10">(I62*((F$17*1.63)+F$27))/(U62+(I62*F$56))</f>
        <v>3.8028733876282139E-2</v>
      </c>
      <c r="X62" s="338">
        <f>(I62*F$37)/(U62+(I62*F$56))</f>
        <v>8.0856885407657418E-3</v>
      </c>
    </row>
    <row r="63" spans="2:25" ht="13.8" x14ac:dyDescent="0.3">
      <c r="B63" s="296">
        <v>74</v>
      </c>
      <c r="C63" s="3355" t="s">
        <v>646</v>
      </c>
      <c r="D63" s="3355">
        <v>119</v>
      </c>
      <c r="E63" s="3355" t="s">
        <v>617</v>
      </c>
      <c r="F63" s="3355" t="s">
        <v>211</v>
      </c>
      <c r="G63" s="3357">
        <v>1393</v>
      </c>
      <c r="H63" s="3357">
        <v>350</v>
      </c>
      <c r="I63" s="3358">
        <v>0.04</v>
      </c>
      <c r="J63" s="3356">
        <v>20</v>
      </c>
      <c r="K63" s="3356" t="s">
        <v>618</v>
      </c>
      <c r="L63" s="3864">
        <v>3.2631583980531871</v>
      </c>
      <c r="M63" s="3864">
        <v>1.0160028207199427</v>
      </c>
      <c r="N63" s="3361">
        <v>104696.37112673452</v>
      </c>
      <c r="O63" s="3361">
        <v>336259.73837927851</v>
      </c>
      <c r="P63" s="3361">
        <v>341640.84268789698</v>
      </c>
      <c r="Q63" s="3361">
        <v>341640.84268789698</v>
      </c>
      <c r="R63" s="3360">
        <v>1.081</v>
      </c>
      <c r="S63" s="3359">
        <v>42000</v>
      </c>
      <c r="T63" s="3359">
        <v>42000</v>
      </c>
      <c r="U63" s="3359">
        <v>84000</v>
      </c>
      <c r="V63" s="338">
        <f t="shared" ref="V63:V80" si="11">U63/(U63+(I63*F$56))</f>
        <v>0.74220173154839064</v>
      </c>
      <c r="W63" s="338">
        <f t="shared" si="10"/>
        <v>5.9841163251625917E-2</v>
      </c>
      <c r="X63" s="338">
        <f t="shared" ref="X63:X80" si="12">(I63*F$37)/(U63+(I63*F$56))</f>
        <v>1.2723458255115267E-2</v>
      </c>
    </row>
    <row r="64" spans="2:25" ht="13.8" x14ac:dyDescent="0.3">
      <c r="B64" s="296">
        <v>86</v>
      </c>
      <c r="C64" s="3355" t="s">
        <v>647</v>
      </c>
      <c r="D64" s="3355">
        <v>72</v>
      </c>
      <c r="E64" s="3355" t="s">
        <v>617</v>
      </c>
      <c r="F64" s="3355" t="s">
        <v>258</v>
      </c>
      <c r="G64" s="3357">
        <v>562</v>
      </c>
      <c r="H64" s="3357">
        <v>200</v>
      </c>
      <c r="I64" s="3358">
        <v>0.1</v>
      </c>
      <c r="J64" s="3356">
        <v>20</v>
      </c>
      <c r="K64" s="3356" t="s">
        <v>618</v>
      </c>
      <c r="L64" s="3864">
        <v>3.3063719712818957</v>
      </c>
      <c r="M64" s="3864">
        <v>1.4466388354169779</v>
      </c>
      <c r="N64" s="3361">
        <v>232878.76315448663</v>
      </c>
      <c r="O64" s="3361">
        <v>532257.11653098976</v>
      </c>
      <c r="P64" s="3361">
        <v>769983.81520078972</v>
      </c>
      <c r="Q64" s="3361">
        <v>769983.81520078972</v>
      </c>
      <c r="R64" s="3360">
        <v>1.081</v>
      </c>
      <c r="S64" s="3359">
        <v>89400</v>
      </c>
      <c r="T64" s="3359">
        <v>89400</v>
      </c>
      <c r="U64" s="3359">
        <v>178800</v>
      </c>
      <c r="V64" s="338">
        <f t="shared" si="11"/>
        <v>0.71025113213377999</v>
      </c>
      <c r="W64" s="338">
        <f t="shared" si="10"/>
        <v>6.7257663940481022E-2</v>
      </c>
      <c r="X64" s="338">
        <f t="shared" si="12"/>
        <v>1.4300358365109664E-2</v>
      </c>
    </row>
    <row r="65" spans="2:24" ht="13.8" x14ac:dyDescent="0.3">
      <c r="B65" s="296"/>
      <c r="C65" s="3355" t="s">
        <v>648</v>
      </c>
      <c r="D65" s="3355">
        <v>173</v>
      </c>
      <c r="E65" s="3355" t="s">
        <v>617</v>
      </c>
      <c r="F65" s="3355" t="s">
        <v>258</v>
      </c>
      <c r="G65" s="3357">
        <v>1526</v>
      </c>
      <c r="H65" s="3357">
        <v>800</v>
      </c>
      <c r="I65" s="3358">
        <v>0.03</v>
      </c>
      <c r="J65" s="3356">
        <v>18</v>
      </c>
      <c r="K65" s="3356" t="s">
        <v>618</v>
      </c>
      <c r="L65" s="3864">
        <v>2.3226327590574578</v>
      </c>
      <c r="M65" s="3864">
        <v>1.285249580005499</v>
      </c>
      <c r="N65" s="3361">
        <v>183055.11830804811</v>
      </c>
      <c r="O65" s="3361">
        <v>330807.1997141536</v>
      </c>
      <c r="P65" s="3361">
        <v>425169.81449541118</v>
      </c>
      <c r="Q65" s="3361">
        <v>425169.81449541118</v>
      </c>
      <c r="R65" s="3360">
        <v>1.081</v>
      </c>
      <c r="S65" s="3359">
        <v>76000</v>
      </c>
      <c r="T65" s="3359">
        <v>100000</v>
      </c>
      <c r="U65" s="3359">
        <v>176000</v>
      </c>
      <c r="V65" s="338">
        <f t="shared" si="11"/>
        <v>0.88941632673627669</v>
      </c>
      <c r="W65" s="338">
        <f t="shared" si="10"/>
        <v>2.5669123708567793E-2</v>
      </c>
      <c r="X65" s="338">
        <f t="shared" si="12"/>
        <v>5.457782004972607E-3</v>
      </c>
    </row>
    <row r="66" spans="2:24" ht="13.8" x14ac:dyDescent="0.3">
      <c r="B66" s="296"/>
      <c r="C66" s="3355" t="s">
        <v>407</v>
      </c>
      <c r="D66" s="3355">
        <v>67</v>
      </c>
      <c r="E66" s="3355" t="s">
        <v>617</v>
      </c>
      <c r="F66" s="3355" t="s">
        <v>258</v>
      </c>
      <c r="G66" s="3357">
        <v>745</v>
      </c>
      <c r="H66" s="3357">
        <v>300</v>
      </c>
      <c r="I66" s="3358">
        <v>0</v>
      </c>
      <c r="J66" s="3356">
        <v>20</v>
      </c>
      <c r="K66" s="3356" t="s">
        <v>618</v>
      </c>
      <c r="L66" s="3864" t="e">
        <v>#DIV/0!</v>
      </c>
      <c r="M66" s="3864" t="e">
        <v>#DIV/0!</v>
      </c>
      <c r="N66" s="3361">
        <v>0</v>
      </c>
      <c r="O66" s="3361">
        <v>0</v>
      </c>
      <c r="P66" s="3361">
        <v>0</v>
      </c>
      <c r="Q66" s="3361">
        <v>0</v>
      </c>
      <c r="R66" s="3360">
        <v>1.081</v>
      </c>
      <c r="S66" s="3359">
        <v>0</v>
      </c>
      <c r="T66" s="3359">
        <v>0</v>
      </c>
      <c r="U66" s="3359">
        <v>0</v>
      </c>
      <c r="V66" s="338" t="e">
        <f t="shared" si="11"/>
        <v>#DIV/0!</v>
      </c>
      <c r="W66" s="338" t="e">
        <f t="shared" si="10"/>
        <v>#DIV/0!</v>
      </c>
      <c r="X66" s="338" t="e">
        <f t="shared" si="12"/>
        <v>#DIV/0!</v>
      </c>
    </row>
    <row r="67" spans="2:24" ht="13.8" x14ac:dyDescent="0.3">
      <c r="B67" s="296"/>
      <c r="C67" s="296" t="s">
        <v>215</v>
      </c>
      <c r="D67" s="296">
        <v>0</v>
      </c>
      <c r="E67" s="296" t="s">
        <v>617</v>
      </c>
      <c r="F67" s="296" t="s">
        <v>211</v>
      </c>
      <c r="G67" s="297"/>
      <c r="H67" s="297"/>
      <c r="I67" s="326">
        <v>0</v>
      </c>
      <c r="J67" s="267"/>
      <c r="K67" s="267"/>
      <c r="L67" s="3865" t="e">
        <f t="shared" ref="L67:M100" si="13">P67/N67</f>
        <v>#DIV/0!</v>
      </c>
      <c r="M67" s="3865" t="e">
        <f t="shared" si="13"/>
        <v>#DIV/0!</v>
      </c>
      <c r="N67" s="218">
        <f t="shared" ref="N67:N100" si="14">(($I67*$F$56)+$U67)/$R67</f>
        <v>0</v>
      </c>
      <c r="O67" s="218">
        <f t="shared" ref="O67:O100" si="15">(($I67*$F$56)+($G67*$O17))/$R67</f>
        <v>0</v>
      </c>
      <c r="P67" s="218">
        <f>IF(K67=0, 0, (HLOOKUP(K67,'[1]G-CESTDWO'!$A$5:$G$35,J67+1,FALSE)*R17))</f>
        <v>0</v>
      </c>
      <c r="Q67" s="218">
        <f>IF(K67=0, 0, (HLOOKUP(K67,'[1]G-CESTD'!$A$5:$G$35,J67+1,FALSE)*R17))</f>
        <v>0</v>
      </c>
      <c r="R67" s="292">
        <v>1.081</v>
      </c>
      <c r="S67" s="293">
        <f t="shared" ref="S67:U77" si="16">M17*$H67</f>
        <v>0</v>
      </c>
      <c r="T67" s="293">
        <f t="shared" si="16"/>
        <v>0</v>
      </c>
      <c r="U67" s="293">
        <f t="shared" si="16"/>
        <v>0</v>
      </c>
      <c r="V67" s="338" t="e">
        <f t="shared" si="11"/>
        <v>#DIV/0!</v>
      </c>
      <c r="W67" s="338" t="e">
        <f t="shared" si="10"/>
        <v>#DIV/0!</v>
      </c>
      <c r="X67" s="338" t="e">
        <f t="shared" si="12"/>
        <v>#DIV/0!</v>
      </c>
    </row>
    <row r="68" spans="2:24" ht="13.8" x14ac:dyDescent="0.3">
      <c r="B68" s="296"/>
      <c r="C68" s="296" t="s">
        <v>216</v>
      </c>
      <c r="D68" s="267">
        <v>0</v>
      </c>
      <c r="E68" s="296" t="s">
        <v>617</v>
      </c>
      <c r="F68" s="296" t="s">
        <v>211</v>
      </c>
      <c r="G68" s="297"/>
      <c r="H68" s="297"/>
      <c r="I68" s="326">
        <v>0</v>
      </c>
      <c r="J68" s="267"/>
      <c r="K68" s="267"/>
      <c r="L68" s="3865" t="e">
        <f t="shared" si="13"/>
        <v>#DIV/0!</v>
      </c>
      <c r="M68" s="3865" t="e">
        <f t="shared" si="13"/>
        <v>#DIV/0!</v>
      </c>
      <c r="N68" s="218">
        <f t="shared" si="14"/>
        <v>0</v>
      </c>
      <c r="O68" s="218">
        <f t="shared" si="15"/>
        <v>0</v>
      </c>
      <c r="P68" s="218">
        <f>IF(K68=0, 0, (HLOOKUP(K68,'[1]G-CESTDWO'!$A$5:$G$35,J68+1,FALSE)*R18))</f>
        <v>0</v>
      </c>
      <c r="Q68" s="218">
        <f>IF(K68=0, 0, (HLOOKUP(K68,'[1]G-CESTD'!$A$5:$G$35,J68+1,FALSE)*R18))</f>
        <v>0</v>
      </c>
      <c r="R68" s="292">
        <v>1.081</v>
      </c>
      <c r="S68" s="293">
        <f t="shared" si="16"/>
        <v>0</v>
      </c>
      <c r="T68" s="293">
        <f t="shared" si="16"/>
        <v>0</v>
      </c>
      <c r="U68" s="293">
        <f t="shared" si="16"/>
        <v>0</v>
      </c>
      <c r="V68" s="338" t="e">
        <f t="shared" si="11"/>
        <v>#DIV/0!</v>
      </c>
      <c r="W68" s="338" t="e">
        <f t="shared" si="10"/>
        <v>#DIV/0!</v>
      </c>
      <c r="X68" s="338" t="e">
        <f t="shared" si="12"/>
        <v>#DIV/0!</v>
      </c>
    </row>
    <row r="69" spans="2:24" ht="13.8" x14ac:dyDescent="0.3">
      <c r="B69" s="296"/>
      <c r="C69" s="296" t="s">
        <v>217</v>
      </c>
      <c r="D69" s="296">
        <v>0</v>
      </c>
      <c r="E69" s="296" t="s">
        <v>617</v>
      </c>
      <c r="F69" s="296" t="s">
        <v>211</v>
      </c>
      <c r="G69" s="297"/>
      <c r="H69" s="297"/>
      <c r="I69" s="326">
        <v>0</v>
      </c>
      <c r="J69" s="267"/>
      <c r="K69" s="267"/>
      <c r="L69" s="3865" t="e">
        <f t="shared" si="13"/>
        <v>#DIV/0!</v>
      </c>
      <c r="M69" s="3865" t="e">
        <f t="shared" si="13"/>
        <v>#DIV/0!</v>
      </c>
      <c r="N69" s="218">
        <f t="shared" si="14"/>
        <v>0</v>
      </c>
      <c r="O69" s="218">
        <f t="shared" si="15"/>
        <v>0</v>
      </c>
      <c r="P69" s="218">
        <f>IF(K69=0, 0, (HLOOKUP(K69,'[1]G-CESTDWO'!$A$5:$G$35,J69+1,FALSE)*R19))</f>
        <v>0</v>
      </c>
      <c r="Q69" s="218">
        <f>IF(K69=0, 0, (HLOOKUP(K69,'[1]G-CESTD'!$A$5:$G$35,J69+1,FALSE)*R19))</f>
        <v>0</v>
      </c>
      <c r="R69" s="292">
        <v>1.081</v>
      </c>
      <c r="S69" s="293">
        <f t="shared" si="16"/>
        <v>0</v>
      </c>
      <c r="T69" s="293">
        <f t="shared" si="16"/>
        <v>0</v>
      </c>
      <c r="U69" s="293">
        <f t="shared" si="16"/>
        <v>0</v>
      </c>
      <c r="V69" s="338" t="e">
        <f t="shared" si="11"/>
        <v>#DIV/0!</v>
      </c>
      <c r="W69" s="338" t="e">
        <f t="shared" si="10"/>
        <v>#DIV/0!</v>
      </c>
      <c r="X69" s="338" t="e">
        <f t="shared" si="12"/>
        <v>#DIV/0!</v>
      </c>
    </row>
    <row r="70" spans="2:24" ht="13.8" x14ac:dyDescent="0.3">
      <c r="B70" s="296"/>
      <c r="C70" s="296" t="s">
        <v>218</v>
      </c>
      <c r="D70" s="267">
        <v>0</v>
      </c>
      <c r="E70" s="296" t="s">
        <v>617</v>
      </c>
      <c r="F70" s="296" t="s">
        <v>211</v>
      </c>
      <c r="G70" s="297"/>
      <c r="H70" s="297"/>
      <c r="I70" s="326">
        <v>0</v>
      </c>
      <c r="J70" s="267"/>
      <c r="K70" s="267"/>
      <c r="L70" s="3865" t="e">
        <f t="shared" si="13"/>
        <v>#DIV/0!</v>
      </c>
      <c r="M70" s="3865" t="e">
        <f t="shared" si="13"/>
        <v>#DIV/0!</v>
      </c>
      <c r="N70" s="218">
        <f t="shared" si="14"/>
        <v>0</v>
      </c>
      <c r="O70" s="218">
        <f t="shared" si="15"/>
        <v>0</v>
      </c>
      <c r="P70" s="218">
        <f>IF(K70=0, 0, (HLOOKUP(K70,'[1]G-CESTDWO'!$A$5:$G$35,J70+1,FALSE)*R20))</f>
        <v>0</v>
      </c>
      <c r="Q70" s="218">
        <f>IF(K70=0, 0, (HLOOKUP(K70,'[1]G-CESTD'!$A$5:$G$35,J70+1,FALSE)*R20))</f>
        <v>0</v>
      </c>
      <c r="R70" s="292">
        <v>1.081</v>
      </c>
      <c r="S70" s="293">
        <f t="shared" si="16"/>
        <v>0</v>
      </c>
      <c r="T70" s="293">
        <f t="shared" si="16"/>
        <v>0</v>
      </c>
      <c r="U70" s="293">
        <f t="shared" si="16"/>
        <v>0</v>
      </c>
      <c r="V70" s="338" t="e">
        <f t="shared" si="11"/>
        <v>#DIV/0!</v>
      </c>
      <c r="W70" s="338" t="e">
        <f t="shared" si="10"/>
        <v>#DIV/0!</v>
      </c>
      <c r="X70" s="338" t="e">
        <f t="shared" si="12"/>
        <v>#DIV/0!</v>
      </c>
    </row>
    <row r="71" spans="2:24" ht="13.8" x14ac:dyDescent="0.3">
      <c r="B71" s="296"/>
      <c r="C71" s="296" t="s">
        <v>219</v>
      </c>
      <c r="D71" s="296">
        <v>0</v>
      </c>
      <c r="E71" s="296" t="s">
        <v>617</v>
      </c>
      <c r="F71" s="296" t="s">
        <v>211</v>
      </c>
      <c r="G71" s="297"/>
      <c r="H71" s="297"/>
      <c r="I71" s="326">
        <v>0</v>
      </c>
      <c r="J71" s="267"/>
      <c r="K71" s="267"/>
      <c r="L71" s="3865" t="e">
        <f t="shared" si="13"/>
        <v>#DIV/0!</v>
      </c>
      <c r="M71" s="3865" t="e">
        <f t="shared" si="13"/>
        <v>#DIV/0!</v>
      </c>
      <c r="N71" s="218">
        <f t="shared" si="14"/>
        <v>0</v>
      </c>
      <c r="O71" s="218">
        <f t="shared" si="15"/>
        <v>0</v>
      </c>
      <c r="P71" s="218">
        <f>IF(K71=0, 0, (HLOOKUP(K71,'[1]G-CESTDWO'!$A$5:$G$35,J71+1,FALSE)*R21))</f>
        <v>0</v>
      </c>
      <c r="Q71" s="218">
        <f>IF(K71=0, 0, (HLOOKUP(K71,'[1]G-CESTD'!$A$5:$G$35,J71+1,FALSE)*R21))</f>
        <v>0</v>
      </c>
      <c r="R71" s="292">
        <v>1.081</v>
      </c>
      <c r="S71" s="293">
        <f t="shared" si="16"/>
        <v>0</v>
      </c>
      <c r="T71" s="293">
        <f t="shared" si="16"/>
        <v>0</v>
      </c>
      <c r="U71" s="293">
        <f t="shared" si="16"/>
        <v>0</v>
      </c>
      <c r="V71" s="338" t="e">
        <f t="shared" si="11"/>
        <v>#DIV/0!</v>
      </c>
      <c r="W71" s="338" t="e">
        <f t="shared" si="10"/>
        <v>#DIV/0!</v>
      </c>
      <c r="X71" s="338" t="e">
        <f t="shared" si="12"/>
        <v>#DIV/0!</v>
      </c>
    </row>
    <row r="72" spans="2:24" ht="13.8" x14ac:dyDescent="0.3">
      <c r="B72" s="296"/>
      <c r="C72" s="296" t="s">
        <v>220</v>
      </c>
      <c r="D72" s="267">
        <v>0</v>
      </c>
      <c r="E72" s="296" t="s">
        <v>617</v>
      </c>
      <c r="F72" s="296" t="s">
        <v>211</v>
      </c>
      <c r="G72" s="297"/>
      <c r="H72" s="297"/>
      <c r="I72" s="326">
        <v>0</v>
      </c>
      <c r="J72" s="267"/>
      <c r="K72" s="267"/>
      <c r="L72" s="3865" t="e">
        <f t="shared" si="13"/>
        <v>#DIV/0!</v>
      </c>
      <c r="M72" s="3865" t="e">
        <f t="shared" si="13"/>
        <v>#DIV/0!</v>
      </c>
      <c r="N72" s="218">
        <f t="shared" si="14"/>
        <v>0</v>
      </c>
      <c r="O72" s="218">
        <f t="shared" si="15"/>
        <v>0</v>
      </c>
      <c r="P72" s="218">
        <f>IF(K72=0, 0, (HLOOKUP(K72,'[1]G-CESTDWO'!$A$5:$G$35,J72+1,FALSE)*R22))</f>
        <v>0</v>
      </c>
      <c r="Q72" s="218">
        <f>IF(K72=0, 0, (HLOOKUP(K72,'[1]G-CESTD'!$A$5:$G$35,J72+1,FALSE)*R22))</f>
        <v>0</v>
      </c>
      <c r="R72" s="292">
        <v>1.081</v>
      </c>
      <c r="S72" s="293">
        <f t="shared" si="16"/>
        <v>0</v>
      </c>
      <c r="T72" s="293">
        <f t="shared" si="16"/>
        <v>0</v>
      </c>
      <c r="U72" s="293">
        <f t="shared" si="16"/>
        <v>0</v>
      </c>
      <c r="V72" s="338" t="e">
        <f t="shared" si="11"/>
        <v>#DIV/0!</v>
      </c>
      <c r="W72" s="338" t="e">
        <f t="shared" si="10"/>
        <v>#DIV/0!</v>
      </c>
      <c r="X72" s="338" t="e">
        <f t="shared" si="12"/>
        <v>#DIV/0!</v>
      </c>
    </row>
    <row r="73" spans="2:24" ht="13.8" x14ac:dyDescent="0.3">
      <c r="B73" s="296"/>
      <c r="C73" s="296" t="s">
        <v>221</v>
      </c>
      <c r="D73" s="296">
        <v>0</v>
      </c>
      <c r="E73" s="296" t="s">
        <v>617</v>
      </c>
      <c r="F73" s="296" t="s">
        <v>211</v>
      </c>
      <c r="G73" s="297"/>
      <c r="H73" s="297"/>
      <c r="I73" s="326">
        <v>0</v>
      </c>
      <c r="J73" s="267"/>
      <c r="K73" s="267"/>
      <c r="L73" s="3865" t="e">
        <f t="shared" si="13"/>
        <v>#DIV/0!</v>
      </c>
      <c r="M73" s="3865" t="e">
        <f t="shared" si="13"/>
        <v>#DIV/0!</v>
      </c>
      <c r="N73" s="218">
        <f t="shared" si="14"/>
        <v>0</v>
      </c>
      <c r="O73" s="218">
        <f t="shared" si="15"/>
        <v>0</v>
      </c>
      <c r="P73" s="218">
        <f>IF(K73=0, 0, (HLOOKUP(K73,'[1]G-CESTDWO'!$A$5:$G$35,J73+1,FALSE)*R23))</f>
        <v>0</v>
      </c>
      <c r="Q73" s="218">
        <f>IF(K73=0, 0, (HLOOKUP(K73,'[1]G-CESTD'!$A$5:$G$35,J73+1,FALSE)*R23))</f>
        <v>0</v>
      </c>
      <c r="R73" s="292">
        <v>1.081</v>
      </c>
      <c r="S73" s="293">
        <f t="shared" si="16"/>
        <v>0</v>
      </c>
      <c r="T73" s="293">
        <f t="shared" si="16"/>
        <v>0</v>
      </c>
      <c r="U73" s="293">
        <f t="shared" si="16"/>
        <v>0</v>
      </c>
      <c r="V73" s="338" t="e">
        <f t="shared" si="11"/>
        <v>#DIV/0!</v>
      </c>
      <c r="W73" s="338" t="e">
        <f t="shared" si="10"/>
        <v>#DIV/0!</v>
      </c>
      <c r="X73" s="338" t="e">
        <f t="shared" si="12"/>
        <v>#DIV/0!</v>
      </c>
    </row>
    <row r="74" spans="2:24" ht="13.8" x14ac:dyDescent="0.3">
      <c r="B74" s="296"/>
      <c r="C74" s="296" t="s">
        <v>222</v>
      </c>
      <c r="D74" s="267">
        <v>0</v>
      </c>
      <c r="E74" s="296" t="s">
        <v>617</v>
      </c>
      <c r="F74" s="296" t="s">
        <v>211</v>
      </c>
      <c r="G74" s="297"/>
      <c r="H74" s="297"/>
      <c r="I74" s="326">
        <v>0</v>
      </c>
      <c r="J74" s="267"/>
      <c r="K74" s="267"/>
      <c r="L74" s="3865" t="e">
        <f t="shared" si="13"/>
        <v>#DIV/0!</v>
      </c>
      <c r="M74" s="3865" t="e">
        <f t="shared" si="13"/>
        <v>#DIV/0!</v>
      </c>
      <c r="N74" s="218">
        <f t="shared" si="14"/>
        <v>0</v>
      </c>
      <c r="O74" s="218">
        <f t="shared" si="15"/>
        <v>0</v>
      </c>
      <c r="P74" s="218">
        <f>IF(K74=0, 0, (HLOOKUP(K74,'[1]G-CESTDWO'!$A$5:$G$35,J74+1,FALSE)*R24))</f>
        <v>0</v>
      </c>
      <c r="Q74" s="218">
        <f>IF(K74=0, 0, (HLOOKUP(K74,'[1]G-CESTD'!$A$5:$G$35,J74+1,FALSE)*R24))</f>
        <v>0</v>
      </c>
      <c r="R74" s="292">
        <v>1.081</v>
      </c>
      <c r="S74" s="293">
        <f t="shared" si="16"/>
        <v>0</v>
      </c>
      <c r="T74" s="293">
        <f t="shared" si="16"/>
        <v>0</v>
      </c>
      <c r="U74" s="293">
        <f t="shared" si="16"/>
        <v>0</v>
      </c>
      <c r="V74" s="338" t="e">
        <f t="shared" si="11"/>
        <v>#DIV/0!</v>
      </c>
      <c r="W74" s="338" t="e">
        <f t="shared" si="10"/>
        <v>#DIV/0!</v>
      </c>
      <c r="X74" s="338" t="e">
        <f t="shared" si="12"/>
        <v>#DIV/0!</v>
      </c>
    </row>
    <row r="75" spans="2:24" ht="13.8" x14ac:dyDescent="0.3">
      <c r="B75" s="296"/>
      <c r="C75" s="296" t="s">
        <v>223</v>
      </c>
      <c r="D75" s="296">
        <v>0</v>
      </c>
      <c r="E75" s="296" t="s">
        <v>617</v>
      </c>
      <c r="F75" s="296" t="s">
        <v>211</v>
      </c>
      <c r="G75" s="297"/>
      <c r="H75" s="297"/>
      <c r="I75" s="326">
        <v>0</v>
      </c>
      <c r="J75" s="267"/>
      <c r="K75" s="267"/>
      <c r="L75" s="3865" t="e">
        <f t="shared" si="13"/>
        <v>#DIV/0!</v>
      </c>
      <c r="M75" s="3865" t="e">
        <f t="shared" si="13"/>
        <v>#DIV/0!</v>
      </c>
      <c r="N75" s="218">
        <f t="shared" si="14"/>
        <v>0</v>
      </c>
      <c r="O75" s="218">
        <f t="shared" si="15"/>
        <v>0</v>
      </c>
      <c r="P75" s="218">
        <f>IF(K75=0, 0, (HLOOKUP(K75,'[1]G-CESTDWO'!$A$5:$G$35,J75+1,FALSE)*R25))</f>
        <v>0</v>
      </c>
      <c r="Q75" s="218">
        <f>IF(K75=0, 0, (HLOOKUP(K75,'[1]G-CESTD'!$A$5:$G$35,J75+1,FALSE)*R25))</f>
        <v>0</v>
      </c>
      <c r="R75" s="292">
        <v>1.081</v>
      </c>
      <c r="S75" s="293">
        <f t="shared" si="16"/>
        <v>0</v>
      </c>
      <c r="T75" s="293">
        <f t="shared" si="16"/>
        <v>0</v>
      </c>
      <c r="U75" s="293">
        <f t="shared" si="16"/>
        <v>0</v>
      </c>
      <c r="V75" s="338" t="e">
        <f t="shared" si="11"/>
        <v>#DIV/0!</v>
      </c>
      <c r="W75" s="338" t="e">
        <f t="shared" si="10"/>
        <v>#DIV/0!</v>
      </c>
      <c r="X75" s="338" t="e">
        <f t="shared" si="12"/>
        <v>#DIV/0!</v>
      </c>
    </row>
    <row r="76" spans="2:24" ht="13.8" x14ac:dyDescent="0.3">
      <c r="B76" s="296"/>
      <c r="C76" s="296" t="s">
        <v>224</v>
      </c>
      <c r="D76" s="267">
        <v>0</v>
      </c>
      <c r="E76" s="296" t="s">
        <v>617</v>
      </c>
      <c r="F76" s="296" t="s">
        <v>211</v>
      </c>
      <c r="G76" s="297"/>
      <c r="H76" s="297"/>
      <c r="I76" s="326">
        <v>0</v>
      </c>
      <c r="J76" s="267"/>
      <c r="K76" s="267"/>
      <c r="L76" s="3865" t="e">
        <f t="shared" si="13"/>
        <v>#DIV/0!</v>
      </c>
      <c r="M76" s="3865" t="e">
        <f t="shared" si="13"/>
        <v>#DIV/0!</v>
      </c>
      <c r="N76" s="218">
        <f t="shared" si="14"/>
        <v>0</v>
      </c>
      <c r="O76" s="218">
        <f t="shared" si="15"/>
        <v>0</v>
      </c>
      <c r="P76" s="218">
        <f>IF(K76=0, 0, (HLOOKUP(K76,'[1]G-CESTDWO'!$A$5:$G$35,J76+1,FALSE)*R26))</f>
        <v>0</v>
      </c>
      <c r="Q76" s="218">
        <f>IF(K76=0, 0, (HLOOKUP(K76,'[1]G-CESTD'!$A$5:$G$35,J76+1,FALSE)*R26))</f>
        <v>0</v>
      </c>
      <c r="R76" s="292">
        <v>1.081</v>
      </c>
      <c r="S76" s="293">
        <f t="shared" si="16"/>
        <v>0</v>
      </c>
      <c r="T76" s="293">
        <f t="shared" si="16"/>
        <v>0</v>
      </c>
      <c r="U76" s="293">
        <f t="shared" si="16"/>
        <v>0</v>
      </c>
      <c r="V76" s="338" t="e">
        <f t="shared" si="11"/>
        <v>#DIV/0!</v>
      </c>
      <c r="W76" s="338" t="e">
        <f t="shared" si="10"/>
        <v>#DIV/0!</v>
      </c>
      <c r="X76" s="338" t="e">
        <f t="shared" si="12"/>
        <v>#DIV/0!</v>
      </c>
    </row>
    <row r="77" spans="2:24" ht="13.8" x14ac:dyDescent="0.3">
      <c r="B77" s="296"/>
      <c r="C77" s="296" t="s">
        <v>225</v>
      </c>
      <c r="D77" s="296">
        <v>0</v>
      </c>
      <c r="E77" s="296" t="s">
        <v>617</v>
      </c>
      <c r="F77" s="296" t="s">
        <v>211</v>
      </c>
      <c r="G77" s="297"/>
      <c r="H77" s="297"/>
      <c r="I77" s="326">
        <v>0</v>
      </c>
      <c r="J77" s="267"/>
      <c r="K77" s="267"/>
      <c r="L77" s="3865" t="e">
        <f t="shared" si="13"/>
        <v>#DIV/0!</v>
      </c>
      <c r="M77" s="3865" t="e">
        <f t="shared" si="13"/>
        <v>#DIV/0!</v>
      </c>
      <c r="N77" s="218">
        <f t="shared" si="14"/>
        <v>0</v>
      </c>
      <c r="O77" s="218">
        <f t="shared" si="15"/>
        <v>0</v>
      </c>
      <c r="P77" s="218">
        <f>IF(K77=0, 0, (HLOOKUP(K77,'[1]G-CESTDWO'!$A$5:$G$35,J77+1,FALSE)*R27))</f>
        <v>0</v>
      </c>
      <c r="Q77" s="218">
        <f>IF(K77=0, 0, (HLOOKUP(K77,'[1]G-CESTD'!$A$5:$G$35,J77+1,FALSE)*R27))</f>
        <v>0</v>
      </c>
      <c r="R77" s="292">
        <v>1.081</v>
      </c>
      <c r="S77" s="293">
        <f t="shared" si="16"/>
        <v>0</v>
      </c>
      <c r="T77" s="293">
        <f t="shared" si="16"/>
        <v>0</v>
      </c>
      <c r="U77" s="293">
        <f t="shared" si="16"/>
        <v>0</v>
      </c>
      <c r="V77" s="338" t="e">
        <f t="shared" si="11"/>
        <v>#DIV/0!</v>
      </c>
      <c r="W77" s="338" t="e">
        <f t="shared" si="10"/>
        <v>#DIV/0!</v>
      </c>
      <c r="X77" s="338" t="e">
        <f t="shared" si="12"/>
        <v>#DIV/0!</v>
      </c>
    </row>
    <row r="78" spans="2:24" ht="13.8" x14ac:dyDescent="0.3">
      <c r="B78" s="296"/>
      <c r="C78" s="296" t="s">
        <v>226</v>
      </c>
      <c r="D78" s="267">
        <v>0</v>
      </c>
      <c r="E78" s="296" t="s">
        <v>617</v>
      </c>
      <c r="F78" s="296" t="s">
        <v>211</v>
      </c>
      <c r="G78" s="297"/>
      <c r="H78" s="297"/>
      <c r="I78" s="326">
        <v>0</v>
      </c>
      <c r="J78" s="267"/>
      <c r="K78" s="267"/>
      <c r="L78" s="3865" t="e">
        <f t="shared" si="13"/>
        <v>#DIV/0!</v>
      </c>
      <c r="M78" s="3865" t="e">
        <f t="shared" si="13"/>
        <v>#DIV/0!</v>
      </c>
      <c r="N78" s="218">
        <f t="shared" si="14"/>
        <v>0</v>
      </c>
      <c r="O78" s="218">
        <f t="shared" si="15"/>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1"/>
        <v>#DIV/0!</v>
      </c>
      <c r="W78" s="338" t="e">
        <f t="shared" si="10"/>
        <v>#DIV/0!</v>
      </c>
      <c r="X78" s="338" t="e">
        <f t="shared" si="12"/>
        <v>#DIV/0!</v>
      </c>
    </row>
    <row r="79" spans="2:24" ht="13.8" x14ac:dyDescent="0.3">
      <c r="B79" s="296"/>
      <c r="C79" s="296" t="s">
        <v>227</v>
      </c>
      <c r="D79" s="296">
        <v>0</v>
      </c>
      <c r="E79" s="296" t="s">
        <v>617</v>
      </c>
      <c r="F79" s="296" t="s">
        <v>211</v>
      </c>
      <c r="G79" s="297"/>
      <c r="H79" s="297"/>
      <c r="I79" s="326">
        <v>0</v>
      </c>
      <c r="J79" s="267"/>
      <c r="K79" s="267"/>
      <c r="L79" s="3865" t="e">
        <f t="shared" si="13"/>
        <v>#DIV/0!</v>
      </c>
      <c r="M79" s="3865" t="e">
        <f t="shared" si="13"/>
        <v>#DIV/0!</v>
      </c>
      <c r="N79" s="218">
        <f t="shared" si="14"/>
        <v>0</v>
      </c>
      <c r="O79" s="218">
        <f t="shared" si="15"/>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1"/>
        <v>#DIV/0!</v>
      </c>
      <c r="W79" s="338" t="e">
        <f t="shared" si="10"/>
        <v>#DIV/0!</v>
      </c>
      <c r="X79" s="338" t="e">
        <f t="shared" si="12"/>
        <v>#DIV/0!</v>
      </c>
    </row>
    <row r="80" spans="2:24" ht="13.8" x14ac:dyDescent="0.3">
      <c r="B80" s="296"/>
      <c r="C80" s="296" t="s">
        <v>228</v>
      </c>
      <c r="D80" s="296">
        <v>0</v>
      </c>
      <c r="E80" s="296" t="s">
        <v>617</v>
      </c>
      <c r="F80" s="296" t="s">
        <v>211</v>
      </c>
      <c r="G80" s="297"/>
      <c r="H80" s="297"/>
      <c r="I80" s="326">
        <v>0</v>
      </c>
      <c r="J80" s="267"/>
      <c r="K80" s="267"/>
      <c r="L80" s="3865" t="e">
        <f t="shared" si="13"/>
        <v>#DIV/0!</v>
      </c>
      <c r="M80" s="3865" t="e">
        <f t="shared" si="13"/>
        <v>#DIV/0!</v>
      </c>
      <c r="N80" s="218">
        <f t="shared" si="14"/>
        <v>0</v>
      </c>
      <c r="O80" s="218">
        <f t="shared" si="15"/>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1"/>
        <v>#DIV/0!</v>
      </c>
      <c r="W80" s="338" t="e">
        <f t="shared" si="10"/>
        <v>#DIV/0!</v>
      </c>
      <c r="X80" s="338" t="e">
        <f t="shared" si="12"/>
        <v>#DIV/0!</v>
      </c>
    </row>
    <row r="81" spans="2:21" ht="13.8" x14ac:dyDescent="0.3">
      <c r="B81" s="296"/>
      <c r="C81" s="296" t="s">
        <v>229</v>
      </c>
      <c r="D81" s="296">
        <v>0</v>
      </c>
      <c r="E81" s="296" t="s">
        <v>617</v>
      </c>
      <c r="F81" s="296" t="s">
        <v>211</v>
      </c>
      <c r="G81" s="297"/>
      <c r="H81" s="297"/>
      <c r="I81" s="326">
        <v>0</v>
      </c>
      <c r="J81" s="267"/>
      <c r="K81" s="267"/>
      <c r="L81" s="3865" t="e">
        <f t="shared" si="13"/>
        <v>#DIV/0!</v>
      </c>
      <c r="M81" s="3865" t="e">
        <f t="shared" si="13"/>
        <v>#DIV/0!</v>
      </c>
      <c r="N81" s="218">
        <f t="shared" si="14"/>
        <v>0</v>
      </c>
      <c r="O81" s="218">
        <f t="shared" si="15"/>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3"/>
        <v>#DIV/0!</v>
      </c>
      <c r="M82" s="3865" t="e">
        <f t="shared" si="13"/>
        <v>#DIV/0!</v>
      </c>
      <c r="N82" s="218">
        <f t="shared" si="14"/>
        <v>0</v>
      </c>
      <c r="O82" s="218">
        <f t="shared" si="15"/>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3"/>
        <v>#DIV/0!</v>
      </c>
      <c r="M83" s="3865" t="e">
        <f t="shared" si="13"/>
        <v>#DIV/0!</v>
      </c>
      <c r="N83" s="218">
        <f t="shared" si="14"/>
        <v>0</v>
      </c>
      <c r="O83" s="218">
        <f t="shared" si="15"/>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3"/>
        <v>#DIV/0!</v>
      </c>
      <c r="M84" s="3865" t="e">
        <f t="shared" si="13"/>
        <v>#DIV/0!</v>
      </c>
      <c r="N84" s="218">
        <f t="shared" si="14"/>
        <v>0</v>
      </c>
      <c r="O84" s="218">
        <f t="shared" si="15"/>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3"/>
        <v>#DIV/0!</v>
      </c>
      <c r="M85" s="3865" t="e">
        <f t="shared" si="13"/>
        <v>#DIV/0!</v>
      </c>
      <c r="N85" s="218">
        <f t="shared" si="14"/>
        <v>0</v>
      </c>
      <c r="O85" s="218">
        <f t="shared" si="15"/>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3"/>
        <v>#DIV/0!</v>
      </c>
      <c r="M86" s="3865" t="e">
        <f t="shared" si="13"/>
        <v>#DIV/0!</v>
      </c>
      <c r="N86" s="218">
        <f t="shared" si="14"/>
        <v>0</v>
      </c>
      <c r="O86" s="218">
        <f t="shared" si="15"/>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3"/>
        <v>#DIV/0!</v>
      </c>
      <c r="M87" s="3865" t="e">
        <f t="shared" si="13"/>
        <v>#DIV/0!</v>
      </c>
      <c r="N87" s="218">
        <f t="shared" si="14"/>
        <v>0</v>
      </c>
      <c r="O87" s="218">
        <f t="shared" si="15"/>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3"/>
        <v>#DIV/0!</v>
      </c>
      <c r="M88" s="3865" t="e">
        <f t="shared" si="13"/>
        <v>#DIV/0!</v>
      </c>
      <c r="N88" s="218">
        <f t="shared" si="14"/>
        <v>0</v>
      </c>
      <c r="O88" s="218">
        <f t="shared" si="15"/>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3"/>
        <v>#DIV/0!</v>
      </c>
      <c r="M89" s="3865" t="e">
        <f t="shared" si="13"/>
        <v>#DIV/0!</v>
      </c>
      <c r="N89" s="218">
        <f t="shared" si="14"/>
        <v>0</v>
      </c>
      <c r="O89" s="218">
        <f t="shared" si="15"/>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3"/>
        <v>#DIV/0!</v>
      </c>
      <c r="M90" s="3865" t="e">
        <f t="shared" si="13"/>
        <v>#DIV/0!</v>
      </c>
      <c r="N90" s="218">
        <f t="shared" si="14"/>
        <v>0</v>
      </c>
      <c r="O90" s="218">
        <f t="shared" si="15"/>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3"/>
        <v>#DIV/0!</v>
      </c>
      <c r="M91" s="3865" t="e">
        <f t="shared" si="13"/>
        <v>#DIV/0!</v>
      </c>
      <c r="N91" s="218">
        <f t="shared" si="14"/>
        <v>0</v>
      </c>
      <c r="O91" s="218">
        <f t="shared" si="15"/>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3"/>
        <v>#DIV/0!</v>
      </c>
      <c r="M92" s="3865" t="e">
        <f t="shared" si="13"/>
        <v>#DIV/0!</v>
      </c>
      <c r="N92" s="218">
        <f t="shared" si="14"/>
        <v>0</v>
      </c>
      <c r="O92" s="218">
        <f t="shared" si="15"/>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3"/>
        <v>#DIV/0!</v>
      </c>
      <c r="M93" s="3865" t="e">
        <f t="shared" si="13"/>
        <v>#DIV/0!</v>
      </c>
      <c r="N93" s="218">
        <f t="shared" si="14"/>
        <v>0</v>
      </c>
      <c r="O93" s="218">
        <f t="shared" si="15"/>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3"/>
        <v>#DIV/0!</v>
      </c>
      <c r="M94" s="3865" t="e">
        <f t="shared" si="13"/>
        <v>#DIV/0!</v>
      </c>
      <c r="N94" s="218">
        <f t="shared" si="14"/>
        <v>0</v>
      </c>
      <c r="O94" s="218">
        <f t="shared" si="15"/>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3"/>
        <v>#DIV/0!</v>
      </c>
      <c r="M95" s="3865" t="e">
        <f t="shared" si="13"/>
        <v>#DIV/0!</v>
      </c>
      <c r="N95" s="218">
        <f t="shared" si="14"/>
        <v>0</v>
      </c>
      <c r="O95" s="218">
        <f t="shared" si="15"/>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3"/>
        <v>#DIV/0!</v>
      </c>
      <c r="M96" s="3865" t="e">
        <f t="shared" si="13"/>
        <v>#DIV/0!</v>
      </c>
      <c r="N96" s="218">
        <f t="shared" si="14"/>
        <v>0</v>
      </c>
      <c r="O96" s="218">
        <f t="shared" si="15"/>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3"/>
        <v>#DIV/0!</v>
      </c>
      <c r="M97" s="3865" t="e">
        <f t="shared" si="13"/>
        <v>#DIV/0!</v>
      </c>
      <c r="N97" s="218">
        <f t="shared" si="14"/>
        <v>0</v>
      </c>
      <c r="O97" s="218">
        <f t="shared" si="15"/>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3"/>
        <v>#DIV/0!</v>
      </c>
      <c r="M98" s="3865" t="e">
        <f t="shared" si="13"/>
        <v>#DIV/0!</v>
      </c>
      <c r="N98" s="218">
        <f t="shared" si="14"/>
        <v>0</v>
      </c>
      <c r="O98" s="218">
        <f t="shared" si="15"/>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3"/>
        <v>#DIV/0!</v>
      </c>
      <c r="M99" s="3865" t="e">
        <f t="shared" si="13"/>
        <v>#DIV/0!</v>
      </c>
      <c r="N99" s="218">
        <f t="shared" si="14"/>
        <v>0</v>
      </c>
      <c r="O99" s="218">
        <f t="shared" si="15"/>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P101/N101</f>
        <v>#DIV/0!</v>
      </c>
      <c r="M101" s="3865" t="e">
        <f>P101/O101</f>
        <v>#DIV/0!</v>
      </c>
      <c r="N101" s="218">
        <f>(($I101*$F$56)+$U101)/$R101</f>
        <v>0</v>
      </c>
      <c r="O101" s="218">
        <f>(($I101*$F$56)+($G101*$O51))/$R101</f>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P102/N102</f>
        <v>#DIV/0!</v>
      </c>
      <c r="M102" s="3865" t="e">
        <f>P102/O102</f>
        <v>#DIV/0!</v>
      </c>
      <c r="N102" s="218">
        <f>(($I102*$F$56)+$U102)/$R102</f>
        <v>0</v>
      </c>
      <c r="O102" s="218">
        <f>(($I102*$F$56)+($G102*$O52))/$R102</f>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9" t="e">
        <f>P103/N103</f>
        <v>#DIV/0!</v>
      </c>
      <c r="M103" s="3869" t="e">
        <f>P103/O103</f>
        <v>#DIV/0!</v>
      </c>
      <c r="N103" s="218">
        <f>(($I103*$F$56)+$U103)/$R103</f>
        <v>0</v>
      </c>
      <c r="O103" s="218">
        <f>(($I103*$F$56)+($G103*$O53))/$R103</f>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8625548</v>
      </c>
      <c r="H104" s="301">
        <f>U104</f>
        <v>3528800</v>
      </c>
      <c r="I104" s="302">
        <f>SUM(I62:I103)</f>
        <v>1</v>
      </c>
      <c r="J104" s="303">
        <f>ROUND(SUMPRODUCT(J62:J103,R12:R53)/R54,0)</f>
        <v>18</v>
      </c>
      <c r="K104" s="274"/>
      <c r="L104" s="3866">
        <f>P104/N104</f>
        <v>4.2458267290428431</v>
      </c>
      <c r="M104" s="3867">
        <f>Q104/O104</f>
        <v>1.9326269181174069</v>
      </c>
      <c r="N104" s="311">
        <f>SUM(N62:N103)</f>
        <v>3939148.4086031457</v>
      </c>
      <c r="O104" s="311">
        <f>SUM(O62:O103)</f>
        <v>8653993.9220166523</v>
      </c>
      <c r="P104" s="311">
        <f>SUM(P62:P103)</f>
        <v>16724941.602913814</v>
      </c>
      <c r="Q104" s="311">
        <f>SUM(Q62:Q103)</f>
        <v>16724941.602913814</v>
      </c>
      <c r="R104" s="307">
        <v>1.081</v>
      </c>
      <c r="S104" s="308">
        <f>SUM(S62:S103)</f>
        <v>1752400</v>
      </c>
      <c r="T104" s="308">
        <f>SUM(T62:T103)</f>
        <v>1776400</v>
      </c>
      <c r="U104" s="308">
        <f>SUM(U62:U103)</f>
        <v>3528800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3" top="0.35" bottom="0.31" header="0.3" footer="0.3"/>
  <pageSetup paperSize="17" scale="52"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G4" sqref="G4"/>
    </sheetView>
  </sheetViews>
  <sheetFormatPr defaultRowHeight="13.2" x14ac:dyDescent="0.25"/>
  <cols>
    <col min="1" max="1" width="15.44140625" style="3369" customWidth="1"/>
    <col min="2" max="2" width="18.5546875" customWidth="1"/>
    <col min="3" max="3" width="37.88671875" customWidth="1"/>
    <col min="4" max="4" width="15.109375" style="19" customWidth="1"/>
    <col min="5" max="5" width="15.109375" customWidth="1"/>
    <col min="6" max="6" width="17.109375" customWidth="1"/>
    <col min="7" max="7" width="13.44140625" customWidth="1"/>
    <col min="8" max="8" width="15.33203125" bestFit="1" customWidth="1"/>
    <col min="9" max="9" width="14.109375" bestFit="1" customWidth="1"/>
    <col min="10" max="10" width="15.33203125" customWidth="1"/>
    <col min="11" max="11" width="17.6640625" customWidth="1"/>
    <col min="12" max="12" width="17" bestFit="1" customWidth="1"/>
    <col min="13" max="13" width="12.6640625" customWidth="1"/>
    <col min="14" max="14" width="13.6640625" customWidth="1"/>
    <col min="15" max="15" width="13.88671875" bestFit="1" customWidth="1"/>
    <col min="16" max="16" width="19.6640625" bestFit="1" customWidth="1"/>
    <col min="17" max="17" width="16.109375" customWidth="1"/>
    <col min="18" max="18" width="16.6640625" bestFit="1" customWidth="1"/>
    <col min="19" max="19" width="15.5546875" bestFit="1" customWidth="1"/>
    <col min="20"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2.44140625" bestFit="1" customWidth="1"/>
    <col min="262" max="262" width="16.33203125" bestFit="1" customWidth="1"/>
    <col min="263" max="263" width="13.44140625" customWidth="1"/>
    <col min="264" max="264" width="15.33203125" bestFit="1" customWidth="1"/>
    <col min="265" max="265" width="14.109375" bestFit="1" customWidth="1"/>
    <col min="266" max="266" width="15.33203125" customWidth="1"/>
    <col min="267" max="267" width="17.6640625" customWidth="1"/>
    <col min="268" max="268" width="17" bestFit="1" customWidth="1"/>
    <col min="269" max="269" width="12.6640625" customWidth="1"/>
    <col min="270" max="270" width="13.6640625" customWidth="1"/>
    <col min="271" max="271" width="13.88671875" bestFit="1" customWidth="1"/>
    <col min="272" max="272" width="19.6640625" bestFit="1" customWidth="1"/>
    <col min="273" max="273" width="16.109375" customWidth="1"/>
    <col min="274" max="274" width="16.6640625" bestFit="1" customWidth="1"/>
    <col min="275" max="275" width="15.5546875" bestFit="1" customWidth="1"/>
    <col min="276"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2.44140625" bestFit="1" customWidth="1"/>
    <col min="518" max="518" width="16.33203125" bestFit="1" customWidth="1"/>
    <col min="519" max="519" width="13.44140625" customWidth="1"/>
    <col min="520" max="520" width="15.33203125" bestFit="1" customWidth="1"/>
    <col min="521" max="521" width="14.109375" bestFit="1" customWidth="1"/>
    <col min="522" max="522" width="15.33203125" customWidth="1"/>
    <col min="523" max="523" width="17.6640625" customWidth="1"/>
    <col min="524" max="524" width="17" bestFit="1" customWidth="1"/>
    <col min="525" max="525" width="12.6640625" customWidth="1"/>
    <col min="526" max="526" width="13.6640625" customWidth="1"/>
    <col min="527" max="527" width="13.88671875" bestFit="1" customWidth="1"/>
    <col min="528" max="528" width="19.6640625" bestFit="1" customWidth="1"/>
    <col min="529" max="529" width="16.109375" customWidth="1"/>
    <col min="530" max="530" width="16.6640625" bestFit="1" customWidth="1"/>
    <col min="531" max="531" width="15.5546875" bestFit="1" customWidth="1"/>
    <col min="532"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2.44140625" bestFit="1" customWidth="1"/>
    <col min="774" max="774" width="16.33203125" bestFit="1" customWidth="1"/>
    <col min="775" max="775" width="13.44140625" customWidth="1"/>
    <col min="776" max="776" width="15.33203125" bestFit="1" customWidth="1"/>
    <col min="777" max="777" width="14.109375" bestFit="1" customWidth="1"/>
    <col min="778" max="778" width="15.33203125" customWidth="1"/>
    <col min="779" max="779" width="17.6640625" customWidth="1"/>
    <col min="780" max="780" width="17" bestFit="1" customWidth="1"/>
    <col min="781" max="781" width="12.6640625" customWidth="1"/>
    <col min="782" max="782" width="13.6640625" customWidth="1"/>
    <col min="783" max="783" width="13.88671875" bestFit="1" customWidth="1"/>
    <col min="784" max="784" width="19.6640625" bestFit="1" customWidth="1"/>
    <col min="785" max="785" width="16.109375" customWidth="1"/>
    <col min="786" max="786" width="16.6640625" bestFit="1" customWidth="1"/>
    <col min="787" max="787" width="15.5546875" bestFit="1" customWidth="1"/>
    <col min="788"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2.44140625" bestFit="1" customWidth="1"/>
    <col min="1030" max="1030" width="16.33203125" bestFit="1" customWidth="1"/>
    <col min="1031" max="1031" width="13.44140625" customWidth="1"/>
    <col min="1032" max="1032" width="15.33203125" bestFit="1" customWidth="1"/>
    <col min="1033" max="1033" width="14.109375" bestFit="1" customWidth="1"/>
    <col min="1034" max="1034" width="15.33203125" customWidth="1"/>
    <col min="1035" max="1035" width="17.6640625" customWidth="1"/>
    <col min="1036" max="1036" width="17" bestFit="1" customWidth="1"/>
    <col min="1037" max="1037" width="12.6640625" customWidth="1"/>
    <col min="1038" max="1038" width="13.6640625" customWidth="1"/>
    <col min="1039" max="1039" width="13.88671875" bestFit="1" customWidth="1"/>
    <col min="1040" max="1040" width="19.6640625" bestFit="1" customWidth="1"/>
    <col min="1041" max="1041" width="16.109375" customWidth="1"/>
    <col min="1042" max="1042" width="16.6640625" bestFit="1" customWidth="1"/>
    <col min="1043" max="1043" width="15.5546875" bestFit="1" customWidth="1"/>
    <col min="1044"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2.44140625" bestFit="1" customWidth="1"/>
    <col min="1286" max="1286" width="16.33203125" bestFit="1" customWidth="1"/>
    <col min="1287" max="1287" width="13.44140625" customWidth="1"/>
    <col min="1288" max="1288" width="15.33203125" bestFit="1" customWidth="1"/>
    <col min="1289" max="1289" width="14.109375" bestFit="1" customWidth="1"/>
    <col min="1290" max="1290" width="15.33203125" customWidth="1"/>
    <col min="1291" max="1291" width="17.6640625" customWidth="1"/>
    <col min="1292" max="1292" width="17" bestFit="1" customWidth="1"/>
    <col min="1293" max="1293" width="12.6640625" customWidth="1"/>
    <col min="1294" max="1294" width="13.6640625" customWidth="1"/>
    <col min="1295" max="1295" width="13.88671875" bestFit="1" customWidth="1"/>
    <col min="1296" max="1296" width="19.6640625" bestFit="1" customWidth="1"/>
    <col min="1297" max="1297" width="16.109375" customWidth="1"/>
    <col min="1298" max="1298" width="16.6640625" bestFit="1" customWidth="1"/>
    <col min="1299" max="1299" width="15.5546875" bestFit="1" customWidth="1"/>
    <col min="1300"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2.44140625" bestFit="1" customWidth="1"/>
    <col min="1542" max="1542" width="16.33203125" bestFit="1" customWidth="1"/>
    <col min="1543" max="1543" width="13.44140625" customWidth="1"/>
    <col min="1544" max="1544" width="15.33203125" bestFit="1" customWidth="1"/>
    <col min="1545" max="1545" width="14.109375" bestFit="1" customWidth="1"/>
    <col min="1546" max="1546" width="15.33203125" customWidth="1"/>
    <col min="1547" max="1547" width="17.6640625" customWidth="1"/>
    <col min="1548" max="1548" width="17" bestFit="1" customWidth="1"/>
    <col min="1549" max="1549" width="12.6640625" customWidth="1"/>
    <col min="1550" max="1550" width="13.6640625" customWidth="1"/>
    <col min="1551" max="1551" width="13.88671875" bestFit="1" customWidth="1"/>
    <col min="1552" max="1552" width="19.6640625" bestFit="1" customWidth="1"/>
    <col min="1553" max="1553" width="16.109375" customWidth="1"/>
    <col min="1554" max="1554" width="16.6640625" bestFit="1" customWidth="1"/>
    <col min="1555" max="1555" width="15.5546875" bestFit="1" customWidth="1"/>
    <col min="1556"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2.44140625" bestFit="1" customWidth="1"/>
    <col min="1798" max="1798" width="16.33203125" bestFit="1" customWidth="1"/>
    <col min="1799" max="1799" width="13.44140625" customWidth="1"/>
    <col min="1800" max="1800" width="15.33203125" bestFit="1" customWidth="1"/>
    <col min="1801" max="1801" width="14.109375" bestFit="1" customWidth="1"/>
    <col min="1802" max="1802" width="15.33203125" customWidth="1"/>
    <col min="1803" max="1803" width="17.6640625" customWidth="1"/>
    <col min="1804" max="1804" width="17" bestFit="1" customWidth="1"/>
    <col min="1805" max="1805" width="12.6640625" customWidth="1"/>
    <col min="1806" max="1806" width="13.6640625" customWidth="1"/>
    <col min="1807" max="1807" width="13.88671875" bestFit="1" customWidth="1"/>
    <col min="1808" max="1808" width="19.6640625" bestFit="1" customWidth="1"/>
    <col min="1809" max="1809" width="16.109375" customWidth="1"/>
    <col min="1810" max="1810" width="16.6640625" bestFit="1" customWidth="1"/>
    <col min="1811" max="1811" width="15.5546875" bestFit="1" customWidth="1"/>
    <col min="1812"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2.44140625" bestFit="1" customWidth="1"/>
    <col min="2054" max="2054" width="16.33203125" bestFit="1" customWidth="1"/>
    <col min="2055" max="2055" width="13.44140625" customWidth="1"/>
    <col min="2056" max="2056" width="15.33203125" bestFit="1" customWidth="1"/>
    <col min="2057" max="2057" width="14.109375" bestFit="1" customWidth="1"/>
    <col min="2058" max="2058" width="15.33203125" customWidth="1"/>
    <col min="2059" max="2059" width="17.6640625" customWidth="1"/>
    <col min="2060" max="2060" width="17" bestFit="1" customWidth="1"/>
    <col min="2061" max="2061" width="12.6640625" customWidth="1"/>
    <col min="2062" max="2062" width="13.6640625" customWidth="1"/>
    <col min="2063" max="2063" width="13.88671875" bestFit="1" customWidth="1"/>
    <col min="2064" max="2064" width="19.6640625" bestFit="1" customWidth="1"/>
    <col min="2065" max="2065" width="16.109375" customWidth="1"/>
    <col min="2066" max="2066" width="16.6640625" bestFit="1" customWidth="1"/>
    <col min="2067" max="2067" width="15.5546875" bestFit="1" customWidth="1"/>
    <col min="2068"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2.44140625" bestFit="1" customWidth="1"/>
    <col min="2310" max="2310" width="16.33203125" bestFit="1" customWidth="1"/>
    <col min="2311" max="2311" width="13.44140625" customWidth="1"/>
    <col min="2312" max="2312" width="15.33203125" bestFit="1" customWidth="1"/>
    <col min="2313" max="2313" width="14.109375" bestFit="1" customWidth="1"/>
    <col min="2314" max="2314" width="15.33203125" customWidth="1"/>
    <col min="2315" max="2315" width="17.6640625" customWidth="1"/>
    <col min="2316" max="2316" width="17" bestFit="1" customWidth="1"/>
    <col min="2317" max="2317" width="12.6640625" customWidth="1"/>
    <col min="2318" max="2318" width="13.6640625" customWidth="1"/>
    <col min="2319" max="2319" width="13.88671875" bestFit="1" customWidth="1"/>
    <col min="2320" max="2320" width="19.6640625" bestFit="1" customWidth="1"/>
    <col min="2321" max="2321" width="16.109375" customWidth="1"/>
    <col min="2322" max="2322" width="16.6640625" bestFit="1" customWidth="1"/>
    <col min="2323" max="2323" width="15.5546875" bestFit="1" customWidth="1"/>
    <col min="2324"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2.44140625" bestFit="1" customWidth="1"/>
    <col min="2566" max="2566" width="16.33203125" bestFit="1" customWidth="1"/>
    <col min="2567" max="2567" width="13.44140625" customWidth="1"/>
    <col min="2568" max="2568" width="15.33203125" bestFit="1" customWidth="1"/>
    <col min="2569" max="2569" width="14.109375" bestFit="1" customWidth="1"/>
    <col min="2570" max="2570" width="15.33203125" customWidth="1"/>
    <col min="2571" max="2571" width="17.6640625" customWidth="1"/>
    <col min="2572" max="2572" width="17" bestFit="1" customWidth="1"/>
    <col min="2573" max="2573" width="12.6640625" customWidth="1"/>
    <col min="2574" max="2574" width="13.6640625" customWidth="1"/>
    <col min="2575" max="2575" width="13.88671875" bestFit="1" customWidth="1"/>
    <col min="2576" max="2576" width="19.6640625" bestFit="1" customWidth="1"/>
    <col min="2577" max="2577" width="16.109375" customWidth="1"/>
    <col min="2578" max="2578" width="16.6640625" bestFit="1" customWidth="1"/>
    <col min="2579" max="2579" width="15.5546875" bestFit="1" customWidth="1"/>
    <col min="2580"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2.44140625" bestFit="1" customWidth="1"/>
    <col min="2822" max="2822" width="16.33203125" bestFit="1" customWidth="1"/>
    <col min="2823" max="2823" width="13.44140625" customWidth="1"/>
    <col min="2824" max="2824" width="15.33203125" bestFit="1" customWidth="1"/>
    <col min="2825" max="2825" width="14.109375" bestFit="1" customWidth="1"/>
    <col min="2826" max="2826" width="15.33203125" customWidth="1"/>
    <col min="2827" max="2827" width="17.6640625" customWidth="1"/>
    <col min="2828" max="2828" width="17" bestFit="1" customWidth="1"/>
    <col min="2829" max="2829" width="12.6640625" customWidth="1"/>
    <col min="2830" max="2830" width="13.6640625" customWidth="1"/>
    <col min="2831" max="2831" width="13.88671875" bestFit="1" customWidth="1"/>
    <col min="2832" max="2832" width="19.6640625" bestFit="1" customWidth="1"/>
    <col min="2833" max="2833" width="16.109375" customWidth="1"/>
    <col min="2834" max="2834" width="16.6640625" bestFit="1" customWidth="1"/>
    <col min="2835" max="2835" width="15.5546875" bestFit="1" customWidth="1"/>
    <col min="2836"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2.44140625" bestFit="1" customWidth="1"/>
    <col min="3078" max="3078" width="16.33203125" bestFit="1" customWidth="1"/>
    <col min="3079" max="3079" width="13.44140625" customWidth="1"/>
    <col min="3080" max="3080" width="15.33203125" bestFit="1" customWidth="1"/>
    <col min="3081" max="3081" width="14.109375" bestFit="1" customWidth="1"/>
    <col min="3082" max="3082" width="15.33203125" customWidth="1"/>
    <col min="3083" max="3083" width="17.6640625" customWidth="1"/>
    <col min="3084" max="3084" width="17" bestFit="1" customWidth="1"/>
    <col min="3085" max="3085" width="12.6640625" customWidth="1"/>
    <col min="3086" max="3086" width="13.6640625" customWidth="1"/>
    <col min="3087" max="3087" width="13.88671875" bestFit="1" customWidth="1"/>
    <col min="3088" max="3088" width="19.6640625" bestFit="1" customWidth="1"/>
    <col min="3089" max="3089" width="16.109375" customWidth="1"/>
    <col min="3090" max="3090" width="16.6640625" bestFit="1" customWidth="1"/>
    <col min="3091" max="3091" width="15.5546875" bestFit="1" customWidth="1"/>
    <col min="3092"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2.44140625" bestFit="1" customWidth="1"/>
    <col min="3334" max="3334" width="16.33203125" bestFit="1" customWidth="1"/>
    <col min="3335" max="3335" width="13.44140625" customWidth="1"/>
    <col min="3336" max="3336" width="15.33203125" bestFit="1" customWidth="1"/>
    <col min="3337" max="3337" width="14.109375" bestFit="1" customWidth="1"/>
    <col min="3338" max="3338" width="15.33203125" customWidth="1"/>
    <col min="3339" max="3339" width="17.6640625" customWidth="1"/>
    <col min="3340" max="3340" width="17" bestFit="1" customWidth="1"/>
    <col min="3341" max="3341" width="12.6640625" customWidth="1"/>
    <col min="3342" max="3342" width="13.6640625" customWidth="1"/>
    <col min="3343" max="3343" width="13.88671875" bestFit="1" customWidth="1"/>
    <col min="3344" max="3344" width="19.6640625" bestFit="1" customWidth="1"/>
    <col min="3345" max="3345" width="16.109375" customWidth="1"/>
    <col min="3346" max="3346" width="16.6640625" bestFit="1" customWidth="1"/>
    <col min="3347" max="3347" width="15.5546875" bestFit="1" customWidth="1"/>
    <col min="3348"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2.44140625" bestFit="1" customWidth="1"/>
    <col min="3590" max="3590" width="16.33203125" bestFit="1" customWidth="1"/>
    <col min="3591" max="3591" width="13.44140625" customWidth="1"/>
    <col min="3592" max="3592" width="15.33203125" bestFit="1" customWidth="1"/>
    <col min="3593" max="3593" width="14.109375" bestFit="1" customWidth="1"/>
    <col min="3594" max="3594" width="15.33203125" customWidth="1"/>
    <col min="3595" max="3595" width="17.6640625" customWidth="1"/>
    <col min="3596" max="3596" width="17" bestFit="1" customWidth="1"/>
    <col min="3597" max="3597" width="12.6640625" customWidth="1"/>
    <col min="3598" max="3598" width="13.6640625" customWidth="1"/>
    <col min="3599" max="3599" width="13.88671875" bestFit="1" customWidth="1"/>
    <col min="3600" max="3600" width="19.6640625" bestFit="1" customWidth="1"/>
    <col min="3601" max="3601" width="16.109375" customWidth="1"/>
    <col min="3602" max="3602" width="16.6640625" bestFit="1" customWidth="1"/>
    <col min="3603" max="3603" width="15.5546875" bestFit="1" customWidth="1"/>
    <col min="3604"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2.44140625" bestFit="1" customWidth="1"/>
    <col min="3846" max="3846" width="16.33203125" bestFit="1" customWidth="1"/>
    <col min="3847" max="3847" width="13.44140625" customWidth="1"/>
    <col min="3848" max="3848" width="15.33203125" bestFit="1" customWidth="1"/>
    <col min="3849" max="3849" width="14.109375" bestFit="1" customWidth="1"/>
    <col min="3850" max="3850" width="15.33203125" customWidth="1"/>
    <col min="3851" max="3851" width="17.6640625" customWidth="1"/>
    <col min="3852" max="3852" width="17" bestFit="1" customWidth="1"/>
    <col min="3853" max="3853" width="12.6640625" customWidth="1"/>
    <col min="3854" max="3854" width="13.6640625" customWidth="1"/>
    <col min="3855" max="3855" width="13.88671875" bestFit="1" customWidth="1"/>
    <col min="3856" max="3856" width="19.6640625" bestFit="1" customWidth="1"/>
    <col min="3857" max="3857" width="16.109375" customWidth="1"/>
    <col min="3858" max="3858" width="16.6640625" bestFit="1" customWidth="1"/>
    <col min="3859" max="3859" width="15.5546875" bestFit="1" customWidth="1"/>
    <col min="3860"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2.44140625" bestFit="1" customWidth="1"/>
    <col min="4102" max="4102" width="16.33203125" bestFit="1" customWidth="1"/>
    <col min="4103" max="4103" width="13.44140625" customWidth="1"/>
    <col min="4104" max="4104" width="15.33203125" bestFit="1" customWidth="1"/>
    <col min="4105" max="4105" width="14.109375" bestFit="1" customWidth="1"/>
    <col min="4106" max="4106" width="15.33203125" customWidth="1"/>
    <col min="4107" max="4107" width="17.6640625" customWidth="1"/>
    <col min="4108" max="4108" width="17" bestFit="1" customWidth="1"/>
    <col min="4109" max="4109" width="12.6640625" customWidth="1"/>
    <col min="4110" max="4110" width="13.6640625" customWidth="1"/>
    <col min="4111" max="4111" width="13.88671875" bestFit="1" customWidth="1"/>
    <col min="4112" max="4112" width="19.6640625" bestFit="1" customWidth="1"/>
    <col min="4113" max="4113" width="16.109375" customWidth="1"/>
    <col min="4114" max="4114" width="16.6640625" bestFit="1" customWidth="1"/>
    <col min="4115" max="4115" width="15.5546875" bestFit="1" customWidth="1"/>
    <col min="4116"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2.44140625" bestFit="1" customWidth="1"/>
    <col min="4358" max="4358" width="16.33203125" bestFit="1" customWidth="1"/>
    <col min="4359" max="4359" width="13.44140625" customWidth="1"/>
    <col min="4360" max="4360" width="15.33203125" bestFit="1" customWidth="1"/>
    <col min="4361" max="4361" width="14.109375" bestFit="1" customWidth="1"/>
    <col min="4362" max="4362" width="15.33203125" customWidth="1"/>
    <col min="4363" max="4363" width="17.6640625" customWidth="1"/>
    <col min="4364" max="4364" width="17" bestFit="1" customWidth="1"/>
    <col min="4365" max="4365" width="12.6640625" customWidth="1"/>
    <col min="4366" max="4366" width="13.6640625" customWidth="1"/>
    <col min="4367" max="4367" width="13.88671875" bestFit="1" customWidth="1"/>
    <col min="4368" max="4368" width="19.6640625" bestFit="1" customWidth="1"/>
    <col min="4369" max="4369" width="16.109375" customWidth="1"/>
    <col min="4370" max="4370" width="16.6640625" bestFit="1" customWidth="1"/>
    <col min="4371" max="4371" width="15.5546875" bestFit="1" customWidth="1"/>
    <col min="4372"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2.44140625" bestFit="1" customWidth="1"/>
    <col min="4614" max="4614" width="16.33203125" bestFit="1" customWidth="1"/>
    <col min="4615" max="4615" width="13.44140625" customWidth="1"/>
    <col min="4616" max="4616" width="15.33203125" bestFit="1" customWidth="1"/>
    <col min="4617" max="4617" width="14.109375" bestFit="1" customWidth="1"/>
    <col min="4618" max="4618" width="15.33203125" customWidth="1"/>
    <col min="4619" max="4619" width="17.6640625" customWidth="1"/>
    <col min="4620" max="4620" width="17" bestFit="1" customWidth="1"/>
    <col min="4621" max="4621" width="12.6640625" customWidth="1"/>
    <col min="4622" max="4622" width="13.6640625" customWidth="1"/>
    <col min="4623" max="4623" width="13.88671875" bestFit="1" customWidth="1"/>
    <col min="4624" max="4624" width="19.6640625" bestFit="1" customWidth="1"/>
    <col min="4625" max="4625" width="16.109375" customWidth="1"/>
    <col min="4626" max="4626" width="16.6640625" bestFit="1" customWidth="1"/>
    <col min="4627" max="4627" width="15.5546875" bestFit="1" customWidth="1"/>
    <col min="4628"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2.44140625" bestFit="1" customWidth="1"/>
    <col min="4870" max="4870" width="16.33203125" bestFit="1" customWidth="1"/>
    <col min="4871" max="4871" width="13.44140625" customWidth="1"/>
    <col min="4872" max="4872" width="15.33203125" bestFit="1" customWidth="1"/>
    <col min="4873" max="4873" width="14.109375" bestFit="1" customWidth="1"/>
    <col min="4874" max="4874" width="15.33203125" customWidth="1"/>
    <col min="4875" max="4875" width="17.6640625" customWidth="1"/>
    <col min="4876" max="4876" width="17" bestFit="1" customWidth="1"/>
    <col min="4877" max="4877" width="12.6640625" customWidth="1"/>
    <col min="4878" max="4878" width="13.6640625" customWidth="1"/>
    <col min="4879" max="4879" width="13.88671875" bestFit="1" customWidth="1"/>
    <col min="4880" max="4880" width="19.6640625" bestFit="1" customWidth="1"/>
    <col min="4881" max="4881" width="16.109375" customWidth="1"/>
    <col min="4882" max="4882" width="16.6640625" bestFit="1" customWidth="1"/>
    <col min="4883" max="4883" width="15.5546875" bestFit="1" customWidth="1"/>
    <col min="4884"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2.44140625" bestFit="1" customWidth="1"/>
    <col min="5126" max="5126" width="16.33203125" bestFit="1" customWidth="1"/>
    <col min="5127" max="5127" width="13.44140625" customWidth="1"/>
    <col min="5128" max="5128" width="15.33203125" bestFit="1" customWidth="1"/>
    <col min="5129" max="5129" width="14.109375" bestFit="1" customWidth="1"/>
    <col min="5130" max="5130" width="15.33203125" customWidth="1"/>
    <col min="5131" max="5131" width="17.6640625" customWidth="1"/>
    <col min="5132" max="5132" width="17" bestFit="1" customWidth="1"/>
    <col min="5133" max="5133" width="12.6640625" customWidth="1"/>
    <col min="5134" max="5134" width="13.6640625" customWidth="1"/>
    <col min="5135" max="5135" width="13.88671875" bestFit="1" customWidth="1"/>
    <col min="5136" max="5136" width="19.6640625" bestFit="1" customWidth="1"/>
    <col min="5137" max="5137" width="16.109375" customWidth="1"/>
    <col min="5138" max="5138" width="16.6640625" bestFit="1" customWidth="1"/>
    <col min="5139" max="5139" width="15.5546875" bestFit="1" customWidth="1"/>
    <col min="5140"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2.44140625" bestFit="1" customWidth="1"/>
    <col min="5382" max="5382" width="16.33203125" bestFit="1" customWidth="1"/>
    <col min="5383" max="5383" width="13.44140625" customWidth="1"/>
    <col min="5384" max="5384" width="15.33203125" bestFit="1" customWidth="1"/>
    <col min="5385" max="5385" width="14.109375" bestFit="1" customWidth="1"/>
    <col min="5386" max="5386" width="15.33203125" customWidth="1"/>
    <col min="5387" max="5387" width="17.6640625" customWidth="1"/>
    <col min="5388" max="5388" width="17" bestFit="1" customWidth="1"/>
    <col min="5389" max="5389" width="12.6640625" customWidth="1"/>
    <col min="5390" max="5390" width="13.6640625" customWidth="1"/>
    <col min="5391" max="5391" width="13.88671875" bestFit="1" customWidth="1"/>
    <col min="5392" max="5392" width="19.6640625" bestFit="1" customWidth="1"/>
    <col min="5393" max="5393" width="16.109375" customWidth="1"/>
    <col min="5394" max="5394" width="16.6640625" bestFit="1" customWidth="1"/>
    <col min="5395" max="5395" width="15.5546875" bestFit="1" customWidth="1"/>
    <col min="5396"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2.44140625" bestFit="1" customWidth="1"/>
    <col min="5638" max="5638" width="16.33203125" bestFit="1" customWidth="1"/>
    <col min="5639" max="5639" width="13.44140625" customWidth="1"/>
    <col min="5640" max="5640" width="15.33203125" bestFit="1" customWidth="1"/>
    <col min="5641" max="5641" width="14.109375" bestFit="1" customWidth="1"/>
    <col min="5642" max="5642" width="15.33203125" customWidth="1"/>
    <col min="5643" max="5643" width="17.6640625" customWidth="1"/>
    <col min="5644" max="5644" width="17" bestFit="1" customWidth="1"/>
    <col min="5645" max="5645" width="12.6640625" customWidth="1"/>
    <col min="5646" max="5646" width="13.6640625" customWidth="1"/>
    <col min="5647" max="5647" width="13.88671875" bestFit="1" customWidth="1"/>
    <col min="5648" max="5648" width="19.6640625" bestFit="1" customWidth="1"/>
    <col min="5649" max="5649" width="16.109375" customWidth="1"/>
    <col min="5650" max="5650" width="16.6640625" bestFit="1" customWidth="1"/>
    <col min="5651" max="5651" width="15.5546875" bestFit="1" customWidth="1"/>
    <col min="5652"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2.44140625" bestFit="1" customWidth="1"/>
    <col min="5894" max="5894" width="16.33203125" bestFit="1" customWidth="1"/>
    <col min="5895" max="5895" width="13.44140625" customWidth="1"/>
    <col min="5896" max="5896" width="15.33203125" bestFit="1" customWidth="1"/>
    <col min="5897" max="5897" width="14.109375" bestFit="1" customWidth="1"/>
    <col min="5898" max="5898" width="15.33203125" customWidth="1"/>
    <col min="5899" max="5899" width="17.6640625" customWidth="1"/>
    <col min="5900" max="5900" width="17" bestFit="1" customWidth="1"/>
    <col min="5901" max="5901" width="12.6640625" customWidth="1"/>
    <col min="5902" max="5902" width="13.6640625" customWidth="1"/>
    <col min="5903" max="5903" width="13.88671875" bestFit="1" customWidth="1"/>
    <col min="5904" max="5904" width="19.6640625" bestFit="1" customWidth="1"/>
    <col min="5905" max="5905" width="16.109375" customWidth="1"/>
    <col min="5906" max="5906" width="16.6640625" bestFit="1" customWidth="1"/>
    <col min="5907" max="5907" width="15.5546875" bestFit="1" customWidth="1"/>
    <col min="5908"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2.44140625" bestFit="1" customWidth="1"/>
    <col min="6150" max="6150" width="16.33203125" bestFit="1" customWidth="1"/>
    <col min="6151" max="6151" width="13.44140625" customWidth="1"/>
    <col min="6152" max="6152" width="15.33203125" bestFit="1" customWidth="1"/>
    <col min="6153" max="6153" width="14.109375" bestFit="1" customWidth="1"/>
    <col min="6154" max="6154" width="15.33203125" customWidth="1"/>
    <col min="6155" max="6155" width="17.6640625" customWidth="1"/>
    <col min="6156" max="6156" width="17" bestFit="1" customWidth="1"/>
    <col min="6157" max="6157" width="12.6640625" customWidth="1"/>
    <col min="6158" max="6158" width="13.6640625" customWidth="1"/>
    <col min="6159" max="6159" width="13.88671875" bestFit="1" customWidth="1"/>
    <col min="6160" max="6160" width="19.6640625" bestFit="1" customWidth="1"/>
    <col min="6161" max="6161" width="16.109375" customWidth="1"/>
    <col min="6162" max="6162" width="16.6640625" bestFit="1" customWidth="1"/>
    <col min="6163" max="6163" width="15.5546875" bestFit="1" customWidth="1"/>
    <col min="6164"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2.44140625" bestFit="1" customWidth="1"/>
    <col min="6406" max="6406" width="16.33203125" bestFit="1" customWidth="1"/>
    <col min="6407" max="6407" width="13.44140625" customWidth="1"/>
    <col min="6408" max="6408" width="15.33203125" bestFit="1" customWidth="1"/>
    <col min="6409" max="6409" width="14.109375" bestFit="1" customWidth="1"/>
    <col min="6410" max="6410" width="15.33203125" customWidth="1"/>
    <col min="6411" max="6411" width="17.6640625" customWidth="1"/>
    <col min="6412" max="6412" width="17" bestFit="1" customWidth="1"/>
    <col min="6413" max="6413" width="12.6640625" customWidth="1"/>
    <col min="6414" max="6414" width="13.6640625" customWidth="1"/>
    <col min="6415" max="6415" width="13.88671875" bestFit="1" customWidth="1"/>
    <col min="6416" max="6416" width="19.6640625" bestFit="1" customWidth="1"/>
    <col min="6417" max="6417" width="16.109375" customWidth="1"/>
    <col min="6418" max="6418" width="16.6640625" bestFit="1" customWidth="1"/>
    <col min="6419" max="6419" width="15.5546875" bestFit="1" customWidth="1"/>
    <col min="6420"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2.44140625" bestFit="1" customWidth="1"/>
    <col min="6662" max="6662" width="16.33203125" bestFit="1" customWidth="1"/>
    <col min="6663" max="6663" width="13.44140625" customWidth="1"/>
    <col min="6664" max="6664" width="15.33203125" bestFit="1" customWidth="1"/>
    <col min="6665" max="6665" width="14.109375" bestFit="1" customWidth="1"/>
    <col min="6666" max="6666" width="15.33203125" customWidth="1"/>
    <col min="6667" max="6667" width="17.6640625" customWidth="1"/>
    <col min="6668" max="6668" width="17" bestFit="1" customWidth="1"/>
    <col min="6669" max="6669" width="12.6640625" customWidth="1"/>
    <col min="6670" max="6670" width="13.6640625" customWidth="1"/>
    <col min="6671" max="6671" width="13.88671875" bestFit="1" customWidth="1"/>
    <col min="6672" max="6672" width="19.6640625" bestFit="1" customWidth="1"/>
    <col min="6673" max="6673" width="16.109375" customWidth="1"/>
    <col min="6674" max="6674" width="16.6640625" bestFit="1" customWidth="1"/>
    <col min="6675" max="6675" width="15.5546875" bestFit="1" customWidth="1"/>
    <col min="6676"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2.44140625" bestFit="1" customWidth="1"/>
    <col min="6918" max="6918" width="16.33203125" bestFit="1" customWidth="1"/>
    <col min="6919" max="6919" width="13.44140625" customWidth="1"/>
    <col min="6920" max="6920" width="15.33203125" bestFit="1" customWidth="1"/>
    <col min="6921" max="6921" width="14.109375" bestFit="1" customWidth="1"/>
    <col min="6922" max="6922" width="15.33203125" customWidth="1"/>
    <col min="6923" max="6923" width="17.6640625" customWidth="1"/>
    <col min="6924" max="6924" width="17" bestFit="1" customWidth="1"/>
    <col min="6925" max="6925" width="12.6640625" customWidth="1"/>
    <col min="6926" max="6926" width="13.6640625" customWidth="1"/>
    <col min="6927" max="6927" width="13.88671875" bestFit="1" customWidth="1"/>
    <col min="6928" max="6928" width="19.6640625" bestFit="1" customWidth="1"/>
    <col min="6929" max="6929" width="16.109375" customWidth="1"/>
    <col min="6930" max="6930" width="16.6640625" bestFit="1" customWidth="1"/>
    <col min="6931" max="6931" width="15.5546875" bestFit="1" customWidth="1"/>
    <col min="6932"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2.44140625" bestFit="1" customWidth="1"/>
    <col min="7174" max="7174" width="16.33203125" bestFit="1" customWidth="1"/>
    <col min="7175" max="7175" width="13.44140625" customWidth="1"/>
    <col min="7176" max="7176" width="15.33203125" bestFit="1" customWidth="1"/>
    <col min="7177" max="7177" width="14.109375" bestFit="1" customWidth="1"/>
    <col min="7178" max="7178" width="15.33203125" customWidth="1"/>
    <col min="7179" max="7179" width="17.6640625" customWidth="1"/>
    <col min="7180" max="7180" width="17" bestFit="1" customWidth="1"/>
    <col min="7181" max="7181" width="12.6640625" customWidth="1"/>
    <col min="7182" max="7182" width="13.6640625" customWidth="1"/>
    <col min="7183" max="7183" width="13.88671875" bestFit="1" customWidth="1"/>
    <col min="7184" max="7184" width="19.6640625" bestFit="1" customWidth="1"/>
    <col min="7185" max="7185" width="16.109375" customWidth="1"/>
    <col min="7186" max="7186" width="16.6640625" bestFit="1" customWidth="1"/>
    <col min="7187" max="7187" width="15.5546875" bestFit="1" customWidth="1"/>
    <col min="7188"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2.44140625" bestFit="1" customWidth="1"/>
    <col min="7430" max="7430" width="16.33203125" bestFit="1" customWidth="1"/>
    <col min="7431" max="7431" width="13.44140625" customWidth="1"/>
    <col min="7432" max="7432" width="15.33203125" bestFit="1" customWidth="1"/>
    <col min="7433" max="7433" width="14.109375" bestFit="1" customWidth="1"/>
    <col min="7434" max="7434" width="15.33203125" customWidth="1"/>
    <col min="7435" max="7435" width="17.6640625" customWidth="1"/>
    <col min="7436" max="7436" width="17" bestFit="1" customWidth="1"/>
    <col min="7437" max="7437" width="12.6640625" customWidth="1"/>
    <col min="7438" max="7438" width="13.6640625" customWidth="1"/>
    <col min="7439" max="7439" width="13.88671875" bestFit="1" customWidth="1"/>
    <col min="7440" max="7440" width="19.6640625" bestFit="1" customWidth="1"/>
    <col min="7441" max="7441" width="16.109375" customWidth="1"/>
    <col min="7442" max="7442" width="16.6640625" bestFit="1" customWidth="1"/>
    <col min="7443" max="7443" width="15.5546875" bestFit="1" customWidth="1"/>
    <col min="7444"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2.44140625" bestFit="1" customWidth="1"/>
    <col min="7686" max="7686" width="16.33203125" bestFit="1" customWidth="1"/>
    <col min="7687" max="7687" width="13.44140625" customWidth="1"/>
    <col min="7688" max="7688" width="15.33203125" bestFit="1" customWidth="1"/>
    <col min="7689" max="7689" width="14.109375" bestFit="1" customWidth="1"/>
    <col min="7690" max="7690" width="15.33203125" customWidth="1"/>
    <col min="7691" max="7691" width="17.6640625" customWidth="1"/>
    <col min="7692" max="7692" width="17" bestFit="1" customWidth="1"/>
    <col min="7693" max="7693" width="12.6640625" customWidth="1"/>
    <col min="7694" max="7694" width="13.6640625" customWidth="1"/>
    <col min="7695" max="7695" width="13.88671875" bestFit="1" customWidth="1"/>
    <col min="7696" max="7696" width="19.6640625" bestFit="1" customWidth="1"/>
    <col min="7697" max="7697" width="16.109375" customWidth="1"/>
    <col min="7698" max="7698" width="16.6640625" bestFit="1" customWidth="1"/>
    <col min="7699" max="7699" width="15.5546875" bestFit="1" customWidth="1"/>
    <col min="7700"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2.44140625" bestFit="1" customWidth="1"/>
    <col min="7942" max="7942" width="16.33203125" bestFit="1" customWidth="1"/>
    <col min="7943" max="7943" width="13.44140625" customWidth="1"/>
    <col min="7944" max="7944" width="15.33203125" bestFit="1" customWidth="1"/>
    <col min="7945" max="7945" width="14.109375" bestFit="1" customWidth="1"/>
    <col min="7946" max="7946" width="15.33203125" customWidth="1"/>
    <col min="7947" max="7947" width="17.6640625" customWidth="1"/>
    <col min="7948" max="7948" width="17" bestFit="1" customWidth="1"/>
    <col min="7949" max="7949" width="12.6640625" customWidth="1"/>
    <col min="7950" max="7950" width="13.6640625" customWidth="1"/>
    <col min="7951" max="7951" width="13.88671875" bestFit="1" customWidth="1"/>
    <col min="7952" max="7952" width="19.6640625" bestFit="1" customWidth="1"/>
    <col min="7953" max="7953" width="16.109375" customWidth="1"/>
    <col min="7954" max="7954" width="16.6640625" bestFit="1" customWidth="1"/>
    <col min="7955" max="7955" width="15.5546875" bestFit="1" customWidth="1"/>
    <col min="7956"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2.44140625" bestFit="1" customWidth="1"/>
    <col min="8198" max="8198" width="16.33203125" bestFit="1" customWidth="1"/>
    <col min="8199" max="8199" width="13.44140625" customWidth="1"/>
    <col min="8200" max="8200" width="15.33203125" bestFit="1" customWidth="1"/>
    <col min="8201" max="8201" width="14.109375" bestFit="1" customWidth="1"/>
    <col min="8202" max="8202" width="15.33203125" customWidth="1"/>
    <col min="8203" max="8203" width="17.6640625" customWidth="1"/>
    <col min="8204" max="8204" width="17" bestFit="1" customWidth="1"/>
    <col min="8205" max="8205" width="12.6640625" customWidth="1"/>
    <col min="8206" max="8206" width="13.6640625" customWidth="1"/>
    <col min="8207" max="8207" width="13.88671875" bestFit="1" customWidth="1"/>
    <col min="8208" max="8208" width="19.6640625" bestFit="1" customWidth="1"/>
    <col min="8209" max="8209" width="16.109375" customWidth="1"/>
    <col min="8210" max="8210" width="16.6640625" bestFit="1" customWidth="1"/>
    <col min="8211" max="8211" width="15.5546875" bestFit="1" customWidth="1"/>
    <col min="8212"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2.44140625" bestFit="1" customWidth="1"/>
    <col min="8454" max="8454" width="16.33203125" bestFit="1" customWidth="1"/>
    <col min="8455" max="8455" width="13.44140625" customWidth="1"/>
    <col min="8456" max="8456" width="15.33203125" bestFit="1" customWidth="1"/>
    <col min="8457" max="8457" width="14.109375" bestFit="1" customWidth="1"/>
    <col min="8458" max="8458" width="15.33203125" customWidth="1"/>
    <col min="8459" max="8459" width="17.6640625" customWidth="1"/>
    <col min="8460" max="8460" width="17" bestFit="1" customWidth="1"/>
    <col min="8461" max="8461" width="12.6640625" customWidth="1"/>
    <col min="8462" max="8462" width="13.6640625" customWidth="1"/>
    <col min="8463" max="8463" width="13.88671875" bestFit="1" customWidth="1"/>
    <col min="8464" max="8464" width="19.6640625" bestFit="1" customWidth="1"/>
    <col min="8465" max="8465" width="16.109375" customWidth="1"/>
    <col min="8466" max="8466" width="16.6640625" bestFit="1" customWidth="1"/>
    <col min="8467" max="8467" width="15.5546875" bestFit="1" customWidth="1"/>
    <col min="8468"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2.44140625" bestFit="1" customWidth="1"/>
    <col min="8710" max="8710" width="16.33203125" bestFit="1" customWidth="1"/>
    <col min="8711" max="8711" width="13.44140625" customWidth="1"/>
    <col min="8712" max="8712" width="15.33203125" bestFit="1" customWidth="1"/>
    <col min="8713" max="8713" width="14.109375" bestFit="1" customWidth="1"/>
    <col min="8714" max="8714" width="15.33203125" customWidth="1"/>
    <col min="8715" max="8715" width="17.6640625" customWidth="1"/>
    <col min="8716" max="8716" width="17" bestFit="1" customWidth="1"/>
    <col min="8717" max="8717" width="12.6640625" customWidth="1"/>
    <col min="8718" max="8718" width="13.6640625" customWidth="1"/>
    <col min="8719" max="8719" width="13.88671875" bestFit="1" customWidth="1"/>
    <col min="8720" max="8720" width="19.6640625" bestFit="1" customWidth="1"/>
    <col min="8721" max="8721" width="16.109375" customWidth="1"/>
    <col min="8722" max="8722" width="16.6640625" bestFit="1" customWidth="1"/>
    <col min="8723" max="8723" width="15.5546875" bestFit="1" customWidth="1"/>
    <col min="8724"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2.44140625" bestFit="1" customWidth="1"/>
    <col min="8966" max="8966" width="16.33203125" bestFit="1" customWidth="1"/>
    <col min="8967" max="8967" width="13.44140625" customWidth="1"/>
    <col min="8968" max="8968" width="15.33203125" bestFit="1" customWidth="1"/>
    <col min="8969" max="8969" width="14.109375" bestFit="1" customWidth="1"/>
    <col min="8970" max="8970" width="15.33203125" customWidth="1"/>
    <col min="8971" max="8971" width="17.6640625" customWidth="1"/>
    <col min="8972" max="8972" width="17" bestFit="1" customWidth="1"/>
    <col min="8973" max="8973" width="12.6640625" customWidth="1"/>
    <col min="8974" max="8974" width="13.6640625" customWidth="1"/>
    <col min="8975" max="8975" width="13.88671875" bestFit="1" customWidth="1"/>
    <col min="8976" max="8976" width="19.6640625" bestFit="1" customWidth="1"/>
    <col min="8977" max="8977" width="16.109375" customWidth="1"/>
    <col min="8978" max="8978" width="16.6640625" bestFit="1" customWidth="1"/>
    <col min="8979" max="8979" width="15.5546875" bestFit="1" customWidth="1"/>
    <col min="8980"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2.44140625" bestFit="1" customWidth="1"/>
    <col min="9222" max="9222" width="16.33203125" bestFit="1" customWidth="1"/>
    <col min="9223" max="9223" width="13.44140625" customWidth="1"/>
    <col min="9224" max="9224" width="15.33203125" bestFit="1" customWidth="1"/>
    <col min="9225" max="9225" width="14.109375" bestFit="1" customWidth="1"/>
    <col min="9226" max="9226" width="15.33203125" customWidth="1"/>
    <col min="9227" max="9227" width="17.6640625" customWidth="1"/>
    <col min="9228" max="9228" width="17" bestFit="1" customWidth="1"/>
    <col min="9229" max="9229" width="12.6640625" customWidth="1"/>
    <col min="9230" max="9230" width="13.6640625" customWidth="1"/>
    <col min="9231" max="9231" width="13.88671875" bestFit="1" customWidth="1"/>
    <col min="9232" max="9232" width="19.6640625" bestFit="1" customWidth="1"/>
    <col min="9233" max="9233" width="16.109375" customWidth="1"/>
    <col min="9234" max="9234" width="16.6640625" bestFit="1" customWidth="1"/>
    <col min="9235" max="9235" width="15.5546875" bestFit="1" customWidth="1"/>
    <col min="9236"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2.44140625" bestFit="1" customWidth="1"/>
    <col min="9478" max="9478" width="16.33203125" bestFit="1" customWidth="1"/>
    <col min="9479" max="9479" width="13.44140625" customWidth="1"/>
    <col min="9480" max="9480" width="15.33203125" bestFit="1" customWidth="1"/>
    <col min="9481" max="9481" width="14.109375" bestFit="1" customWidth="1"/>
    <col min="9482" max="9482" width="15.33203125" customWidth="1"/>
    <col min="9483" max="9483" width="17.6640625" customWidth="1"/>
    <col min="9484" max="9484" width="17" bestFit="1" customWidth="1"/>
    <col min="9485" max="9485" width="12.6640625" customWidth="1"/>
    <col min="9486" max="9486" width="13.6640625" customWidth="1"/>
    <col min="9487" max="9487" width="13.88671875" bestFit="1" customWidth="1"/>
    <col min="9488" max="9488" width="19.6640625" bestFit="1" customWidth="1"/>
    <col min="9489" max="9489" width="16.109375" customWidth="1"/>
    <col min="9490" max="9490" width="16.6640625" bestFit="1" customWidth="1"/>
    <col min="9491" max="9491" width="15.5546875" bestFit="1" customWidth="1"/>
    <col min="9492"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2.44140625" bestFit="1" customWidth="1"/>
    <col min="9734" max="9734" width="16.33203125" bestFit="1" customWidth="1"/>
    <col min="9735" max="9735" width="13.44140625" customWidth="1"/>
    <col min="9736" max="9736" width="15.33203125" bestFit="1" customWidth="1"/>
    <col min="9737" max="9737" width="14.109375" bestFit="1" customWidth="1"/>
    <col min="9738" max="9738" width="15.33203125" customWidth="1"/>
    <col min="9739" max="9739" width="17.6640625" customWidth="1"/>
    <col min="9740" max="9740" width="17" bestFit="1" customWidth="1"/>
    <col min="9741" max="9741" width="12.6640625" customWidth="1"/>
    <col min="9742" max="9742" width="13.6640625" customWidth="1"/>
    <col min="9743" max="9743" width="13.88671875" bestFit="1" customWidth="1"/>
    <col min="9744" max="9744" width="19.6640625" bestFit="1" customWidth="1"/>
    <col min="9745" max="9745" width="16.109375" customWidth="1"/>
    <col min="9746" max="9746" width="16.6640625" bestFit="1" customWidth="1"/>
    <col min="9747" max="9747" width="15.5546875" bestFit="1" customWidth="1"/>
    <col min="9748"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2.44140625" bestFit="1" customWidth="1"/>
    <col min="9990" max="9990" width="16.33203125" bestFit="1" customWidth="1"/>
    <col min="9991" max="9991" width="13.44140625" customWidth="1"/>
    <col min="9992" max="9992" width="15.33203125" bestFit="1" customWidth="1"/>
    <col min="9993" max="9993" width="14.109375" bestFit="1" customWidth="1"/>
    <col min="9994" max="9994" width="15.33203125" customWidth="1"/>
    <col min="9995" max="9995" width="17.6640625" customWidth="1"/>
    <col min="9996" max="9996" width="17" bestFit="1" customWidth="1"/>
    <col min="9997" max="9997" width="12.6640625" customWidth="1"/>
    <col min="9998" max="9998" width="13.6640625" customWidth="1"/>
    <col min="9999" max="9999" width="13.88671875" bestFit="1" customWidth="1"/>
    <col min="10000" max="10000" width="19.6640625" bestFit="1" customWidth="1"/>
    <col min="10001" max="10001" width="16.109375" customWidth="1"/>
    <col min="10002" max="10002" width="16.6640625" bestFit="1" customWidth="1"/>
    <col min="10003" max="10003" width="15.5546875" bestFit="1" customWidth="1"/>
    <col min="10004"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2.44140625" bestFit="1" customWidth="1"/>
    <col min="10246" max="10246" width="16.33203125" bestFit="1" customWidth="1"/>
    <col min="10247" max="10247" width="13.44140625" customWidth="1"/>
    <col min="10248" max="10248" width="15.33203125" bestFit="1" customWidth="1"/>
    <col min="10249" max="10249" width="14.109375" bestFit="1" customWidth="1"/>
    <col min="10250" max="10250" width="15.33203125" customWidth="1"/>
    <col min="10251" max="10251" width="17.6640625" customWidth="1"/>
    <col min="10252" max="10252" width="17" bestFit="1" customWidth="1"/>
    <col min="10253" max="10253" width="12.6640625" customWidth="1"/>
    <col min="10254" max="10254" width="13.6640625" customWidth="1"/>
    <col min="10255" max="10255" width="13.88671875" bestFit="1" customWidth="1"/>
    <col min="10256" max="10256" width="19.6640625" bestFit="1" customWidth="1"/>
    <col min="10257" max="10257" width="16.109375" customWidth="1"/>
    <col min="10258" max="10258" width="16.6640625" bestFit="1" customWidth="1"/>
    <col min="10259" max="10259" width="15.5546875" bestFit="1" customWidth="1"/>
    <col min="10260"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2.44140625" bestFit="1" customWidth="1"/>
    <col min="10502" max="10502" width="16.33203125" bestFit="1" customWidth="1"/>
    <col min="10503" max="10503" width="13.44140625" customWidth="1"/>
    <col min="10504" max="10504" width="15.33203125" bestFit="1" customWidth="1"/>
    <col min="10505" max="10505" width="14.109375" bestFit="1" customWidth="1"/>
    <col min="10506" max="10506" width="15.33203125" customWidth="1"/>
    <col min="10507" max="10507" width="17.6640625" customWidth="1"/>
    <col min="10508" max="10508" width="17" bestFit="1" customWidth="1"/>
    <col min="10509" max="10509" width="12.6640625" customWidth="1"/>
    <col min="10510" max="10510" width="13.6640625" customWidth="1"/>
    <col min="10511" max="10511" width="13.88671875" bestFit="1" customWidth="1"/>
    <col min="10512" max="10512" width="19.6640625" bestFit="1" customWidth="1"/>
    <col min="10513" max="10513" width="16.109375" customWidth="1"/>
    <col min="10514" max="10514" width="16.6640625" bestFit="1" customWidth="1"/>
    <col min="10515" max="10515" width="15.5546875" bestFit="1" customWidth="1"/>
    <col min="10516"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2.44140625" bestFit="1" customWidth="1"/>
    <col min="10758" max="10758" width="16.33203125" bestFit="1" customWidth="1"/>
    <col min="10759" max="10759" width="13.44140625" customWidth="1"/>
    <col min="10760" max="10760" width="15.33203125" bestFit="1" customWidth="1"/>
    <col min="10761" max="10761" width="14.109375" bestFit="1" customWidth="1"/>
    <col min="10762" max="10762" width="15.33203125" customWidth="1"/>
    <col min="10763" max="10763" width="17.6640625" customWidth="1"/>
    <col min="10764" max="10764" width="17" bestFit="1" customWidth="1"/>
    <col min="10765" max="10765" width="12.6640625" customWidth="1"/>
    <col min="10766" max="10766" width="13.6640625" customWidth="1"/>
    <col min="10767" max="10767" width="13.88671875" bestFit="1" customWidth="1"/>
    <col min="10768" max="10768" width="19.6640625" bestFit="1" customWidth="1"/>
    <col min="10769" max="10769" width="16.109375" customWidth="1"/>
    <col min="10770" max="10770" width="16.6640625" bestFit="1" customWidth="1"/>
    <col min="10771" max="10771" width="15.5546875" bestFit="1" customWidth="1"/>
    <col min="10772"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2.44140625" bestFit="1" customWidth="1"/>
    <col min="11014" max="11014" width="16.33203125" bestFit="1" customWidth="1"/>
    <col min="11015" max="11015" width="13.44140625" customWidth="1"/>
    <col min="11016" max="11016" width="15.33203125" bestFit="1" customWidth="1"/>
    <col min="11017" max="11017" width="14.109375" bestFit="1" customWidth="1"/>
    <col min="11018" max="11018" width="15.33203125" customWidth="1"/>
    <col min="11019" max="11019" width="17.6640625" customWidth="1"/>
    <col min="11020" max="11020" width="17" bestFit="1" customWidth="1"/>
    <col min="11021" max="11021" width="12.6640625" customWidth="1"/>
    <col min="11022" max="11022" width="13.6640625" customWidth="1"/>
    <col min="11023" max="11023" width="13.88671875" bestFit="1" customWidth="1"/>
    <col min="11024" max="11024" width="19.6640625" bestFit="1" customWidth="1"/>
    <col min="11025" max="11025" width="16.109375" customWidth="1"/>
    <col min="11026" max="11026" width="16.6640625" bestFit="1" customWidth="1"/>
    <col min="11027" max="11027" width="15.5546875" bestFit="1" customWidth="1"/>
    <col min="11028"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2.44140625" bestFit="1" customWidth="1"/>
    <col min="11270" max="11270" width="16.33203125" bestFit="1" customWidth="1"/>
    <col min="11271" max="11271" width="13.44140625" customWidth="1"/>
    <col min="11272" max="11272" width="15.33203125" bestFit="1" customWidth="1"/>
    <col min="11273" max="11273" width="14.109375" bestFit="1" customWidth="1"/>
    <col min="11274" max="11274" width="15.33203125" customWidth="1"/>
    <col min="11275" max="11275" width="17.6640625" customWidth="1"/>
    <col min="11276" max="11276" width="17" bestFit="1" customWidth="1"/>
    <col min="11277" max="11277" width="12.6640625" customWidth="1"/>
    <col min="11278" max="11278" width="13.6640625" customWidth="1"/>
    <col min="11279" max="11279" width="13.88671875" bestFit="1" customWidth="1"/>
    <col min="11280" max="11280" width="19.6640625" bestFit="1" customWidth="1"/>
    <col min="11281" max="11281" width="16.109375" customWidth="1"/>
    <col min="11282" max="11282" width="16.6640625" bestFit="1" customWidth="1"/>
    <col min="11283" max="11283" width="15.5546875" bestFit="1" customWidth="1"/>
    <col min="11284"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2.44140625" bestFit="1" customWidth="1"/>
    <col min="11526" max="11526" width="16.33203125" bestFit="1" customWidth="1"/>
    <col min="11527" max="11527" width="13.44140625" customWidth="1"/>
    <col min="11528" max="11528" width="15.33203125" bestFit="1" customWidth="1"/>
    <col min="11529" max="11529" width="14.109375" bestFit="1" customWidth="1"/>
    <col min="11530" max="11530" width="15.33203125" customWidth="1"/>
    <col min="11531" max="11531" width="17.6640625" customWidth="1"/>
    <col min="11532" max="11532" width="17" bestFit="1" customWidth="1"/>
    <col min="11533" max="11533" width="12.6640625" customWidth="1"/>
    <col min="11534" max="11534" width="13.6640625" customWidth="1"/>
    <col min="11535" max="11535" width="13.88671875" bestFit="1" customWidth="1"/>
    <col min="11536" max="11536" width="19.6640625" bestFit="1" customWidth="1"/>
    <col min="11537" max="11537" width="16.109375" customWidth="1"/>
    <col min="11538" max="11538" width="16.6640625" bestFit="1" customWidth="1"/>
    <col min="11539" max="11539" width="15.5546875" bestFit="1" customWidth="1"/>
    <col min="11540"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2.44140625" bestFit="1" customWidth="1"/>
    <col min="11782" max="11782" width="16.33203125" bestFit="1" customWidth="1"/>
    <col min="11783" max="11783" width="13.44140625" customWidth="1"/>
    <col min="11784" max="11784" width="15.33203125" bestFit="1" customWidth="1"/>
    <col min="11785" max="11785" width="14.109375" bestFit="1" customWidth="1"/>
    <col min="11786" max="11786" width="15.33203125" customWidth="1"/>
    <col min="11787" max="11787" width="17.6640625" customWidth="1"/>
    <col min="11788" max="11788" width="17" bestFit="1" customWidth="1"/>
    <col min="11789" max="11789" width="12.6640625" customWidth="1"/>
    <col min="11790" max="11790" width="13.6640625" customWidth="1"/>
    <col min="11791" max="11791" width="13.88671875" bestFit="1" customWidth="1"/>
    <col min="11792" max="11792" width="19.6640625" bestFit="1" customWidth="1"/>
    <col min="11793" max="11793" width="16.109375" customWidth="1"/>
    <col min="11794" max="11794" width="16.6640625" bestFit="1" customWidth="1"/>
    <col min="11795" max="11795" width="15.5546875" bestFit="1" customWidth="1"/>
    <col min="11796"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2.44140625" bestFit="1" customWidth="1"/>
    <col min="12038" max="12038" width="16.33203125" bestFit="1" customWidth="1"/>
    <col min="12039" max="12039" width="13.44140625" customWidth="1"/>
    <col min="12040" max="12040" width="15.33203125" bestFit="1" customWidth="1"/>
    <col min="12041" max="12041" width="14.109375" bestFit="1" customWidth="1"/>
    <col min="12042" max="12042" width="15.33203125" customWidth="1"/>
    <col min="12043" max="12043" width="17.6640625" customWidth="1"/>
    <col min="12044" max="12044" width="17" bestFit="1" customWidth="1"/>
    <col min="12045" max="12045" width="12.6640625" customWidth="1"/>
    <col min="12046" max="12046" width="13.6640625" customWidth="1"/>
    <col min="12047" max="12047" width="13.88671875" bestFit="1" customWidth="1"/>
    <col min="12048" max="12048" width="19.6640625" bestFit="1" customWidth="1"/>
    <col min="12049" max="12049" width="16.109375" customWidth="1"/>
    <col min="12050" max="12050" width="16.6640625" bestFit="1" customWidth="1"/>
    <col min="12051" max="12051" width="15.5546875" bestFit="1" customWidth="1"/>
    <col min="12052"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2.44140625" bestFit="1" customWidth="1"/>
    <col min="12294" max="12294" width="16.33203125" bestFit="1" customWidth="1"/>
    <col min="12295" max="12295" width="13.44140625" customWidth="1"/>
    <col min="12296" max="12296" width="15.33203125" bestFit="1" customWidth="1"/>
    <col min="12297" max="12297" width="14.109375" bestFit="1" customWidth="1"/>
    <col min="12298" max="12298" width="15.33203125" customWidth="1"/>
    <col min="12299" max="12299" width="17.6640625" customWidth="1"/>
    <col min="12300" max="12300" width="17" bestFit="1" customWidth="1"/>
    <col min="12301" max="12301" width="12.6640625" customWidth="1"/>
    <col min="12302" max="12302" width="13.6640625" customWidth="1"/>
    <col min="12303" max="12303" width="13.88671875" bestFit="1" customWidth="1"/>
    <col min="12304" max="12304" width="19.6640625" bestFit="1" customWidth="1"/>
    <col min="12305" max="12305" width="16.109375" customWidth="1"/>
    <col min="12306" max="12306" width="16.6640625" bestFit="1" customWidth="1"/>
    <col min="12307" max="12307" width="15.5546875" bestFit="1" customWidth="1"/>
    <col min="12308"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2.44140625" bestFit="1" customWidth="1"/>
    <col min="12550" max="12550" width="16.33203125" bestFit="1" customWidth="1"/>
    <col min="12551" max="12551" width="13.44140625" customWidth="1"/>
    <col min="12552" max="12552" width="15.33203125" bestFit="1" customWidth="1"/>
    <col min="12553" max="12553" width="14.109375" bestFit="1" customWidth="1"/>
    <col min="12554" max="12554" width="15.33203125" customWidth="1"/>
    <col min="12555" max="12555" width="17.6640625" customWidth="1"/>
    <col min="12556" max="12556" width="17" bestFit="1" customWidth="1"/>
    <col min="12557" max="12557" width="12.6640625" customWidth="1"/>
    <col min="12558" max="12558" width="13.6640625" customWidth="1"/>
    <col min="12559" max="12559" width="13.88671875" bestFit="1" customWidth="1"/>
    <col min="12560" max="12560" width="19.6640625" bestFit="1" customWidth="1"/>
    <col min="12561" max="12561" width="16.109375" customWidth="1"/>
    <col min="12562" max="12562" width="16.6640625" bestFit="1" customWidth="1"/>
    <col min="12563" max="12563" width="15.5546875" bestFit="1" customWidth="1"/>
    <col min="12564"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2.44140625" bestFit="1" customWidth="1"/>
    <col min="12806" max="12806" width="16.33203125" bestFit="1" customWidth="1"/>
    <col min="12807" max="12807" width="13.44140625" customWidth="1"/>
    <col min="12808" max="12808" width="15.33203125" bestFit="1" customWidth="1"/>
    <col min="12809" max="12809" width="14.109375" bestFit="1" customWidth="1"/>
    <col min="12810" max="12810" width="15.33203125" customWidth="1"/>
    <col min="12811" max="12811" width="17.6640625" customWidth="1"/>
    <col min="12812" max="12812" width="17" bestFit="1" customWidth="1"/>
    <col min="12813" max="12813" width="12.6640625" customWidth="1"/>
    <col min="12814" max="12814" width="13.6640625" customWidth="1"/>
    <col min="12815" max="12815" width="13.88671875" bestFit="1" customWidth="1"/>
    <col min="12816" max="12816" width="19.6640625" bestFit="1" customWidth="1"/>
    <col min="12817" max="12817" width="16.109375" customWidth="1"/>
    <col min="12818" max="12818" width="16.6640625" bestFit="1" customWidth="1"/>
    <col min="12819" max="12819" width="15.5546875" bestFit="1" customWidth="1"/>
    <col min="12820"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2.44140625" bestFit="1" customWidth="1"/>
    <col min="13062" max="13062" width="16.33203125" bestFit="1" customWidth="1"/>
    <col min="13063" max="13063" width="13.44140625" customWidth="1"/>
    <col min="13064" max="13064" width="15.33203125" bestFit="1" customWidth="1"/>
    <col min="13065" max="13065" width="14.109375" bestFit="1" customWidth="1"/>
    <col min="13066" max="13066" width="15.33203125" customWidth="1"/>
    <col min="13067" max="13067" width="17.6640625" customWidth="1"/>
    <col min="13068" max="13068" width="17" bestFit="1" customWidth="1"/>
    <col min="13069" max="13069" width="12.6640625" customWidth="1"/>
    <col min="13070" max="13070" width="13.6640625" customWidth="1"/>
    <col min="13071" max="13071" width="13.88671875" bestFit="1" customWidth="1"/>
    <col min="13072" max="13072" width="19.6640625" bestFit="1" customWidth="1"/>
    <col min="13073" max="13073" width="16.109375" customWidth="1"/>
    <col min="13074" max="13074" width="16.6640625" bestFit="1" customWidth="1"/>
    <col min="13075" max="13075" width="15.5546875" bestFit="1" customWidth="1"/>
    <col min="13076"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2.44140625" bestFit="1" customWidth="1"/>
    <col min="13318" max="13318" width="16.33203125" bestFit="1" customWidth="1"/>
    <col min="13319" max="13319" width="13.44140625" customWidth="1"/>
    <col min="13320" max="13320" width="15.33203125" bestFit="1" customWidth="1"/>
    <col min="13321" max="13321" width="14.109375" bestFit="1" customWidth="1"/>
    <col min="13322" max="13322" width="15.33203125" customWidth="1"/>
    <col min="13323" max="13323" width="17.6640625" customWidth="1"/>
    <col min="13324" max="13324" width="17" bestFit="1" customWidth="1"/>
    <col min="13325" max="13325" width="12.6640625" customWidth="1"/>
    <col min="13326" max="13326" width="13.6640625" customWidth="1"/>
    <col min="13327" max="13327" width="13.88671875" bestFit="1" customWidth="1"/>
    <col min="13328" max="13328" width="19.6640625" bestFit="1" customWidth="1"/>
    <col min="13329" max="13329" width="16.109375" customWidth="1"/>
    <col min="13330" max="13330" width="16.6640625" bestFit="1" customWidth="1"/>
    <col min="13331" max="13331" width="15.5546875" bestFit="1" customWidth="1"/>
    <col min="13332"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2.44140625" bestFit="1" customWidth="1"/>
    <col min="13574" max="13574" width="16.33203125" bestFit="1" customWidth="1"/>
    <col min="13575" max="13575" width="13.44140625" customWidth="1"/>
    <col min="13576" max="13576" width="15.33203125" bestFit="1" customWidth="1"/>
    <col min="13577" max="13577" width="14.109375" bestFit="1" customWidth="1"/>
    <col min="13578" max="13578" width="15.33203125" customWidth="1"/>
    <col min="13579" max="13579" width="17.6640625" customWidth="1"/>
    <col min="13580" max="13580" width="17" bestFit="1" customWidth="1"/>
    <col min="13581" max="13581" width="12.6640625" customWidth="1"/>
    <col min="13582" max="13582" width="13.6640625" customWidth="1"/>
    <col min="13583" max="13583" width="13.88671875" bestFit="1" customWidth="1"/>
    <col min="13584" max="13584" width="19.6640625" bestFit="1" customWidth="1"/>
    <col min="13585" max="13585" width="16.109375" customWidth="1"/>
    <col min="13586" max="13586" width="16.6640625" bestFit="1" customWidth="1"/>
    <col min="13587" max="13587" width="15.5546875" bestFit="1" customWidth="1"/>
    <col min="13588"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2.44140625" bestFit="1" customWidth="1"/>
    <col min="13830" max="13830" width="16.33203125" bestFit="1" customWidth="1"/>
    <col min="13831" max="13831" width="13.44140625" customWidth="1"/>
    <col min="13832" max="13832" width="15.33203125" bestFit="1" customWidth="1"/>
    <col min="13833" max="13833" width="14.109375" bestFit="1" customWidth="1"/>
    <col min="13834" max="13834" width="15.33203125" customWidth="1"/>
    <col min="13835" max="13835" width="17.6640625" customWidth="1"/>
    <col min="13836" max="13836" width="17" bestFit="1" customWidth="1"/>
    <col min="13837" max="13837" width="12.6640625" customWidth="1"/>
    <col min="13838" max="13838" width="13.6640625" customWidth="1"/>
    <col min="13839" max="13839" width="13.88671875" bestFit="1" customWidth="1"/>
    <col min="13840" max="13840" width="19.6640625" bestFit="1" customWidth="1"/>
    <col min="13841" max="13841" width="16.109375" customWidth="1"/>
    <col min="13842" max="13842" width="16.6640625" bestFit="1" customWidth="1"/>
    <col min="13843" max="13843" width="15.5546875" bestFit="1" customWidth="1"/>
    <col min="13844"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2.44140625" bestFit="1" customWidth="1"/>
    <col min="14086" max="14086" width="16.33203125" bestFit="1" customWidth="1"/>
    <col min="14087" max="14087" width="13.44140625" customWidth="1"/>
    <col min="14088" max="14088" width="15.33203125" bestFit="1" customWidth="1"/>
    <col min="14089" max="14089" width="14.109375" bestFit="1" customWidth="1"/>
    <col min="14090" max="14090" width="15.33203125" customWidth="1"/>
    <col min="14091" max="14091" width="17.6640625" customWidth="1"/>
    <col min="14092" max="14092" width="17" bestFit="1" customWidth="1"/>
    <col min="14093" max="14093" width="12.6640625" customWidth="1"/>
    <col min="14094" max="14094" width="13.6640625" customWidth="1"/>
    <col min="14095" max="14095" width="13.88671875" bestFit="1" customWidth="1"/>
    <col min="14096" max="14096" width="19.6640625" bestFit="1" customWidth="1"/>
    <col min="14097" max="14097" width="16.109375" customWidth="1"/>
    <col min="14098" max="14098" width="16.6640625" bestFit="1" customWidth="1"/>
    <col min="14099" max="14099" width="15.5546875" bestFit="1" customWidth="1"/>
    <col min="14100"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2.44140625" bestFit="1" customWidth="1"/>
    <col min="14342" max="14342" width="16.33203125" bestFit="1" customWidth="1"/>
    <col min="14343" max="14343" width="13.44140625" customWidth="1"/>
    <col min="14344" max="14344" width="15.33203125" bestFit="1" customWidth="1"/>
    <col min="14345" max="14345" width="14.109375" bestFit="1" customWidth="1"/>
    <col min="14346" max="14346" width="15.33203125" customWidth="1"/>
    <col min="14347" max="14347" width="17.6640625" customWidth="1"/>
    <col min="14348" max="14348" width="17" bestFit="1" customWidth="1"/>
    <col min="14349" max="14349" width="12.6640625" customWidth="1"/>
    <col min="14350" max="14350" width="13.6640625" customWidth="1"/>
    <col min="14351" max="14351" width="13.88671875" bestFit="1" customWidth="1"/>
    <col min="14352" max="14352" width="19.6640625" bestFit="1" customWidth="1"/>
    <col min="14353" max="14353" width="16.109375" customWidth="1"/>
    <col min="14354" max="14354" width="16.6640625" bestFit="1" customWidth="1"/>
    <col min="14355" max="14355" width="15.5546875" bestFit="1" customWidth="1"/>
    <col min="14356"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2.44140625" bestFit="1" customWidth="1"/>
    <col min="14598" max="14598" width="16.33203125" bestFit="1" customWidth="1"/>
    <col min="14599" max="14599" width="13.44140625" customWidth="1"/>
    <col min="14600" max="14600" width="15.33203125" bestFit="1" customWidth="1"/>
    <col min="14601" max="14601" width="14.109375" bestFit="1" customWidth="1"/>
    <col min="14602" max="14602" width="15.33203125" customWidth="1"/>
    <col min="14603" max="14603" width="17.6640625" customWidth="1"/>
    <col min="14604" max="14604" width="17" bestFit="1" customWidth="1"/>
    <col min="14605" max="14605" width="12.6640625" customWidth="1"/>
    <col min="14606" max="14606" width="13.6640625" customWidth="1"/>
    <col min="14607" max="14607" width="13.88671875" bestFit="1" customWidth="1"/>
    <col min="14608" max="14608" width="19.6640625" bestFit="1" customWidth="1"/>
    <col min="14609" max="14609" width="16.109375" customWidth="1"/>
    <col min="14610" max="14610" width="16.6640625" bestFit="1" customWidth="1"/>
    <col min="14611" max="14611" width="15.5546875" bestFit="1" customWidth="1"/>
    <col min="14612"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2.44140625" bestFit="1" customWidth="1"/>
    <col min="14854" max="14854" width="16.33203125" bestFit="1" customWidth="1"/>
    <col min="14855" max="14855" width="13.44140625" customWidth="1"/>
    <col min="14856" max="14856" width="15.33203125" bestFit="1" customWidth="1"/>
    <col min="14857" max="14857" width="14.109375" bestFit="1" customWidth="1"/>
    <col min="14858" max="14858" width="15.33203125" customWidth="1"/>
    <col min="14859" max="14859" width="17.6640625" customWidth="1"/>
    <col min="14860" max="14860" width="17" bestFit="1" customWidth="1"/>
    <col min="14861" max="14861" width="12.6640625" customWidth="1"/>
    <col min="14862" max="14862" width="13.6640625" customWidth="1"/>
    <col min="14863" max="14863" width="13.88671875" bestFit="1" customWidth="1"/>
    <col min="14864" max="14864" width="19.6640625" bestFit="1" customWidth="1"/>
    <col min="14865" max="14865" width="16.109375" customWidth="1"/>
    <col min="14866" max="14866" width="16.6640625" bestFit="1" customWidth="1"/>
    <col min="14867" max="14867" width="15.5546875" bestFit="1" customWidth="1"/>
    <col min="14868"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2.44140625" bestFit="1" customWidth="1"/>
    <col min="15110" max="15110" width="16.33203125" bestFit="1" customWidth="1"/>
    <col min="15111" max="15111" width="13.44140625" customWidth="1"/>
    <col min="15112" max="15112" width="15.33203125" bestFit="1" customWidth="1"/>
    <col min="15113" max="15113" width="14.109375" bestFit="1" customWidth="1"/>
    <col min="15114" max="15114" width="15.33203125" customWidth="1"/>
    <col min="15115" max="15115" width="17.6640625" customWidth="1"/>
    <col min="15116" max="15116" width="17" bestFit="1" customWidth="1"/>
    <col min="15117" max="15117" width="12.6640625" customWidth="1"/>
    <col min="15118" max="15118" width="13.6640625" customWidth="1"/>
    <col min="15119" max="15119" width="13.88671875" bestFit="1" customWidth="1"/>
    <col min="15120" max="15120" width="19.6640625" bestFit="1" customWidth="1"/>
    <col min="15121" max="15121" width="16.109375" customWidth="1"/>
    <col min="15122" max="15122" width="16.6640625" bestFit="1" customWidth="1"/>
    <col min="15123" max="15123" width="15.5546875" bestFit="1" customWidth="1"/>
    <col min="15124"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2.44140625" bestFit="1" customWidth="1"/>
    <col min="15366" max="15366" width="16.33203125" bestFit="1" customWidth="1"/>
    <col min="15367" max="15367" width="13.44140625" customWidth="1"/>
    <col min="15368" max="15368" width="15.33203125" bestFit="1" customWidth="1"/>
    <col min="15369" max="15369" width="14.109375" bestFit="1" customWidth="1"/>
    <col min="15370" max="15370" width="15.33203125" customWidth="1"/>
    <col min="15371" max="15371" width="17.6640625" customWidth="1"/>
    <col min="15372" max="15372" width="17" bestFit="1" customWidth="1"/>
    <col min="15373" max="15373" width="12.6640625" customWidth="1"/>
    <col min="15374" max="15374" width="13.6640625" customWidth="1"/>
    <col min="15375" max="15375" width="13.88671875" bestFit="1" customWidth="1"/>
    <col min="15376" max="15376" width="19.6640625" bestFit="1" customWidth="1"/>
    <col min="15377" max="15377" width="16.109375" customWidth="1"/>
    <col min="15378" max="15378" width="16.6640625" bestFit="1" customWidth="1"/>
    <col min="15379" max="15379" width="15.5546875" bestFit="1" customWidth="1"/>
    <col min="15380"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2.44140625" bestFit="1" customWidth="1"/>
    <col min="15622" max="15622" width="16.33203125" bestFit="1" customWidth="1"/>
    <col min="15623" max="15623" width="13.44140625" customWidth="1"/>
    <col min="15624" max="15624" width="15.33203125" bestFit="1" customWidth="1"/>
    <col min="15625" max="15625" width="14.109375" bestFit="1" customWidth="1"/>
    <col min="15626" max="15626" width="15.33203125" customWidth="1"/>
    <col min="15627" max="15627" width="17.6640625" customWidth="1"/>
    <col min="15628" max="15628" width="17" bestFit="1" customWidth="1"/>
    <col min="15629" max="15629" width="12.6640625" customWidth="1"/>
    <col min="15630" max="15630" width="13.6640625" customWidth="1"/>
    <col min="15631" max="15631" width="13.88671875" bestFit="1" customWidth="1"/>
    <col min="15632" max="15632" width="19.6640625" bestFit="1" customWidth="1"/>
    <col min="15633" max="15633" width="16.109375" customWidth="1"/>
    <col min="15634" max="15634" width="16.6640625" bestFit="1" customWidth="1"/>
    <col min="15635" max="15635" width="15.5546875" bestFit="1" customWidth="1"/>
    <col min="15636"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2.44140625" bestFit="1" customWidth="1"/>
    <col min="15878" max="15878" width="16.33203125" bestFit="1" customWidth="1"/>
    <col min="15879" max="15879" width="13.44140625" customWidth="1"/>
    <col min="15880" max="15880" width="15.33203125" bestFit="1" customWidth="1"/>
    <col min="15881" max="15881" width="14.109375" bestFit="1" customWidth="1"/>
    <col min="15882" max="15882" width="15.33203125" customWidth="1"/>
    <col min="15883" max="15883" width="17.6640625" customWidth="1"/>
    <col min="15884" max="15884" width="17" bestFit="1" customWidth="1"/>
    <col min="15885" max="15885" width="12.6640625" customWidth="1"/>
    <col min="15886" max="15886" width="13.6640625" customWidth="1"/>
    <col min="15887" max="15887" width="13.88671875" bestFit="1" customWidth="1"/>
    <col min="15888" max="15888" width="19.6640625" bestFit="1" customWidth="1"/>
    <col min="15889" max="15889" width="16.109375" customWidth="1"/>
    <col min="15890" max="15890" width="16.6640625" bestFit="1" customWidth="1"/>
    <col min="15891" max="15891" width="15.5546875" bestFit="1" customWidth="1"/>
    <col min="15892"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2.44140625" bestFit="1" customWidth="1"/>
    <col min="16134" max="16134" width="16.33203125" bestFit="1" customWidth="1"/>
    <col min="16135" max="16135" width="13.44140625" customWidth="1"/>
    <col min="16136" max="16136" width="15.33203125" bestFit="1" customWidth="1"/>
    <col min="16137" max="16137" width="14.109375" bestFit="1" customWidth="1"/>
    <col min="16138" max="16138" width="15.33203125" customWidth="1"/>
    <col min="16139" max="16139" width="17.6640625" customWidth="1"/>
    <col min="16140" max="16140" width="17" bestFit="1" customWidth="1"/>
    <col min="16141" max="16141" width="12.6640625" customWidth="1"/>
    <col min="16142" max="16142" width="13.6640625" customWidth="1"/>
    <col min="16143" max="16143" width="13.88671875" bestFit="1" customWidth="1"/>
    <col min="16144" max="16144" width="19.6640625" bestFit="1" customWidth="1"/>
    <col min="16145" max="16145" width="16.109375" customWidth="1"/>
    <col min="16146" max="16146" width="16.6640625" bestFit="1" customWidth="1"/>
    <col min="16147" max="16147" width="15.5546875" bestFit="1" customWidth="1"/>
    <col min="16148"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75" customHeight="1" thickBot="1" x14ac:dyDescent="0.35">
      <c r="B1" s="3881"/>
      <c r="F1" s="202"/>
      <c r="G1" s="202">
        <f>C3</f>
        <v>18230700</v>
      </c>
      <c r="H1" s="202" t="str">
        <f>C4</f>
        <v>Residential Showerheads Gas</v>
      </c>
      <c r="I1" s="202"/>
    </row>
    <row r="2" spans="2:22" ht="16.2" thickBot="1" x14ac:dyDescent="0.35">
      <c r="B2" s="202" t="s">
        <v>131</v>
      </c>
      <c r="C2" s="203" t="s">
        <v>632</v>
      </c>
      <c r="G2" s="204" t="s">
        <v>8</v>
      </c>
      <c r="Q2" s="4765" t="s">
        <v>612</v>
      </c>
      <c r="R2" s="4765"/>
      <c r="S2" s="4762" t="s">
        <v>132</v>
      </c>
      <c r="T2" s="4763"/>
      <c r="U2" s="4764"/>
      <c r="V2" s="4766" t="s">
        <v>133</v>
      </c>
    </row>
    <row r="3" spans="2:22" ht="16.2" thickBot="1" x14ac:dyDescent="0.35">
      <c r="B3" s="203" t="s">
        <v>6</v>
      </c>
      <c r="C3" s="203">
        <v>18230700</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654</v>
      </c>
      <c r="F4" s="202">
        <v>2011</v>
      </c>
      <c r="G4" s="210">
        <f>B12</f>
        <v>13836</v>
      </c>
      <c r="H4" s="211">
        <f>B17</f>
        <v>5250</v>
      </c>
      <c r="I4" s="211">
        <f>B22</f>
        <v>12024</v>
      </c>
      <c r="J4" s="211">
        <f>B27</f>
        <v>30000</v>
      </c>
      <c r="K4" s="211">
        <f>B32</f>
        <v>1500</v>
      </c>
      <c r="L4" s="211">
        <f>B37</f>
        <v>74400</v>
      </c>
      <c r="M4" s="211">
        <f>B42</f>
        <v>500</v>
      </c>
      <c r="N4" s="211">
        <f>B47</f>
        <v>500</v>
      </c>
      <c r="O4" s="211">
        <f>B52</f>
        <v>116400</v>
      </c>
      <c r="P4" s="211">
        <f>B53</f>
        <v>0</v>
      </c>
      <c r="Q4" s="213">
        <f>B54</f>
        <v>254410</v>
      </c>
      <c r="R4" s="372">
        <f>T54</f>
        <v>64800</v>
      </c>
      <c r="S4" s="331">
        <f>O4/Q4</f>
        <v>0.4575291851735388</v>
      </c>
      <c r="T4" s="331">
        <f>(J4+(H4*1.63))/Q4</f>
        <v>0.15155654258873472</v>
      </c>
      <c r="U4" s="331">
        <f>L4/Q4</f>
        <v>0.29244133485318974</v>
      </c>
      <c r="V4" s="216">
        <f>Q4/R4</f>
        <v>3.92608024691358</v>
      </c>
    </row>
    <row r="5" spans="2:22" ht="16.2" thickBot="1" x14ac:dyDescent="0.35">
      <c r="B5" s="202" t="s">
        <v>34</v>
      </c>
      <c r="F5" s="202">
        <v>2012</v>
      </c>
      <c r="G5" s="217">
        <f>D12</f>
        <v>16675.199999999997</v>
      </c>
      <c r="H5" s="218">
        <f>D17</f>
        <v>12000</v>
      </c>
      <c r="I5" s="218">
        <f>D22</f>
        <v>18065.375999999997</v>
      </c>
      <c r="J5" s="218">
        <f>D27</f>
        <v>49005</v>
      </c>
      <c r="K5" s="218">
        <f>D32</f>
        <v>1500</v>
      </c>
      <c r="L5" s="218">
        <f>D37</f>
        <v>31500</v>
      </c>
      <c r="M5" s="218">
        <f>D42</f>
        <v>500</v>
      </c>
      <c r="N5" s="218">
        <f>D47</f>
        <v>500</v>
      </c>
      <c r="O5" s="218">
        <f>D52</f>
        <v>90000</v>
      </c>
      <c r="P5" s="218">
        <f>D53</f>
        <v>0</v>
      </c>
      <c r="Q5" s="219">
        <f>SUM(G5:P5)</f>
        <v>219745.576</v>
      </c>
      <c r="R5" s="373">
        <f>P54</f>
        <v>66300</v>
      </c>
      <c r="S5" s="332">
        <f>O5/Q5</f>
        <v>0.40956455933383612</v>
      </c>
      <c r="T5" s="332">
        <f>(J5+(H5*1.63))/Q5</f>
        <v>0.31201993345249418</v>
      </c>
      <c r="U5" s="332">
        <f>L5/Q5</f>
        <v>0.14334759576684264</v>
      </c>
      <c r="V5" s="222">
        <f>Q5/R5</f>
        <v>3.314412911010558</v>
      </c>
    </row>
    <row r="6" spans="2:22" ht="16.2" thickBot="1" x14ac:dyDescent="0.35">
      <c r="C6" s="202" t="s">
        <v>414</v>
      </c>
      <c r="F6" s="202">
        <v>2013</v>
      </c>
      <c r="G6" s="374">
        <f>E12</f>
        <v>17175.45</v>
      </c>
      <c r="H6" s="375">
        <f>E17</f>
        <v>12300</v>
      </c>
      <c r="I6" s="375">
        <f>E22</f>
        <v>18569.533500000001</v>
      </c>
      <c r="J6" s="375">
        <f>E27</f>
        <v>40095</v>
      </c>
      <c r="K6" s="375">
        <f>E32</f>
        <v>1500</v>
      </c>
      <c r="L6" s="375">
        <f>E37</f>
        <v>33300</v>
      </c>
      <c r="M6" s="375">
        <f>E42</f>
        <v>500</v>
      </c>
      <c r="N6" s="375">
        <f>E47</f>
        <v>500</v>
      </c>
      <c r="O6" s="375">
        <f>E52</f>
        <v>108000</v>
      </c>
      <c r="P6" s="375">
        <f>E53</f>
        <v>0</v>
      </c>
      <c r="Q6" s="219">
        <f>SUM(G6:P6)</f>
        <v>231939.9835</v>
      </c>
      <c r="R6" s="373">
        <f>Q54</f>
        <v>78900</v>
      </c>
      <c r="S6" s="332">
        <f>O6/Q6</f>
        <v>0.46563769803838068</v>
      </c>
      <c r="T6" s="332">
        <f>(J6+(H6*1.63))/Q6</f>
        <v>0.2593084602853738</v>
      </c>
      <c r="U6" s="332">
        <f>L6/Q6</f>
        <v>0.14357162356183403</v>
      </c>
      <c r="V6" s="222">
        <f>Q6/R6</f>
        <v>2.9396702598225604</v>
      </c>
    </row>
    <row r="7" spans="2:22" ht="16.2" thickBot="1" x14ac:dyDescent="0.35">
      <c r="C7" s="227" t="s">
        <v>415</v>
      </c>
      <c r="F7" s="376" t="s">
        <v>178</v>
      </c>
      <c r="G7" s="377">
        <f>SUM(G5:G6)</f>
        <v>33850.649999999994</v>
      </c>
      <c r="H7" s="377">
        <f t="shared" ref="H7:P7" si="0">SUM(H5:H6)</f>
        <v>24300</v>
      </c>
      <c r="I7" s="377">
        <f t="shared" si="0"/>
        <v>36634.909499999994</v>
      </c>
      <c r="J7" s="377">
        <f t="shared" si="0"/>
        <v>89100</v>
      </c>
      <c r="K7" s="377">
        <f t="shared" si="0"/>
        <v>3000</v>
      </c>
      <c r="L7" s="377">
        <f t="shared" si="0"/>
        <v>64800</v>
      </c>
      <c r="M7" s="377">
        <f t="shared" si="0"/>
        <v>1000</v>
      </c>
      <c r="N7" s="377">
        <f t="shared" si="0"/>
        <v>1000</v>
      </c>
      <c r="O7" s="377">
        <f t="shared" si="0"/>
        <v>198000</v>
      </c>
      <c r="P7" s="377">
        <f t="shared" si="0"/>
        <v>0</v>
      </c>
      <c r="Q7" s="378">
        <f>SUM(G7:P7)</f>
        <v>451685.55949999997</v>
      </c>
      <c r="R7" s="379">
        <f>R54</f>
        <v>145200</v>
      </c>
      <c r="S7" s="332">
        <f>O7/Q7</f>
        <v>0.43835804761874397</v>
      </c>
      <c r="T7" s="332">
        <f>(J7+(H7*1.63))/Q7</f>
        <v>0.28495265631798444</v>
      </c>
      <c r="U7" s="332">
        <f>L7/Q7</f>
        <v>0.14346263376613438</v>
      </c>
      <c r="V7" s="222">
        <f>Q7/R7</f>
        <v>3.1107820902203853</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393">
        <v>13836</v>
      </c>
      <c r="C12" s="244" t="s">
        <v>161</v>
      </c>
      <c r="D12" s="245">
        <f>SUM(D13:D16)</f>
        <v>16675.199999999997</v>
      </c>
      <c r="E12" s="245">
        <f>SUM(E13:E16)</f>
        <v>17175.45</v>
      </c>
      <c r="F12" s="246">
        <f>D12+E12</f>
        <v>33850.649999999994</v>
      </c>
      <c r="H12" s="135"/>
      <c r="I12" s="247" t="str">
        <f t="shared" ref="I12:I53" si="1">C62</f>
        <v xml:space="preserve">2.0 - 1.76 gpm Showerheads - Mail-in </v>
      </c>
      <c r="J12" s="248"/>
      <c r="K12" s="249"/>
      <c r="L12" s="380">
        <f t="shared" ref="L12:L53" si="2">D62</f>
        <v>6</v>
      </c>
      <c r="M12" s="267">
        <v>600</v>
      </c>
      <c r="N12" s="267">
        <v>800</v>
      </c>
      <c r="O12" s="252">
        <f>M12+N12</f>
        <v>1400</v>
      </c>
      <c r="P12" s="381">
        <f t="shared" ref="P12:R27" si="3">M12*$D62</f>
        <v>3600</v>
      </c>
      <c r="Q12" s="381">
        <f t="shared" si="3"/>
        <v>4800</v>
      </c>
      <c r="R12" s="382">
        <f t="shared" si="3"/>
        <v>8400</v>
      </c>
      <c r="T12" s="267">
        <v>64800</v>
      </c>
    </row>
    <row r="13" spans="2:22" ht="13.8" x14ac:dyDescent="0.3">
      <c r="B13" s="256"/>
      <c r="C13" s="257" t="s">
        <v>265</v>
      </c>
      <c r="D13" s="258">
        <v>5558.4</v>
      </c>
      <c r="E13" s="258">
        <v>5725.15</v>
      </c>
      <c r="F13" s="258">
        <f>SUM(D13:E13)</f>
        <v>11283.55</v>
      </c>
      <c r="H13" s="135"/>
      <c r="I13" s="259" t="str">
        <f t="shared" si="1"/>
        <v>1.75 - 1.51 gpm Showerheads - Mail-in</v>
      </c>
      <c r="J13" s="260"/>
      <c r="K13" s="261"/>
      <c r="L13" s="380">
        <f t="shared" si="2"/>
        <v>7</v>
      </c>
      <c r="M13" s="267">
        <v>1400</v>
      </c>
      <c r="N13" s="267">
        <v>1800</v>
      </c>
      <c r="O13" s="252">
        <f t="shared" ref="O13:O53" si="4">M13+N13</f>
        <v>3200</v>
      </c>
      <c r="P13" s="381">
        <f t="shared" si="3"/>
        <v>9800</v>
      </c>
      <c r="Q13" s="381">
        <f t="shared" si="3"/>
        <v>12600</v>
      </c>
      <c r="R13" s="382">
        <f t="shared" si="3"/>
        <v>22400</v>
      </c>
      <c r="T13" s="296"/>
    </row>
    <row r="14" spans="2:22" ht="13.8" x14ac:dyDescent="0.3">
      <c r="B14" s="264"/>
      <c r="C14" s="257" t="s">
        <v>417</v>
      </c>
      <c r="D14" s="258">
        <v>2779.2</v>
      </c>
      <c r="E14" s="258">
        <v>2862.5750000000003</v>
      </c>
      <c r="F14" s="258">
        <f t="shared" ref="F14:F24" si="5">SUM(D14:E14)</f>
        <v>5641.7749999999996</v>
      </c>
      <c r="H14" s="135"/>
      <c r="I14" s="259" t="str">
        <f t="shared" si="1"/>
        <v>1.50 and less Showerheads - Mail-in</v>
      </c>
      <c r="J14" s="260"/>
      <c r="K14" s="261"/>
      <c r="L14" s="380">
        <f t="shared" si="2"/>
        <v>8</v>
      </c>
      <c r="M14" s="267">
        <v>3000</v>
      </c>
      <c r="N14" s="267">
        <v>3000</v>
      </c>
      <c r="O14" s="252">
        <f t="shared" si="4"/>
        <v>6000</v>
      </c>
      <c r="P14" s="381">
        <f t="shared" si="3"/>
        <v>24000</v>
      </c>
      <c r="Q14" s="381">
        <f t="shared" si="3"/>
        <v>24000</v>
      </c>
      <c r="R14" s="382">
        <f t="shared" si="3"/>
        <v>48000</v>
      </c>
      <c r="T14" s="296"/>
    </row>
    <row r="15" spans="2:22" ht="13.8" x14ac:dyDescent="0.3">
      <c r="B15" s="264"/>
      <c r="C15" s="265" t="s">
        <v>418</v>
      </c>
      <c r="D15" s="258">
        <v>2779.2</v>
      </c>
      <c r="E15" s="258">
        <v>2862.5750000000003</v>
      </c>
      <c r="F15" s="258">
        <f t="shared" si="5"/>
        <v>5641.7749999999996</v>
      </c>
      <c r="H15" s="135"/>
      <c r="I15" s="259" t="str">
        <f t="shared" si="1"/>
        <v>2.0 - 1.76 gpm Showerheads - Retail_Gas WH_Any Shower</v>
      </c>
      <c r="J15" s="260"/>
      <c r="K15" s="261"/>
      <c r="L15" s="380">
        <f t="shared" si="2"/>
        <v>5</v>
      </c>
      <c r="M15" s="267">
        <v>600</v>
      </c>
      <c r="N15" s="267">
        <v>800</v>
      </c>
      <c r="O15" s="252">
        <f t="shared" si="4"/>
        <v>1400</v>
      </c>
      <c r="P15" s="381">
        <f t="shared" si="3"/>
        <v>3000</v>
      </c>
      <c r="Q15" s="381">
        <f t="shared" si="3"/>
        <v>4000</v>
      </c>
      <c r="R15" s="382">
        <f t="shared" si="3"/>
        <v>7000</v>
      </c>
      <c r="T15" s="296"/>
    </row>
    <row r="16" spans="2:22" ht="14.4" thickBot="1" x14ac:dyDescent="0.35">
      <c r="B16" s="264"/>
      <c r="C16" s="265" t="s">
        <v>419</v>
      </c>
      <c r="D16" s="258">
        <v>5558.4</v>
      </c>
      <c r="E16" s="258">
        <v>5725.15</v>
      </c>
      <c r="F16" s="258">
        <f t="shared" si="5"/>
        <v>11283.55</v>
      </c>
      <c r="H16" s="135"/>
      <c r="I16" s="259" t="str">
        <f t="shared" si="1"/>
        <v>1.75 - 1.51 gpm Showerheads - Retail_Gas WH_Any Shower</v>
      </c>
      <c r="J16" s="260"/>
      <c r="K16" s="261"/>
      <c r="L16" s="380">
        <f t="shared" si="2"/>
        <v>7</v>
      </c>
      <c r="M16" s="267">
        <v>1300</v>
      </c>
      <c r="N16" s="267">
        <v>1700</v>
      </c>
      <c r="O16" s="252">
        <f t="shared" si="4"/>
        <v>3000</v>
      </c>
      <c r="P16" s="381">
        <f t="shared" si="3"/>
        <v>9100</v>
      </c>
      <c r="Q16" s="381">
        <f t="shared" si="3"/>
        <v>11900</v>
      </c>
      <c r="R16" s="382">
        <f t="shared" si="3"/>
        <v>21000</v>
      </c>
      <c r="T16" s="296"/>
    </row>
    <row r="17" spans="2:20" ht="14.4" thickBot="1" x14ac:dyDescent="0.35">
      <c r="B17" s="272">
        <v>5250</v>
      </c>
      <c r="C17" s="244" t="s">
        <v>166</v>
      </c>
      <c r="D17" s="245">
        <f>SUM(D18:D21)</f>
        <v>12000</v>
      </c>
      <c r="E17" s="245">
        <f>SUM(E18:E21)</f>
        <v>12300</v>
      </c>
      <c r="F17" s="246">
        <f>D17+E17</f>
        <v>24300</v>
      </c>
      <c r="H17" s="135"/>
      <c r="I17" s="259" t="str">
        <f t="shared" si="1"/>
        <v>1.50 and less Showerheads - Retail_Gas WH_Any Shower</v>
      </c>
      <c r="J17" s="260"/>
      <c r="K17" s="261"/>
      <c r="L17" s="380">
        <f t="shared" si="2"/>
        <v>8</v>
      </c>
      <c r="M17" s="267">
        <v>2100</v>
      </c>
      <c r="N17" s="267">
        <v>2700</v>
      </c>
      <c r="O17" s="252">
        <f t="shared" si="4"/>
        <v>4800</v>
      </c>
      <c r="P17" s="381">
        <f t="shared" si="3"/>
        <v>16800</v>
      </c>
      <c r="Q17" s="381">
        <f t="shared" si="3"/>
        <v>21600</v>
      </c>
      <c r="R17" s="382">
        <f t="shared" si="3"/>
        <v>38400</v>
      </c>
      <c r="T17" s="296"/>
    </row>
    <row r="18" spans="2:20" ht="13.8" x14ac:dyDescent="0.3">
      <c r="B18" s="256"/>
      <c r="C18" s="346" t="s">
        <v>420</v>
      </c>
      <c r="D18" s="347">
        <v>6000</v>
      </c>
      <c r="E18" s="347">
        <v>6150</v>
      </c>
      <c r="F18" s="258">
        <f t="shared" si="5"/>
        <v>12150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348" t="s">
        <v>421</v>
      </c>
      <c r="D19" s="347">
        <v>6000</v>
      </c>
      <c r="E19" s="347">
        <v>6150</v>
      </c>
      <c r="F19" s="258">
        <f t="shared" si="5"/>
        <v>12150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12024</v>
      </c>
      <c r="C22" s="244" t="s">
        <v>167</v>
      </c>
      <c r="D22" s="245">
        <f>SUM(D23:D26)</f>
        <v>18065.375999999997</v>
      </c>
      <c r="E22" s="245">
        <f>SUM(E23:E26)</f>
        <v>18569.533500000001</v>
      </c>
      <c r="F22" s="246">
        <f>D22+E22</f>
        <v>36634.909499999994</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10505.375999999998</v>
      </c>
      <c r="E23" s="258">
        <f>0.63*E12</f>
        <v>10820.533500000001</v>
      </c>
      <c r="F23" s="258">
        <f t="shared" si="5"/>
        <v>21325.909500000002</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7560</v>
      </c>
      <c r="E24" s="266">
        <f>0.63*E17</f>
        <v>7749</v>
      </c>
      <c r="F24" s="258">
        <f t="shared" si="5"/>
        <v>15309</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30000</v>
      </c>
      <c r="C27" s="244" t="s">
        <v>170</v>
      </c>
      <c r="D27" s="245">
        <f>SUM(D28:D31)</f>
        <v>49005</v>
      </c>
      <c r="E27" s="245">
        <f>SUM(E28:E31)</f>
        <v>40095</v>
      </c>
      <c r="F27" s="246">
        <f>D27+E27</f>
        <v>89100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650</v>
      </c>
      <c r="D28" s="258">
        <v>49005</v>
      </c>
      <c r="E28" s="258">
        <v>40095</v>
      </c>
      <c r="F28" s="258">
        <f t="shared" ref="F28:F36" si="6">SUM(D28:E28)</f>
        <v>89100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1500</v>
      </c>
      <c r="C32" s="244" t="s">
        <v>171</v>
      </c>
      <c r="D32" s="245">
        <f>SUM(D33:D36)</f>
        <v>1500</v>
      </c>
      <c r="E32" s="245">
        <f>SUM(E33:E36)</f>
        <v>1500</v>
      </c>
      <c r="F32" s="246">
        <f>D32+E32</f>
        <v>3000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1500</v>
      </c>
      <c r="E33" s="266">
        <v>1500</v>
      </c>
      <c r="F33" s="258">
        <f t="shared" si="6"/>
        <v>3000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74400</v>
      </c>
      <c r="C37" s="244" t="s">
        <v>172</v>
      </c>
      <c r="D37" s="245">
        <f>SUM(D38:D41)</f>
        <v>31500</v>
      </c>
      <c r="E37" s="245">
        <f>SUM(E38:E41)</f>
        <v>33300</v>
      </c>
      <c r="F37" s="246">
        <f>D37+E37</f>
        <v>64800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423</v>
      </c>
      <c r="D38" s="266">
        <v>22500</v>
      </c>
      <c r="E38" s="266">
        <f>D38</f>
        <v>22500</v>
      </c>
      <c r="F38" s="258">
        <f t="shared" ref="F38:F51" si="8">SUM(D38:E38)</f>
        <v>45000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422</v>
      </c>
      <c r="D39" s="349">
        <v>9000</v>
      </c>
      <c r="E39" s="351">
        <v>10800</v>
      </c>
      <c r="F39" s="258">
        <f t="shared" si="8"/>
        <v>19800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500</v>
      </c>
      <c r="C42" s="244" t="s">
        <v>173</v>
      </c>
      <c r="D42" s="245">
        <f>SUM(D43:D46)</f>
        <v>500</v>
      </c>
      <c r="E42" s="245">
        <f>SUM(E43:E46)</f>
        <v>500</v>
      </c>
      <c r="F42" s="246">
        <f>D42+E42</f>
        <v>1000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500</v>
      </c>
      <c r="E43" s="266">
        <v>500</v>
      </c>
      <c r="F43" s="258">
        <f t="shared" si="8"/>
        <v>1000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500</v>
      </c>
      <c r="C47" s="244" t="s">
        <v>174</v>
      </c>
      <c r="D47" s="245">
        <f>SUM(D48:D51)</f>
        <v>500</v>
      </c>
      <c r="E47" s="245">
        <f>SUM(E48:E51)</f>
        <v>500</v>
      </c>
      <c r="F47" s="246">
        <f>D47+E47</f>
        <v>1000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500</v>
      </c>
      <c r="E48" s="266">
        <v>500</v>
      </c>
      <c r="F48" s="258">
        <f t="shared" si="8"/>
        <v>1000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116400</v>
      </c>
      <c r="C52" s="244" t="s">
        <v>175</v>
      </c>
      <c r="D52" s="245">
        <f>S104</f>
        <v>90000</v>
      </c>
      <c r="E52" s="245">
        <f>T104</f>
        <v>108000</v>
      </c>
      <c r="F52" s="246">
        <f>U104</f>
        <v>198000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254410</v>
      </c>
      <c r="C54" s="274" t="s">
        <v>178</v>
      </c>
      <c r="D54" s="273">
        <f>D12+D17+D22+D27+D32+D37+D42+D47+D52+D53</f>
        <v>219745.576</v>
      </c>
      <c r="E54" s="273">
        <f>E12+E17+E22+E27+E32+E37+E42+E47+E52+E53</f>
        <v>231939.9835</v>
      </c>
      <c r="F54" s="273">
        <f>F12+F17+F22+F27+F32+F37+F42+F47+F52+F53</f>
        <v>451685.55949999997</v>
      </c>
      <c r="P54" s="385">
        <f>SUM(P12:P53)</f>
        <v>66300</v>
      </c>
      <c r="Q54" s="385">
        <f>SUM(Q12:Q53)</f>
        <v>78900</v>
      </c>
      <c r="R54" s="385">
        <f>SUM(R12:R53)</f>
        <v>145200</v>
      </c>
      <c r="T54" s="385">
        <f>SUM(T12:T53)</f>
        <v>64800</v>
      </c>
    </row>
    <row r="55" spans="2:24" ht="13.8" x14ac:dyDescent="0.3">
      <c r="C55" s="274"/>
      <c r="D55" s="273"/>
      <c r="E55" s="273"/>
      <c r="F55" s="273"/>
    </row>
    <row r="56" spans="2:24" ht="13.8" x14ac:dyDescent="0.3">
      <c r="C56" s="274" t="s">
        <v>179</v>
      </c>
      <c r="D56" s="273">
        <f>D54-D52</f>
        <v>129745.576</v>
      </c>
      <c r="E56" s="273">
        <f>E54-E52</f>
        <v>123939.9835</v>
      </c>
      <c r="F56" s="273">
        <f>F54-F52</f>
        <v>253685.55949999997</v>
      </c>
    </row>
    <row r="57" spans="2:24" ht="13.8" x14ac:dyDescent="0.3">
      <c r="C57" s="274" t="s">
        <v>180</v>
      </c>
      <c r="D57" s="276">
        <f>D52</f>
        <v>90000</v>
      </c>
      <c r="E57" s="276">
        <f>E52</f>
        <v>108000</v>
      </c>
      <c r="F57" s="276">
        <f>F52</f>
        <v>198000</v>
      </c>
      <c r="G57" s="335">
        <f>F57/(F56+F57)</f>
        <v>0.43835804761874397</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96" t="s">
        <v>448</v>
      </c>
      <c r="D62" s="329">
        <v>6</v>
      </c>
      <c r="E62" s="267" t="s">
        <v>617</v>
      </c>
      <c r="F62" s="296" t="s">
        <v>211</v>
      </c>
      <c r="G62" s="297">
        <v>24</v>
      </c>
      <c r="H62" s="297">
        <v>10</v>
      </c>
      <c r="I62" s="352">
        <f t="shared" ref="I62:I67" si="10">O12/19800</f>
        <v>7.0707070707070704E-2</v>
      </c>
      <c r="J62" s="267">
        <v>10</v>
      </c>
      <c r="K62" s="267" t="s">
        <v>259</v>
      </c>
      <c r="L62" s="3865">
        <f>P62/N62</f>
        <v>1.4668652223786394</v>
      </c>
      <c r="M62" s="3865">
        <f>Q62/O62</f>
        <v>0.90900667470445018</v>
      </c>
      <c r="N62" s="218">
        <f>(($I62*$F$56)+$U62)/$R62</f>
        <v>29544.276404189906</v>
      </c>
      <c r="O62" s="218">
        <f>(($I62*$F$56)+($G62*$O12))/$R62</f>
        <v>47675.636256178805</v>
      </c>
      <c r="P62" s="218">
        <f>IF(K62=0, 0, (HLOOKUP(K62,'[1]G-CESTD'!$A$5:$G$35,J62+1,FALSE)*R12))</f>
        <v>43337.471577648015</v>
      </c>
      <c r="Q62" s="218">
        <f>IF(K62=0, 0, (HLOOKUP(K62,'[1]G-CESTD'!$A$5:$G$35,J62+1,FALSE)*R12))</f>
        <v>43337.471577648015</v>
      </c>
      <c r="R62" s="292">
        <v>1.081</v>
      </c>
      <c r="S62" s="293">
        <f t="shared" ref="S62:U77" si="11">M12*$H62</f>
        <v>6000</v>
      </c>
      <c r="T62" s="293">
        <f t="shared" si="11"/>
        <v>8000</v>
      </c>
      <c r="U62" s="293">
        <f t="shared" si="11"/>
        <v>14000</v>
      </c>
      <c r="V62" s="338">
        <f>U62/(U62+(I62*F$56))</f>
        <v>0.43835804761874397</v>
      </c>
      <c r="W62" s="338">
        <f t="shared" ref="W62:W80" si="12">(I62*((F$17*1.63)+F$27))/(U62+(I62*F$56))</f>
        <v>0.28495265631798444</v>
      </c>
      <c r="X62" s="338">
        <f>(I62*F$37)/(U62+(I62*F$56))</f>
        <v>0.14346263376613441</v>
      </c>
    </row>
    <row r="63" spans="2:24" ht="13.8" x14ac:dyDescent="0.3">
      <c r="B63" s="296"/>
      <c r="C63" s="296" t="s">
        <v>449</v>
      </c>
      <c r="D63" s="3614">
        <v>7</v>
      </c>
      <c r="E63" s="296" t="s">
        <v>617</v>
      </c>
      <c r="F63" s="296" t="s">
        <v>211</v>
      </c>
      <c r="G63" s="297">
        <v>24</v>
      </c>
      <c r="H63" s="297">
        <v>10</v>
      </c>
      <c r="I63" s="352">
        <f t="shared" si="10"/>
        <v>0.16161616161616163</v>
      </c>
      <c r="J63" s="267">
        <v>10</v>
      </c>
      <c r="K63" s="267" t="s">
        <v>259</v>
      </c>
      <c r="L63" s="3865">
        <f t="shared" ref="L63:M103" si="13">P63/N63</f>
        <v>1.7113427594417456</v>
      </c>
      <c r="M63" s="3865">
        <f t="shared" si="13"/>
        <v>1.0605077871551916</v>
      </c>
      <c r="N63" s="218">
        <f t="shared" ref="N63:N103" si="14">(($I63*$F$56)+$U63)/$R63</f>
        <v>67529.774638148374</v>
      </c>
      <c r="O63" s="218">
        <f t="shared" ref="O63:O103" si="15">(($I63*$F$56)+($G63*$O13))/$R63</f>
        <v>108972.88287126586</v>
      </c>
      <c r="P63" s="218">
        <f>IF(K63=0, 0, (HLOOKUP(K63,'[1]G-CESTD'!$A$5:$G$35,J63+1,FALSE)*R13))</f>
        <v>115566.59087372804</v>
      </c>
      <c r="Q63" s="218">
        <f>IF(K63=0, 0, (HLOOKUP(K63,'[1]G-CESTD'!$A$5:$G$35,J63+1,FALSE)*R13))</f>
        <v>115566.59087372804</v>
      </c>
      <c r="R63" s="292">
        <v>1.081</v>
      </c>
      <c r="S63" s="293">
        <f t="shared" si="11"/>
        <v>14000</v>
      </c>
      <c r="T63" s="293">
        <f t="shared" si="11"/>
        <v>18000</v>
      </c>
      <c r="U63" s="293">
        <f t="shared" si="11"/>
        <v>32000</v>
      </c>
      <c r="V63" s="338">
        <f t="shared" ref="V63:V80" si="16">U63/(U63+(I63*F$56))</f>
        <v>0.43835804761874392</v>
      </c>
      <c r="W63" s="338">
        <f t="shared" si="12"/>
        <v>0.28495265631798444</v>
      </c>
      <c r="X63" s="338">
        <f t="shared" ref="X63:X80" si="17">(I63*F$37)/(U63+(I63*F$56))</f>
        <v>0.14346263376613438</v>
      </c>
    </row>
    <row r="64" spans="2:24" ht="13.8" x14ac:dyDescent="0.3">
      <c r="B64" s="296"/>
      <c r="C64" s="296" t="s">
        <v>450</v>
      </c>
      <c r="D64" s="3614">
        <v>8</v>
      </c>
      <c r="E64" s="296" t="s">
        <v>617</v>
      </c>
      <c r="F64" s="296" t="s">
        <v>211</v>
      </c>
      <c r="G64" s="297">
        <v>24</v>
      </c>
      <c r="H64" s="297">
        <v>10</v>
      </c>
      <c r="I64" s="352">
        <f t="shared" si="10"/>
        <v>0.30303030303030304</v>
      </c>
      <c r="J64" s="267">
        <v>10</v>
      </c>
      <c r="K64" s="267" t="s">
        <v>259</v>
      </c>
      <c r="L64" s="3865">
        <f t="shared" si="13"/>
        <v>1.9558202965048523</v>
      </c>
      <c r="M64" s="3865">
        <f t="shared" si="13"/>
        <v>1.2120088996059335</v>
      </c>
      <c r="N64" s="218">
        <f t="shared" si="14"/>
        <v>126618.32744652819</v>
      </c>
      <c r="O64" s="218">
        <f t="shared" si="15"/>
        <v>204324.15538362347</v>
      </c>
      <c r="P64" s="218">
        <f>IF(K64=0, 0, (HLOOKUP(K64,'[1]G-CESTD'!$A$5:$G$35,J64+1,FALSE)*R14))</f>
        <v>247642.69472941724</v>
      </c>
      <c r="Q64" s="218">
        <f>IF(K64=0, 0, (HLOOKUP(K64,'[1]G-CESTD'!$A$5:$G$35,J64+1,FALSE)*R14))</f>
        <v>247642.69472941724</v>
      </c>
      <c r="R64" s="292">
        <v>1.081</v>
      </c>
      <c r="S64" s="293">
        <f t="shared" si="11"/>
        <v>30000</v>
      </c>
      <c r="T64" s="293">
        <f t="shared" si="11"/>
        <v>30000</v>
      </c>
      <c r="U64" s="293">
        <f t="shared" si="11"/>
        <v>60000</v>
      </c>
      <c r="V64" s="338">
        <f t="shared" si="16"/>
        <v>0.43835804761874397</v>
      </c>
      <c r="W64" s="338">
        <f t="shared" si="12"/>
        <v>0.28495265631798444</v>
      </c>
      <c r="X64" s="338">
        <f t="shared" si="17"/>
        <v>0.14346263376613438</v>
      </c>
    </row>
    <row r="65" spans="2:24" ht="13.8" x14ac:dyDescent="0.3">
      <c r="B65" s="296"/>
      <c r="C65" s="296" t="s">
        <v>651</v>
      </c>
      <c r="D65" s="296">
        <v>5</v>
      </c>
      <c r="E65" s="296" t="s">
        <v>617</v>
      </c>
      <c r="F65" s="296" t="s">
        <v>211</v>
      </c>
      <c r="G65" s="297">
        <v>24</v>
      </c>
      <c r="H65" s="297">
        <v>10</v>
      </c>
      <c r="I65" s="352">
        <f t="shared" si="10"/>
        <v>7.0707070707070704E-2</v>
      </c>
      <c r="J65" s="267">
        <v>10</v>
      </c>
      <c r="K65" s="267" t="s">
        <v>259</v>
      </c>
      <c r="L65" s="3865">
        <f t="shared" si="13"/>
        <v>1.2223876853155329</v>
      </c>
      <c r="M65" s="3865">
        <f t="shared" si="13"/>
        <v>0.75750556225370846</v>
      </c>
      <c r="N65" s="218">
        <f t="shared" si="14"/>
        <v>29544.276404189906</v>
      </c>
      <c r="O65" s="218">
        <f t="shared" si="15"/>
        <v>47675.636256178805</v>
      </c>
      <c r="P65" s="218">
        <f>IF(K65=0, 0, (HLOOKUP(K65,'[1]G-CESTD'!$A$5:$G$35,J65+1,FALSE)*R15))</f>
        <v>36114.559648040013</v>
      </c>
      <c r="Q65" s="218">
        <f>IF(K65=0, 0, (HLOOKUP(K65,'[1]G-CESTD'!$A$5:$G$35,J65+1,FALSE)*R15))</f>
        <v>36114.559648040013</v>
      </c>
      <c r="R65" s="292">
        <v>1.081</v>
      </c>
      <c r="S65" s="293">
        <f t="shared" si="11"/>
        <v>6000</v>
      </c>
      <c r="T65" s="293">
        <f t="shared" si="11"/>
        <v>8000</v>
      </c>
      <c r="U65" s="293">
        <f t="shared" si="11"/>
        <v>14000</v>
      </c>
      <c r="V65" s="338">
        <f t="shared" si="16"/>
        <v>0.43835804761874397</v>
      </c>
      <c r="W65" s="338">
        <f t="shared" si="12"/>
        <v>0.28495265631798444</v>
      </c>
      <c r="X65" s="338">
        <f t="shared" si="17"/>
        <v>0.14346263376613441</v>
      </c>
    </row>
    <row r="66" spans="2:24" ht="13.8" x14ac:dyDescent="0.3">
      <c r="B66" s="296"/>
      <c r="C66" s="296" t="s">
        <v>652</v>
      </c>
      <c r="D66" s="296">
        <v>7</v>
      </c>
      <c r="E66" s="296" t="s">
        <v>617</v>
      </c>
      <c r="F66" s="296" t="s">
        <v>211</v>
      </c>
      <c r="G66" s="297">
        <v>24</v>
      </c>
      <c r="H66" s="297">
        <v>10</v>
      </c>
      <c r="I66" s="352">
        <f t="shared" si="10"/>
        <v>0.15151515151515152</v>
      </c>
      <c r="J66" s="267">
        <v>10</v>
      </c>
      <c r="K66" s="267" t="s">
        <v>259</v>
      </c>
      <c r="L66" s="3865">
        <f t="shared" si="13"/>
        <v>1.7113427594417456</v>
      </c>
      <c r="M66" s="3865">
        <f t="shared" si="13"/>
        <v>1.0605077871551918</v>
      </c>
      <c r="N66" s="218">
        <f t="shared" si="14"/>
        <v>63309.163723264093</v>
      </c>
      <c r="O66" s="218">
        <f t="shared" si="15"/>
        <v>102162.07769181173</v>
      </c>
      <c r="P66" s="218">
        <f>IF(K66=0, 0, (HLOOKUP(K66,'[1]G-CESTD'!$A$5:$G$35,J66+1,FALSE)*R16))</f>
        <v>108343.67894412004</v>
      </c>
      <c r="Q66" s="218">
        <f>IF(K66=0, 0, (HLOOKUP(K66,'[1]G-CESTD'!$A$5:$G$35,J66+1,FALSE)*R16))</f>
        <v>108343.67894412004</v>
      </c>
      <c r="R66" s="292">
        <v>1.081</v>
      </c>
      <c r="S66" s="293">
        <f t="shared" si="11"/>
        <v>13000</v>
      </c>
      <c r="T66" s="293">
        <f t="shared" si="11"/>
        <v>17000</v>
      </c>
      <c r="U66" s="293">
        <f t="shared" si="11"/>
        <v>30000</v>
      </c>
      <c r="V66" s="338">
        <f t="shared" si="16"/>
        <v>0.43835804761874397</v>
      </c>
      <c r="W66" s="338">
        <f t="shared" si="12"/>
        <v>0.28495265631798444</v>
      </c>
      <c r="X66" s="338">
        <f t="shared" si="17"/>
        <v>0.14346263376613438</v>
      </c>
    </row>
    <row r="67" spans="2:24" ht="13.8" x14ac:dyDescent="0.3">
      <c r="B67" s="296"/>
      <c r="C67" s="296" t="s">
        <v>653</v>
      </c>
      <c r="D67" s="296">
        <v>8</v>
      </c>
      <c r="E67" s="296" t="s">
        <v>617</v>
      </c>
      <c r="F67" s="296" t="s">
        <v>211</v>
      </c>
      <c r="G67" s="297">
        <v>24</v>
      </c>
      <c r="H67" s="297">
        <v>10</v>
      </c>
      <c r="I67" s="352">
        <f t="shared" si="10"/>
        <v>0.24242424242424243</v>
      </c>
      <c r="J67" s="267">
        <v>10</v>
      </c>
      <c r="K67" s="267" t="s">
        <v>259</v>
      </c>
      <c r="L67" s="3865">
        <f t="shared" si="13"/>
        <v>1.9558202965048523</v>
      </c>
      <c r="M67" s="3865">
        <f t="shared" si="13"/>
        <v>1.2120088996059333</v>
      </c>
      <c r="N67" s="218">
        <f t="shared" si="14"/>
        <v>101294.66195722255</v>
      </c>
      <c r="O67" s="218">
        <f t="shared" si="15"/>
        <v>163459.32430689878</v>
      </c>
      <c r="P67" s="218">
        <f>IF(K67=0, 0, (HLOOKUP(K67,'[1]G-CESTD'!$A$5:$G$35,J67+1,FALSE)*R17))</f>
        <v>198114.15578353379</v>
      </c>
      <c r="Q67" s="218">
        <f>IF(K67=0, 0, (HLOOKUP(K67,'[1]G-CESTD'!$A$5:$G$35,J67+1,FALSE)*R17))</f>
        <v>198114.15578353379</v>
      </c>
      <c r="R67" s="292">
        <v>1.081</v>
      </c>
      <c r="S67" s="293">
        <f t="shared" si="11"/>
        <v>21000</v>
      </c>
      <c r="T67" s="293">
        <f t="shared" si="11"/>
        <v>27000</v>
      </c>
      <c r="U67" s="293">
        <f t="shared" si="11"/>
        <v>48000</v>
      </c>
      <c r="V67" s="338">
        <f t="shared" si="16"/>
        <v>0.43835804761874397</v>
      </c>
      <c r="W67" s="338">
        <f t="shared" si="12"/>
        <v>0.28495265631798444</v>
      </c>
      <c r="X67" s="338">
        <f t="shared" si="17"/>
        <v>0.14346263376613441</v>
      </c>
    </row>
    <row r="68" spans="2:24" ht="13.8" x14ac:dyDescent="0.3">
      <c r="B68" s="296"/>
      <c r="C68" s="296" t="s">
        <v>216</v>
      </c>
      <c r="D68" s="267">
        <v>0</v>
      </c>
      <c r="E68" s="296" t="s">
        <v>617</v>
      </c>
      <c r="F68" s="296" t="s">
        <v>211</v>
      </c>
      <c r="G68" s="297"/>
      <c r="H68" s="297"/>
      <c r="I68" s="326">
        <v>0</v>
      </c>
      <c r="J68" s="267"/>
      <c r="K68" s="267"/>
      <c r="L68" s="3865" t="e">
        <f t="shared" si="13"/>
        <v>#DIV/0!</v>
      </c>
      <c r="M68" s="3865" t="e">
        <f t="shared" si="13"/>
        <v>#DIV/0!</v>
      </c>
      <c r="N68" s="218">
        <f t="shared" si="14"/>
        <v>0</v>
      </c>
      <c r="O68" s="218">
        <f t="shared" si="15"/>
        <v>0</v>
      </c>
      <c r="P68" s="218">
        <f>IF(K68=0, 0, (HLOOKUP(K68,'[1]G-CESTD'!$A$5:$G$35,J68+1,FALSE)*R18))</f>
        <v>0</v>
      </c>
      <c r="Q68" s="218">
        <f>IF(K68=0, 0, (HLOOKUP(K68,'[1]G-CESTD'!$A$5:$G$35,J68+1,FALSE)*R18))</f>
        <v>0</v>
      </c>
      <c r="R68" s="292">
        <v>1.081</v>
      </c>
      <c r="S68" s="293">
        <f t="shared" si="11"/>
        <v>0</v>
      </c>
      <c r="T68" s="293">
        <f t="shared" si="11"/>
        <v>0</v>
      </c>
      <c r="U68" s="293">
        <f t="shared" si="11"/>
        <v>0</v>
      </c>
      <c r="V68" s="338" t="e">
        <f t="shared" si="16"/>
        <v>#DIV/0!</v>
      </c>
      <c r="W68" s="338" t="e">
        <f t="shared" si="12"/>
        <v>#DIV/0!</v>
      </c>
      <c r="X68" s="338" t="e">
        <f t="shared" si="17"/>
        <v>#DIV/0!</v>
      </c>
    </row>
    <row r="69" spans="2:24" ht="13.8" x14ac:dyDescent="0.3">
      <c r="B69" s="296"/>
      <c r="C69" s="296" t="s">
        <v>217</v>
      </c>
      <c r="D69" s="296">
        <v>0</v>
      </c>
      <c r="E69" s="296" t="s">
        <v>617</v>
      </c>
      <c r="F69" s="296" t="s">
        <v>211</v>
      </c>
      <c r="G69" s="297"/>
      <c r="H69" s="297"/>
      <c r="I69" s="326">
        <v>0</v>
      </c>
      <c r="J69" s="267"/>
      <c r="K69" s="267"/>
      <c r="L69" s="3865" t="e">
        <f t="shared" si="13"/>
        <v>#DIV/0!</v>
      </c>
      <c r="M69" s="3865" t="e">
        <f t="shared" si="13"/>
        <v>#DIV/0!</v>
      </c>
      <c r="N69" s="218">
        <f t="shared" si="14"/>
        <v>0</v>
      </c>
      <c r="O69" s="218">
        <f t="shared" si="15"/>
        <v>0</v>
      </c>
      <c r="P69" s="218">
        <f>IF(K69=0, 0, (HLOOKUP(K69,'[1]G-CESTD'!$A$5:$G$35,J69+1,FALSE)*R19))</f>
        <v>0</v>
      </c>
      <c r="Q69" s="218">
        <f>IF(K69=0, 0, (HLOOKUP(K69,'[1]G-CESTD'!$A$5:$G$35,J69+1,FALSE)*R19))</f>
        <v>0</v>
      </c>
      <c r="R69" s="292">
        <v>1.081</v>
      </c>
      <c r="S69" s="293">
        <f t="shared" si="11"/>
        <v>0</v>
      </c>
      <c r="T69" s="293">
        <f t="shared" si="11"/>
        <v>0</v>
      </c>
      <c r="U69" s="293">
        <f t="shared" si="11"/>
        <v>0</v>
      </c>
      <c r="V69" s="338" t="e">
        <f t="shared" si="16"/>
        <v>#DIV/0!</v>
      </c>
      <c r="W69" s="338" t="e">
        <f t="shared" si="12"/>
        <v>#DIV/0!</v>
      </c>
      <c r="X69" s="338" t="e">
        <f t="shared" si="17"/>
        <v>#DIV/0!</v>
      </c>
    </row>
    <row r="70" spans="2:24" ht="13.8" x14ac:dyDescent="0.3">
      <c r="B70" s="296"/>
      <c r="C70" s="296" t="s">
        <v>218</v>
      </c>
      <c r="D70" s="267">
        <v>0</v>
      </c>
      <c r="E70" s="296" t="s">
        <v>617</v>
      </c>
      <c r="F70" s="296" t="s">
        <v>211</v>
      </c>
      <c r="G70" s="297"/>
      <c r="H70" s="297"/>
      <c r="I70" s="326">
        <v>0</v>
      </c>
      <c r="J70" s="267"/>
      <c r="K70" s="267"/>
      <c r="L70" s="3865" t="e">
        <f t="shared" si="13"/>
        <v>#DIV/0!</v>
      </c>
      <c r="M70" s="3865" t="e">
        <f t="shared" si="13"/>
        <v>#DIV/0!</v>
      </c>
      <c r="N70" s="218">
        <f t="shared" si="14"/>
        <v>0</v>
      </c>
      <c r="O70" s="218">
        <f t="shared" si="15"/>
        <v>0</v>
      </c>
      <c r="P70" s="218">
        <f>IF(K70=0, 0, (HLOOKUP(K70,'[1]G-CESTD'!$A$5:$G$35,J70+1,FALSE)*R20))</f>
        <v>0</v>
      </c>
      <c r="Q70" s="218">
        <f>IF(K70=0, 0, (HLOOKUP(K70,'[1]G-CESTD'!$A$5:$G$35,J70+1,FALSE)*R20))</f>
        <v>0</v>
      </c>
      <c r="R70" s="292">
        <v>1.081</v>
      </c>
      <c r="S70" s="293">
        <f t="shared" si="11"/>
        <v>0</v>
      </c>
      <c r="T70" s="293">
        <f t="shared" si="11"/>
        <v>0</v>
      </c>
      <c r="U70" s="293">
        <f t="shared" si="11"/>
        <v>0</v>
      </c>
      <c r="V70" s="338" t="e">
        <f t="shared" si="16"/>
        <v>#DIV/0!</v>
      </c>
      <c r="W70" s="338" t="e">
        <f t="shared" si="12"/>
        <v>#DIV/0!</v>
      </c>
      <c r="X70" s="338" t="e">
        <f t="shared" si="17"/>
        <v>#DIV/0!</v>
      </c>
    </row>
    <row r="71" spans="2:24" ht="13.8" x14ac:dyDescent="0.3">
      <c r="B71" s="296"/>
      <c r="C71" s="296" t="s">
        <v>219</v>
      </c>
      <c r="D71" s="296">
        <v>0</v>
      </c>
      <c r="E71" s="296" t="s">
        <v>617</v>
      </c>
      <c r="F71" s="296" t="s">
        <v>211</v>
      </c>
      <c r="G71" s="297"/>
      <c r="H71" s="297"/>
      <c r="I71" s="326">
        <v>0</v>
      </c>
      <c r="J71" s="267"/>
      <c r="K71" s="267"/>
      <c r="L71" s="3865" t="e">
        <f t="shared" si="13"/>
        <v>#DIV/0!</v>
      </c>
      <c r="M71" s="3865" t="e">
        <f t="shared" si="13"/>
        <v>#DIV/0!</v>
      </c>
      <c r="N71" s="218">
        <f t="shared" si="14"/>
        <v>0</v>
      </c>
      <c r="O71" s="218">
        <f t="shared" si="15"/>
        <v>0</v>
      </c>
      <c r="P71" s="218">
        <f>IF(K71=0, 0, (HLOOKUP(K71,'[1]G-CESTD'!$A$5:$G$35,J71+1,FALSE)*R21))</f>
        <v>0</v>
      </c>
      <c r="Q71" s="218">
        <f>IF(K71=0, 0, (HLOOKUP(K71,'[1]G-CESTD'!$A$5:$G$35,J71+1,FALSE)*R21))</f>
        <v>0</v>
      </c>
      <c r="R71" s="292">
        <v>1.081</v>
      </c>
      <c r="S71" s="293">
        <f t="shared" si="11"/>
        <v>0</v>
      </c>
      <c r="T71" s="293">
        <f t="shared" si="11"/>
        <v>0</v>
      </c>
      <c r="U71" s="293">
        <f t="shared" si="11"/>
        <v>0</v>
      </c>
      <c r="V71" s="338" t="e">
        <f t="shared" si="16"/>
        <v>#DIV/0!</v>
      </c>
      <c r="W71" s="338" t="e">
        <f t="shared" si="12"/>
        <v>#DIV/0!</v>
      </c>
      <c r="X71" s="338" t="e">
        <f t="shared" si="17"/>
        <v>#DIV/0!</v>
      </c>
    </row>
    <row r="72" spans="2:24" ht="13.8" x14ac:dyDescent="0.3">
      <c r="B72" s="296"/>
      <c r="C72" s="296" t="s">
        <v>220</v>
      </c>
      <c r="D72" s="267">
        <v>0</v>
      </c>
      <c r="E72" s="296" t="s">
        <v>617</v>
      </c>
      <c r="F72" s="296" t="s">
        <v>211</v>
      </c>
      <c r="G72" s="297"/>
      <c r="H72" s="297"/>
      <c r="I72" s="326">
        <v>0</v>
      </c>
      <c r="J72" s="267"/>
      <c r="K72" s="267"/>
      <c r="L72" s="3865" t="e">
        <f t="shared" si="13"/>
        <v>#DIV/0!</v>
      </c>
      <c r="M72" s="3865" t="e">
        <f t="shared" si="13"/>
        <v>#DIV/0!</v>
      </c>
      <c r="N72" s="218">
        <f t="shared" si="14"/>
        <v>0</v>
      </c>
      <c r="O72" s="218">
        <f t="shared" si="15"/>
        <v>0</v>
      </c>
      <c r="P72" s="218">
        <f>IF(K72=0, 0, (HLOOKUP(K72,'[1]G-CESTD'!$A$5:$G$35,J72+1,FALSE)*R22))</f>
        <v>0</v>
      </c>
      <c r="Q72" s="218">
        <f>IF(K72=0, 0, (HLOOKUP(K72,'[1]G-CESTD'!$A$5:$G$35,J72+1,FALSE)*R22))</f>
        <v>0</v>
      </c>
      <c r="R72" s="292">
        <v>1.081</v>
      </c>
      <c r="S72" s="293">
        <f t="shared" si="11"/>
        <v>0</v>
      </c>
      <c r="T72" s="293">
        <f t="shared" si="11"/>
        <v>0</v>
      </c>
      <c r="U72" s="293">
        <f t="shared" si="11"/>
        <v>0</v>
      </c>
      <c r="V72" s="338" t="e">
        <f t="shared" si="16"/>
        <v>#DIV/0!</v>
      </c>
      <c r="W72" s="338" t="e">
        <f t="shared" si="12"/>
        <v>#DIV/0!</v>
      </c>
      <c r="X72" s="338" t="e">
        <f t="shared" si="17"/>
        <v>#DIV/0!</v>
      </c>
    </row>
    <row r="73" spans="2:24" ht="13.8" x14ac:dyDescent="0.3">
      <c r="B73" s="296"/>
      <c r="C73" s="296" t="s">
        <v>221</v>
      </c>
      <c r="D73" s="296">
        <v>0</v>
      </c>
      <c r="E73" s="296" t="s">
        <v>617</v>
      </c>
      <c r="F73" s="296" t="s">
        <v>211</v>
      </c>
      <c r="G73" s="297"/>
      <c r="H73" s="297"/>
      <c r="I73" s="326">
        <v>0</v>
      </c>
      <c r="J73" s="267"/>
      <c r="K73" s="267"/>
      <c r="L73" s="3865" t="e">
        <f t="shared" si="13"/>
        <v>#DIV/0!</v>
      </c>
      <c r="M73" s="3865" t="e">
        <f t="shared" si="13"/>
        <v>#DIV/0!</v>
      </c>
      <c r="N73" s="218">
        <f t="shared" si="14"/>
        <v>0</v>
      </c>
      <c r="O73" s="218">
        <f t="shared" si="15"/>
        <v>0</v>
      </c>
      <c r="P73" s="218">
        <f>IF(K73=0, 0, (HLOOKUP(K73,'[1]G-CESTD'!$A$5:$G$35,J73+1,FALSE)*R23))</f>
        <v>0</v>
      </c>
      <c r="Q73" s="218">
        <f>IF(K73=0, 0, (HLOOKUP(K73,'[1]G-CESTD'!$A$5:$G$35,J73+1,FALSE)*R23))</f>
        <v>0</v>
      </c>
      <c r="R73" s="292">
        <v>1.081</v>
      </c>
      <c r="S73" s="293">
        <f t="shared" si="11"/>
        <v>0</v>
      </c>
      <c r="T73" s="293">
        <f t="shared" si="11"/>
        <v>0</v>
      </c>
      <c r="U73" s="293">
        <f t="shared" si="11"/>
        <v>0</v>
      </c>
      <c r="V73" s="338" t="e">
        <f t="shared" si="16"/>
        <v>#DIV/0!</v>
      </c>
      <c r="W73" s="338" t="e">
        <f t="shared" si="12"/>
        <v>#DIV/0!</v>
      </c>
      <c r="X73" s="338" t="e">
        <f t="shared" si="17"/>
        <v>#DIV/0!</v>
      </c>
    </row>
    <row r="74" spans="2:24" ht="13.8" x14ac:dyDescent="0.3">
      <c r="B74" s="296"/>
      <c r="C74" s="296" t="s">
        <v>222</v>
      </c>
      <c r="D74" s="267">
        <v>0</v>
      </c>
      <c r="E74" s="296" t="s">
        <v>617</v>
      </c>
      <c r="F74" s="296" t="s">
        <v>211</v>
      </c>
      <c r="G74" s="297"/>
      <c r="H74" s="297"/>
      <c r="I74" s="326">
        <v>0</v>
      </c>
      <c r="J74" s="267"/>
      <c r="K74" s="267"/>
      <c r="L74" s="3865" t="e">
        <f t="shared" si="13"/>
        <v>#DIV/0!</v>
      </c>
      <c r="M74" s="3865" t="e">
        <f t="shared" si="13"/>
        <v>#DIV/0!</v>
      </c>
      <c r="N74" s="218">
        <f t="shared" si="14"/>
        <v>0</v>
      </c>
      <c r="O74" s="218">
        <f t="shared" si="15"/>
        <v>0</v>
      </c>
      <c r="P74" s="218">
        <f>IF(K74=0, 0, (HLOOKUP(K74,'[1]G-CESTD'!$A$5:$G$35,J74+1,FALSE)*R24))</f>
        <v>0</v>
      </c>
      <c r="Q74" s="218">
        <f>IF(K74=0, 0, (HLOOKUP(K74,'[1]G-CESTD'!$A$5:$G$35,J74+1,FALSE)*R24))</f>
        <v>0</v>
      </c>
      <c r="R74" s="292">
        <v>1.081</v>
      </c>
      <c r="S74" s="293">
        <f t="shared" si="11"/>
        <v>0</v>
      </c>
      <c r="T74" s="293">
        <f t="shared" si="11"/>
        <v>0</v>
      </c>
      <c r="U74" s="293">
        <f t="shared" si="11"/>
        <v>0</v>
      </c>
      <c r="V74" s="338" t="e">
        <f t="shared" si="16"/>
        <v>#DIV/0!</v>
      </c>
      <c r="W74" s="338" t="e">
        <f t="shared" si="12"/>
        <v>#DIV/0!</v>
      </c>
      <c r="X74" s="338" t="e">
        <f t="shared" si="17"/>
        <v>#DIV/0!</v>
      </c>
    </row>
    <row r="75" spans="2:24" ht="13.8" x14ac:dyDescent="0.3">
      <c r="B75" s="296"/>
      <c r="C75" s="296" t="s">
        <v>223</v>
      </c>
      <c r="D75" s="296">
        <v>0</v>
      </c>
      <c r="E75" s="296" t="s">
        <v>617</v>
      </c>
      <c r="F75" s="296" t="s">
        <v>211</v>
      </c>
      <c r="G75" s="297"/>
      <c r="H75" s="297"/>
      <c r="I75" s="326">
        <v>0</v>
      </c>
      <c r="J75" s="267"/>
      <c r="K75" s="267"/>
      <c r="L75" s="3865" t="e">
        <f t="shared" si="13"/>
        <v>#DIV/0!</v>
      </c>
      <c r="M75" s="3865" t="e">
        <f t="shared" si="13"/>
        <v>#DIV/0!</v>
      </c>
      <c r="N75" s="218">
        <f t="shared" si="14"/>
        <v>0</v>
      </c>
      <c r="O75" s="218">
        <f t="shared" si="15"/>
        <v>0</v>
      </c>
      <c r="P75" s="218">
        <f>IF(K75=0, 0, (HLOOKUP(K75,'[1]G-CESTD'!$A$5:$G$35,J75+1,FALSE)*R25))</f>
        <v>0</v>
      </c>
      <c r="Q75" s="218">
        <f>IF(K75=0, 0, (HLOOKUP(K75,'[1]G-CESTD'!$A$5:$G$35,J75+1,FALSE)*R25))</f>
        <v>0</v>
      </c>
      <c r="R75" s="292">
        <v>1.081</v>
      </c>
      <c r="S75" s="293">
        <f t="shared" si="11"/>
        <v>0</v>
      </c>
      <c r="T75" s="293">
        <f t="shared" si="11"/>
        <v>0</v>
      </c>
      <c r="U75" s="293">
        <f t="shared" si="11"/>
        <v>0</v>
      </c>
      <c r="V75" s="338" t="e">
        <f t="shared" si="16"/>
        <v>#DIV/0!</v>
      </c>
      <c r="W75" s="338" t="e">
        <f t="shared" si="12"/>
        <v>#DIV/0!</v>
      </c>
      <c r="X75" s="338" t="e">
        <f t="shared" si="17"/>
        <v>#DIV/0!</v>
      </c>
    </row>
    <row r="76" spans="2:24" ht="13.8" x14ac:dyDescent="0.3">
      <c r="B76" s="296"/>
      <c r="C76" s="296" t="s">
        <v>224</v>
      </c>
      <c r="D76" s="267">
        <v>0</v>
      </c>
      <c r="E76" s="296" t="s">
        <v>617</v>
      </c>
      <c r="F76" s="296" t="s">
        <v>211</v>
      </c>
      <c r="G76" s="297"/>
      <c r="H76" s="297"/>
      <c r="I76" s="326">
        <v>0</v>
      </c>
      <c r="J76" s="267"/>
      <c r="K76" s="267"/>
      <c r="L76" s="3865" t="e">
        <f t="shared" si="13"/>
        <v>#DIV/0!</v>
      </c>
      <c r="M76" s="3865" t="e">
        <f t="shared" si="13"/>
        <v>#DIV/0!</v>
      </c>
      <c r="N76" s="218">
        <f t="shared" si="14"/>
        <v>0</v>
      </c>
      <c r="O76" s="218">
        <f t="shared" si="15"/>
        <v>0</v>
      </c>
      <c r="P76" s="218">
        <f>IF(K76=0, 0, (HLOOKUP(K76,'[1]G-CESTD'!$A$5:$G$35,J76+1,FALSE)*R26))</f>
        <v>0</v>
      </c>
      <c r="Q76" s="218">
        <f>IF(K76=0, 0, (HLOOKUP(K76,'[1]G-CESTD'!$A$5:$G$35,J76+1,FALSE)*R26))</f>
        <v>0</v>
      </c>
      <c r="R76" s="292">
        <v>1.081</v>
      </c>
      <c r="S76" s="293">
        <f t="shared" si="11"/>
        <v>0</v>
      </c>
      <c r="T76" s="293">
        <f t="shared" si="11"/>
        <v>0</v>
      </c>
      <c r="U76" s="293">
        <f t="shared" si="11"/>
        <v>0</v>
      </c>
      <c r="V76" s="338" t="e">
        <f t="shared" si="16"/>
        <v>#DIV/0!</v>
      </c>
      <c r="W76" s="338" t="e">
        <f t="shared" si="12"/>
        <v>#DIV/0!</v>
      </c>
      <c r="X76" s="338" t="e">
        <f t="shared" si="17"/>
        <v>#DIV/0!</v>
      </c>
    </row>
    <row r="77" spans="2:24" ht="13.8" x14ac:dyDescent="0.3">
      <c r="B77" s="296"/>
      <c r="C77" s="296" t="s">
        <v>225</v>
      </c>
      <c r="D77" s="296">
        <v>0</v>
      </c>
      <c r="E77" s="296" t="s">
        <v>617</v>
      </c>
      <c r="F77" s="296" t="s">
        <v>211</v>
      </c>
      <c r="G77" s="297"/>
      <c r="H77" s="297"/>
      <c r="I77" s="326">
        <v>0</v>
      </c>
      <c r="J77" s="267"/>
      <c r="K77" s="267"/>
      <c r="L77" s="3865" t="e">
        <f t="shared" si="13"/>
        <v>#DIV/0!</v>
      </c>
      <c r="M77" s="3865" t="e">
        <f t="shared" si="13"/>
        <v>#DIV/0!</v>
      </c>
      <c r="N77" s="218">
        <f t="shared" si="14"/>
        <v>0</v>
      </c>
      <c r="O77" s="218">
        <f t="shared" si="15"/>
        <v>0</v>
      </c>
      <c r="P77" s="218">
        <f>IF(K77=0, 0, (HLOOKUP(K77,'[1]G-CESTD'!$A$5:$G$35,J77+1,FALSE)*R27))</f>
        <v>0</v>
      </c>
      <c r="Q77" s="218">
        <f>IF(K77=0, 0, (HLOOKUP(K77,'[1]G-CESTD'!$A$5:$G$35,J77+1,FALSE)*R27))</f>
        <v>0</v>
      </c>
      <c r="R77" s="292">
        <v>1.081</v>
      </c>
      <c r="S77" s="293">
        <f t="shared" si="11"/>
        <v>0</v>
      </c>
      <c r="T77" s="293">
        <f t="shared" si="11"/>
        <v>0</v>
      </c>
      <c r="U77" s="293">
        <f t="shared" si="11"/>
        <v>0</v>
      </c>
      <c r="V77" s="338" t="e">
        <f t="shared" si="16"/>
        <v>#DIV/0!</v>
      </c>
      <c r="W77" s="338" t="e">
        <f t="shared" si="12"/>
        <v>#DIV/0!</v>
      </c>
      <c r="X77" s="338" t="e">
        <f t="shared" si="17"/>
        <v>#DIV/0!</v>
      </c>
    </row>
    <row r="78" spans="2:24" ht="13.8" x14ac:dyDescent="0.3">
      <c r="B78" s="296"/>
      <c r="C78" s="296" t="s">
        <v>226</v>
      </c>
      <c r="D78" s="267">
        <v>0</v>
      </c>
      <c r="E78" s="296" t="s">
        <v>617</v>
      </c>
      <c r="F78" s="296" t="s">
        <v>211</v>
      </c>
      <c r="G78" s="297"/>
      <c r="H78" s="297"/>
      <c r="I78" s="326">
        <v>0</v>
      </c>
      <c r="J78" s="267"/>
      <c r="K78" s="267"/>
      <c r="L78" s="3865" t="e">
        <f t="shared" si="13"/>
        <v>#DIV/0!</v>
      </c>
      <c r="M78" s="3865" t="e">
        <f t="shared" si="13"/>
        <v>#DIV/0!</v>
      </c>
      <c r="N78" s="218">
        <f t="shared" si="14"/>
        <v>0</v>
      </c>
      <c r="O78" s="218">
        <f t="shared" si="15"/>
        <v>0</v>
      </c>
      <c r="P78" s="218">
        <f>IF(K78=0, 0, (HLOOKUP(K78,'[1]G-CESTD'!$A$5:$G$35,J78+1,FALSE)*R28))</f>
        <v>0</v>
      </c>
      <c r="Q78" s="218">
        <f>IF(K78=0, 0, (HLOOKUP(K78,'[1]G-CESTD'!$A$5:$G$35,J78+1,FALSE)*R28))</f>
        <v>0</v>
      </c>
      <c r="R78" s="292">
        <v>1.081</v>
      </c>
      <c r="S78" s="293">
        <f t="shared" ref="S78:U103" si="18">M28*$H78</f>
        <v>0</v>
      </c>
      <c r="T78" s="293">
        <f t="shared" si="18"/>
        <v>0</v>
      </c>
      <c r="U78" s="293">
        <f t="shared" si="18"/>
        <v>0</v>
      </c>
      <c r="V78" s="338" t="e">
        <f t="shared" si="16"/>
        <v>#DIV/0!</v>
      </c>
      <c r="W78" s="338" t="e">
        <f t="shared" si="12"/>
        <v>#DIV/0!</v>
      </c>
      <c r="X78" s="338" t="e">
        <f t="shared" si="17"/>
        <v>#DIV/0!</v>
      </c>
    </row>
    <row r="79" spans="2:24" ht="13.8" x14ac:dyDescent="0.3">
      <c r="B79" s="296"/>
      <c r="C79" s="296" t="s">
        <v>227</v>
      </c>
      <c r="D79" s="296">
        <v>0</v>
      </c>
      <c r="E79" s="296" t="s">
        <v>617</v>
      </c>
      <c r="F79" s="296" t="s">
        <v>211</v>
      </c>
      <c r="G79" s="297"/>
      <c r="H79" s="297"/>
      <c r="I79" s="326">
        <v>0</v>
      </c>
      <c r="J79" s="267"/>
      <c r="K79" s="267"/>
      <c r="L79" s="3865" t="e">
        <f t="shared" si="13"/>
        <v>#DIV/0!</v>
      </c>
      <c r="M79" s="3865" t="e">
        <f t="shared" si="13"/>
        <v>#DIV/0!</v>
      </c>
      <c r="N79" s="218">
        <f t="shared" si="14"/>
        <v>0</v>
      </c>
      <c r="O79" s="218">
        <f t="shared" si="15"/>
        <v>0</v>
      </c>
      <c r="P79" s="218">
        <f>IF(K79=0, 0, (HLOOKUP(K79,'[1]G-CESTD'!$A$5:$G$35,J79+1,FALSE)*R29))</f>
        <v>0</v>
      </c>
      <c r="Q79" s="218">
        <f>IF(K79=0, 0, (HLOOKUP(K79,'[1]G-CESTD'!$A$5:$G$35,J79+1,FALSE)*R29))</f>
        <v>0</v>
      </c>
      <c r="R79" s="292">
        <v>1.081</v>
      </c>
      <c r="S79" s="293">
        <f t="shared" si="18"/>
        <v>0</v>
      </c>
      <c r="T79" s="293">
        <f t="shared" si="18"/>
        <v>0</v>
      </c>
      <c r="U79" s="293">
        <f t="shared" si="18"/>
        <v>0</v>
      </c>
      <c r="V79" s="338" t="e">
        <f t="shared" si="16"/>
        <v>#DIV/0!</v>
      </c>
      <c r="W79" s="338" t="e">
        <f t="shared" si="12"/>
        <v>#DIV/0!</v>
      </c>
      <c r="X79" s="338" t="e">
        <f t="shared" si="17"/>
        <v>#DIV/0!</v>
      </c>
    </row>
    <row r="80" spans="2:24" ht="13.8" x14ac:dyDescent="0.3">
      <c r="B80" s="296"/>
      <c r="C80" s="296" t="s">
        <v>228</v>
      </c>
      <c r="D80" s="296">
        <v>0</v>
      </c>
      <c r="E80" s="296" t="s">
        <v>617</v>
      </c>
      <c r="F80" s="296" t="s">
        <v>211</v>
      </c>
      <c r="G80" s="297"/>
      <c r="H80" s="297"/>
      <c r="I80" s="326">
        <v>0</v>
      </c>
      <c r="J80" s="267"/>
      <c r="K80" s="267"/>
      <c r="L80" s="3865" t="e">
        <f t="shared" si="13"/>
        <v>#DIV/0!</v>
      </c>
      <c r="M80" s="3865" t="e">
        <f t="shared" si="13"/>
        <v>#DIV/0!</v>
      </c>
      <c r="N80" s="218">
        <f t="shared" si="14"/>
        <v>0</v>
      </c>
      <c r="O80" s="218">
        <f t="shared" si="15"/>
        <v>0</v>
      </c>
      <c r="P80" s="218">
        <f>IF(K80=0, 0, (HLOOKUP(K80,'[1]G-CESTD'!$A$5:$G$35,J80+1,FALSE)*R30))</f>
        <v>0</v>
      </c>
      <c r="Q80" s="218">
        <f>IF(K80=0, 0, (HLOOKUP(K80,'[1]G-CESTD'!$A$5:$G$35,J80+1,FALSE)*R30))</f>
        <v>0</v>
      </c>
      <c r="R80" s="292">
        <v>1.081</v>
      </c>
      <c r="S80" s="293">
        <f t="shared" si="18"/>
        <v>0</v>
      </c>
      <c r="T80" s="293">
        <f t="shared" si="18"/>
        <v>0</v>
      </c>
      <c r="U80" s="293">
        <f t="shared" si="18"/>
        <v>0</v>
      </c>
      <c r="V80" s="338" t="e">
        <f t="shared" si="16"/>
        <v>#DIV/0!</v>
      </c>
      <c r="W80" s="338" t="e">
        <f t="shared" si="12"/>
        <v>#DIV/0!</v>
      </c>
      <c r="X80" s="338" t="e">
        <f t="shared" si="17"/>
        <v>#DIV/0!</v>
      </c>
    </row>
    <row r="81" spans="2:21" ht="13.8" x14ac:dyDescent="0.3">
      <c r="B81" s="296"/>
      <c r="C81" s="296" t="s">
        <v>229</v>
      </c>
      <c r="D81" s="296">
        <v>0</v>
      </c>
      <c r="E81" s="296" t="s">
        <v>617</v>
      </c>
      <c r="F81" s="296" t="s">
        <v>211</v>
      </c>
      <c r="G81" s="297"/>
      <c r="H81" s="297"/>
      <c r="I81" s="326">
        <v>0</v>
      </c>
      <c r="J81" s="267"/>
      <c r="K81" s="267"/>
      <c r="L81" s="3865" t="e">
        <f t="shared" si="13"/>
        <v>#DIV/0!</v>
      </c>
      <c r="M81" s="3865" t="e">
        <f t="shared" si="13"/>
        <v>#DIV/0!</v>
      </c>
      <c r="N81" s="218">
        <f t="shared" si="14"/>
        <v>0</v>
      </c>
      <c r="O81" s="218">
        <f t="shared" si="15"/>
        <v>0</v>
      </c>
      <c r="P81" s="218">
        <f>IF(K81=0, 0, (HLOOKUP(K81,'[1]G-CESTD'!$A$5:$G$35,J81+1,FALSE)*R31))</f>
        <v>0</v>
      </c>
      <c r="Q81" s="218">
        <f>IF(K81=0, 0, (HLOOKUP(K81,'[1]G-CESTD'!$A$5:$G$35,J81+1,FALSE)*R31))</f>
        <v>0</v>
      </c>
      <c r="R81" s="292">
        <v>1.081</v>
      </c>
      <c r="S81" s="293">
        <f t="shared" si="18"/>
        <v>0</v>
      </c>
      <c r="T81" s="293">
        <f t="shared" si="18"/>
        <v>0</v>
      </c>
      <c r="U81" s="293">
        <f t="shared" si="18"/>
        <v>0</v>
      </c>
    </row>
    <row r="82" spans="2:21" ht="13.8" x14ac:dyDescent="0.3">
      <c r="B82" s="296"/>
      <c r="C82" s="296" t="s">
        <v>230</v>
      </c>
      <c r="D82" s="299">
        <v>0</v>
      </c>
      <c r="E82" s="296" t="s">
        <v>617</v>
      </c>
      <c r="F82" s="296" t="s">
        <v>211</v>
      </c>
      <c r="G82" s="297"/>
      <c r="H82" s="297"/>
      <c r="I82" s="326">
        <v>0</v>
      </c>
      <c r="J82" s="267"/>
      <c r="K82" s="267"/>
      <c r="L82" s="3865" t="e">
        <f t="shared" si="13"/>
        <v>#DIV/0!</v>
      </c>
      <c r="M82" s="3865" t="e">
        <f t="shared" si="13"/>
        <v>#DIV/0!</v>
      </c>
      <c r="N82" s="218">
        <f t="shared" si="14"/>
        <v>0</v>
      </c>
      <c r="O82" s="218">
        <f t="shared" si="15"/>
        <v>0</v>
      </c>
      <c r="P82" s="218">
        <f>IF(K82=0, 0, (HLOOKUP(K82,'[1]G-CESTD'!$A$5:$G$35,J82+1,FALSE)*R32))</f>
        <v>0</v>
      </c>
      <c r="Q82" s="218">
        <f>IF(K82=0, 0, (HLOOKUP(K82,'[1]G-CESTD'!$A$5:$G$35,J82+1,FALSE)*R32))</f>
        <v>0</v>
      </c>
      <c r="R82" s="292">
        <v>1.081</v>
      </c>
      <c r="S82" s="293">
        <f t="shared" si="18"/>
        <v>0</v>
      </c>
      <c r="T82" s="293">
        <f t="shared" si="18"/>
        <v>0</v>
      </c>
      <c r="U82" s="293">
        <f t="shared" si="18"/>
        <v>0</v>
      </c>
    </row>
    <row r="83" spans="2:21" ht="13.8" x14ac:dyDescent="0.3">
      <c r="B83" s="296"/>
      <c r="C83" s="296" t="s">
        <v>231</v>
      </c>
      <c r="D83" s="299">
        <v>0</v>
      </c>
      <c r="E83" s="296" t="s">
        <v>617</v>
      </c>
      <c r="F83" s="296" t="s">
        <v>211</v>
      </c>
      <c r="G83" s="297"/>
      <c r="H83" s="297"/>
      <c r="I83" s="326">
        <v>0</v>
      </c>
      <c r="J83" s="267"/>
      <c r="K83" s="267"/>
      <c r="L83" s="3865" t="e">
        <f t="shared" si="13"/>
        <v>#DIV/0!</v>
      </c>
      <c r="M83" s="3865" t="e">
        <f t="shared" si="13"/>
        <v>#DIV/0!</v>
      </c>
      <c r="N83" s="218">
        <f t="shared" si="14"/>
        <v>0</v>
      </c>
      <c r="O83" s="218">
        <f t="shared" si="15"/>
        <v>0</v>
      </c>
      <c r="P83" s="218">
        <f>IF(K83=0, 0, (HLOOKUP(K83,'[1]G-CESTD'!$A$5:$G$35,J83+1,FALSE)*R33))</f>
        <v>0</v>
      </c>
      <c r="Q83" s="218">
        <f>IF(K83=0, 0, (HLOOKUP(K83,'[1]G-CESTD'!$A$5:$G$35,J83+1,FALSE)*R33))</f>
        <v>0</v>
      </c>
      <c r="R83" s="292">
        <v>1.081</v>
      </c>
      <c r="S83" s="293">
        <f t="shared" si="18"/>
        <v>0</v>
      </c>
      <c r="T83" s="293">
        <f t="shared" si="18"/>
        <v>0</v>
      </c>
      <c r="U83" s="293">
        <f t="shared" si="18"/>
        <v>0</v>
      </c>
    </row>
    <row r="84" spans="2:21" ht="13.8" x14ac:dyDescent="0.3">
      <c r="B84" s="296"/>
      <c r="C84" s="296" t="s">
        <v>232</v>
      </c>
      <c r="D84" s="299">
        <v>0</v>
      </c>
      <c r="E84" s="296" t="s">
        <v>617</v>
      </c>
      <c r="F84" s="296" t="s">
        <v>211</v>
      </c>
      <c r="G84" s="297"/>
      <c r="H84" s="297"/>
      <c r="I84" s="326">
        <v>0</v>
      </c>
      <c r="J84" s="267"/>
      <c r="K84" s="267"/>
      <c r="L84" s="3865" t="e">
        <f t="shared" si="13"/>
        <v>#DIV/0!</v>
      </c>
      <c r="M84" s="3865" t="e">
        <f t="shared" si="13"/>
        <v>#DIV/0!</v>
      </c>
      <c r="N84" s="218">
        <f t="shared" si="14"/>
        <v>0</v>
      </c>
      <c r="O84" s="218">
        <f t="shared" si="15"/>
        <v>0</v>
      </c>
      <c r="P84" s="218">
        <f>IF(K84=0, 0, (HLOOKUP(K84,'[1]G-CESTD'!$A$5:$G$35,J84+1,FALSE)*R34))</f>
        <v>0</v>
      </c>
      <c r="Q84" s="218">
        <f>IF(K84=0, 0, (HLOOKUP(K84,'[1]G-CESTD'!$A$5:$G$35,J84+1,FALSE)*R34))</f>
        <v>0</v>
      </c>
      <c r="R84" s="292">
        <v>1.081</v>
      </c>
      <c r="S84" s="293">
        <f t="shared" si="18"/>
        <v>0</v>
      </c>
      <c r="T84" s="293">
        <f t="shared" si="18"/>
        <v>0</v>
      </c>
      <c r="U84" s="293">
        <f t="shared" si="18"/>
        <v>0</v>
      </c>
    </row>
    <row r="85" spans="2:21" ht="13.8" x14ac:dyDescent="0.3">
      <c r="B85" s="296"/>
      <c r="C85" s="296" t="s">
        <v>233</v>
      </c>
      <c r="D85" s="299">
        <v>0</v>
      </c>
      <c r="E85" s="296" t="s">
        <v>617</v>
      </c>
      <c r="F85" s="296" t="s">
        <v>211</v>
      </c>
      <c r="G85" s="297"/>
      <c r="H85" s="297"/>
      <c r="I85" s="326">
        <v>0</v>
      </c>
      <c r="J85" s="267"/>
      <c r="K85" s="267"/>
      <c r="L85" s="3865" t="e">
        <f t="shared" si="13"/>
        <v>#DIV/0!</v>
      </c>
      <c r="M85" s="3865" t="e">
        <f t="shared" si="13"/>
        <v>#DIV/0!</v>
      </c>
      <c r="N85" s="218">
        <f t="shared" si="14"/>
        <v>0</v>
      </c>
      <c r="O85" s="218">
        <f t="shared" si="15"/>
        <v>0</v>
      </c>
      <c r="P85" s="218">
        <f>IF(K85=0, 0, (HLOOKUP(K85,'[1]G-CESTD'!$A$5:$G$35,J85+1,FALSE)*R35))</f>
        <v>0</v>
      </c>
      <c r="Q85" s="218">
        <f>IF(K85=0, 0, (HLOOKUP(K85,'[1]G-CESTD'!$A$5:$G$35,J85+1,FALSE)*R35))</f>
        <v>0</v>
      </c>
      <c r="R85" s="292">
        <v>1.081</v>
      </c>
      <c r="S85" s="293">
        <f t="shared" si="18"/>
        <v>0</v>
      </c>
      <c r="T85" s="293">
        <f t="shared" si="18"/>
        <v>0</v>
      </c>
      <c r="U85" s="293">
        <f t="shared" si="18"/>
        <v>0</v>
      </c>
    </row>
    <row r="86" spans="2:21" ht="13.8" x14ac:dyDescent="0.3">
      <c r="B86" s="296"/>
      <c r="C86" s="296" t="s">
        <v>234</v>
      </c>
      <c r="D86" s="299">
        <v>0</v>
      </c>
      <c r="E86" s="296" t="s">
        <v>617</v>
      </c>
      <c r="F86" s="296" t="s">
        <v>211</v>
      </c>
      <c r="G86" s="297"/>
      <c r="H86" s="297"/>
      <c r="I86" s="326">
        <v>0</v>
      </c>
      <c r="J86" s="267"/>
      <c r="K86" s="267"/>
      <c r="L86" s="3865" t="e">
        <f t="shared" si="13"/>
        <v>#DIV/0!</v>
      </c>
      <c r="M86" s="3865" t="e">
        <f t="shared" si="13"/>
        <v>#DIV/0!</v>
      </c>
      <c r="N86" s="218">
        <f t="shared" si="14"/>
        <v>0</v>
      </c>
      <c r="O86" s="218">
        <f t="shared" si="15"/>
        <v>0</v>
      </c>
      <c r="P86" s="218">
        <f>IF(K86=0, 0, (HLOOKUP(K86,'[1]G-CESTD'!$A$5:$G$35,J86+1,FALSE)*R36))</f>
        <v>0</v>
      </c>
      <c r="Q86" s="218">
        <f>IF(K86=0, 0, (HLOOKUP(K86,'[1]G-CESTD'!$A$5:$G$35,J86+1,FALSE)*R36))</f>
        <v>0</v>
      </c>
      <c r="R86" s="292">
        <v>1.081</v>
      </c>
      <c r="S86" s="293">
        <f t="shared" si="18"/>
        <v>0</v>
      </c>
      <c r="T86" s="293">
        <f t="shared" si="18"/>
        <v>0</v>
      </c>
      <c r="U86" s="293">
        <f t="shared" si="18"/>
        <v>0</v>
      </c>
    </row>
    <row r="87" spans="2:21" ht="13.8" x14ac:dyDescent="0.3">
      <c r="B87" s="296"/>
      <c r="C87" s="296" t="s">
        <v>235</v>
      </c>
      <c r="D87" s="299">
        <v>0</v>
      </c>
      <c r="E87" s="296" t="s">
        <v>617</v>
      </c>
      <c r="F87" s="296" t="s">
        <v>211</v>
      </c>
      <c r="G87" s="297"/>
      <c r="H87" s="297"/>
      <c r="I87" s="326">
        <v>0</v>
      </c>
      <c r="J87" s="267"/>
      <c r="K87" s="267"/>
      <c r="L87" s="3865" t="e">
        <f t="shared" si="13"/>
        <v>#DIV/0!</v>
      </c>
      <c r="M87" s="3865" t="e">
        <f t="shared" si="13"/>
        <v>#DIV/0!</v>
      </c>
      <c r="N87" s="218">
        <f t="shared" si="14"/>
        <v>0</v>
      </c>
      <c r="O87" s="218">
        <f t="shared" si="15"/>
        <v>0</v>
      </c>
      <c r="P87" s="218">
        <f>IF(K87=0, 0, (HLOOKUP(K87,'[1]G-CESTD'!$A$5:$G$35,J87+1,FALSE)*R37))</f>
        <v>0</v>
      </c>
      <c r="Q87" s="218">
        <f>IF(K87=0, 0, (HLOOKUP(K87,'[1]G-CESTD'!$A$5:$G$35,J87+1,FALSE)*R37))</f>
        <v>0</v>
      </c>
      <c r="R87" s="292">
        <v>1.081</v>
      </c>
      <c r="S87" s="293">
        <f t="shared" si="18"/>
        <v>0</v>
      </c>
      <c r="T87" s="293">
        <f t="shared" si="18"/>
        <v>0</v>
      </c>
      <c r="U87" s="293">
        <f t="shared" si="18"/>
        <v>0</v>
      </c>
    </row>
    <row r="88" spans="2:21" ht="13.8" x14ac:dyDescent="0.3">
      <c r="B88" s="296"/>
      <c r="C88" s="296" t="s">
        <v>236</v>
      </c>
      <c r="D88" s="299">
        <v>0</v>
      </c>
      <c r="E88" s="296" t="s">
        <v>617</v>
      </c>
      <c r="F88" s="296" t="s">
        <v>211</v>
      </c>
      <c r="G88" s="297"/>
      <c r="H88" s="297"/>
      <c r="I88" s="326">
        <v>0</v>
      </c>
      <c r="J88" s="267"/>
      <c r="K88" s="267"/>
      <c r="L88" s="3865" t="e">
        <f t="shared" si="13"/>
        <v>#DIV/0!</v>
      </c>
      <c r="M88" s="3865" t="e">
        <f t="shared" si="13"/>
        <v>#DIV/0!</v>
      </c>
      <c r="N88" s="218">
        <f t="shared" si="14"/>
        <v>0</v>
      </c>
      <c r="O88" s="218">
        <f t="shared" si="15"/>
        <v>0</v>
      </c>
      <c r="P88" s="218">
        <f>IF(K88=0, 0, (HLOOKUP(K88,'[1]G-CESTD'!$A$5:$G$35,J88+1,FALSE)*R38))</f>
        <v>0</v>
      </c>
      <c r="Q88" s="218">
        <f>IF(K88=0, 0, (HLOOKUP(K88,'[1]G-CESTD'!$A$5:$G$35,J88+1,FALSE)*R38))</f>
        <v>0</v>
      </c>
      <c r="R88" s="292">
        <v>1.081</v>
      </c>
      <c r="S88" s="293">
        <f t="shared" si="18"/>
        <v>0</v>
      </c>
      <c r="T88" s="293">
        <f t="shared" si="18"/>
        <v>0</v>
      </c>
      <c r="U88" s="293">
        <f t="shared" si="18"/>
        <v>0</v>
      </c>
    </row>
    <row r="89" spans="2:21" ht="13.8" x14ac:dyDescent="0.3">
      <c r="B89" s="296"/>
      <c r="C89" s="296" t="s">
        <v>237</v>
      </c>
      <c r="D89" s="299">
        <v>0</v>
      </c>
      <c r="E89" s="296" t="s">
        <v>617</v>
      </c>
      <c r="F89" s="296" t="s">
        <v>211</v>
      </c>
      <c r="G89" s="297"/>
      <c r="H89" s="297"/>
      <c r="I89" s="326">
        <v>0</v>
      </c>
      <c r="J89" s="267"/>
      <c r="K89" s="267"/>
      <c r="L89" s="3865" t="e">
        <f t="shared" si="13"/>
        <v>#DIV/0!</v>
      </c>
      <c r="M89" s="3865" t="e">
        <f t="shared" si="13"/>
        <v>#DIV/0!</v>
      </c>
      <c r="N89" s="218">
        <f t="shared" si="14"/>
        <v>0</v>
      </c>
      <c r="O89" s="218">
        <f t="shared" si="15"/>
        <v>0</v>
      </c>
      <c r="P89" s="218">
        <f>IF(K89=0, 0, (HLOOKUP(K89,'[1]G-CESTD'!$A$5:$G$35,J89+1,FALSE)*R39))</f>
        <v>0</v>
      </c>
      <c r="Q89" s="218">
        <f>IF(K89=0, 0, (HLOOKUP(K89,'[1]G-CESTD'!$A$5:$G$35,J89+1,FALSE)*R39))</f>
        <v>0</v>
      </c>
      <c r="R89" s="292">
        <v>1.081</v>
      </c>
      <c r="S89" s="293">
        <f t="shared" si="18"/>
        <v>0</v>
      </c>
      <c r="T89" s="293">
        <f t="shared" si="18"/>
        <v>0</v>
      </c>
      <c r="U89" s="293">
        <f t="shared" si="18"/>
        <v>0</v>
      </c>
    </row>
    <row r="90" spans="2:21" ht="13.8" x14ac:dyDescent="0.3">
      <c r="B90" s="296"/>
      <c r="C90" s="296" t="s">
        <v>238</v>
      </c>
      <c r="D90" s="299">
        <v>0</v>
      </c>
      <c r="E90" s="296" t="s">
        <v>617</v>
      </c>
      <c r="F90" s="296" t="s">
        <v>211</v>
      </c>
      <c r="G90" s="297"/>
      <c r="H90" s="297"/>
      <c r="I90" s="326">
        <v>0</v>
      </c>
      <c r="J90" s="267"/>
      <c r="K90" s="267"/>
      <c r="L90" s="3865" t="e">
        <f t="shared" si="13"/>
        <v>#DIV/0!</v>
      </c>
      <c r="M90" s="3865" t="e">
        <f t="shared" si="13"/>
        <v>#DIV/0!</v>
      </c>
      <c r="N90" s="218">
        <f t="shared" si="14"/>
        <v>0</v>
      </c>
      <c r="O90" s="218">
        <f t="shared" si="15"/>
        <v>0</v>
      </c>
      <c r="P90" s="218">
        <f>IF(K90=0, 0, (HLOOKUP(K90,'[1]G-CESTD'!$A$5:$G$35,J90+1,FALSE)*R40))</f>
        <v>0</v>
      </c>
      <c r="Q90" s="218">
        <f>IF(K90=0, 0, (HLOOKUP(K90,'[1]G-CESTD'!$A$5:$G$35,J90+1,FALSE)*R40))</f>
        <v>0</v>
      </c>
      <c r="R90" s="292">
        <v>1.081</v>
      </c>
      <c r="S90" s="293">
        <f t="shared" si="18"/>
        <v>0</v>
      </c>
      <c r="T90" s="293">
        <f t="shared" si="18"/>
        <v>0</v>
      </c>
      <c r="U90" s="293">
        <f t="shared" si="18"/>
        <v>0</v>
      </c>
    </row>
    <row r="91" spans="2:21" ht="13.8" x14ac:dyDescent="0.3">
      <c r="B91" s="296"/>
      <c r="C91" s="296" t="s">
        <v>239</v>
      </c>
      <c r="D91" s="299">
        <v>0</v>
      </c>
      <c r="E91" s="296" t="s">
        <v>617</v>
      </c>
      <c r="F91" s="296" t="s">
        <v>211</v>
      </c>
      <c r="G91" s="297"/>
      <c r="H91" s="297"/>
      <c r="I91" s="326">
        <v>0</v>
      </c>
      <c r="J91" s="267"/>
      <c r="K91" s="267"/>
      <c r="L91" s="3865" t="e">
        <f t="shared" si="13"/>
        <v>#DIV/0!</v>
      </c>
      <c r="M91" s="3865" t="e">
        <f t="shared" si="13"/>
        <v>#DIV/0!</v>
      </c>
      <c r="N91" s="218">
        <f t="shared" si="14"/>
        <v>0</v>
      </c>
      <c r="O91" s="218">
        <f t="shared" si="15"/>
        <v>0</v>
      </c>
      <c r="P91" s="218">
        <f>IF(K91=0, 0, (HLOOKUP(K91,'[1]G-CESTD'!$A$5:$G$35,J91+1,FALSE)*R41))</f>
        <v>0</v>
      </c>
      <c r="Q91" s="218">
        <f>IF(K91=0, 0, (HLOOKUP(K91,'[1]G-CESTD'!$A$5:$G$35,J91+1,FALSE)*R41))</f>
        <v>0</v>
      </c>
      <c r="R91" s="292">
        <v>1.081</v>
      </c>
      <c r="S91" s="293">
        <f t="shared" si="18"/>
        <v>0</v>
      </c>
      <c r="T91" s="293">
        <f t="shared" si="18"/>
        <v>0</v>
      </c>
      <c r="U91" s="293">
        <f t="shared" si="18"/>
        <v>0</v>
      </c>
    </row>
    <row r="92" spans="2:21" ht="13.8" x14ac:dyDescent="0.3">
      <c r="B92" s="296"/>
      <c r="C92" s="296" t="s">
        <v>240</v>
      </c>
      <c r="D92" s="299">
        <v>0</v>
      </c>
      <c r="E92" s="296" t="s">
        <v>617</v>
      </c>
      <c r="F92" s="296" t="s">
        <v>211</v>
      </c>
      <c r="G92" s="297"/>
      <c r="H92" s="297"/>
      <c r="I92" s="326">
        <v>0</v>
      </c>
      <c r="J92" s="267"/>
      <c r="K92" s="267"/>
      <c r="L92" s="3865" t="e">
        <f t="shared" si="13"/>
        <v>#DIV/0!</v>
      </c>
      <c r="M92" s="3865" t="e">
        <f t="shared" si="13"/>
        <v>#DIV/0!</v>
      </c>
      <c r="N92" s="218">
        <f t="shared" si="14"/>
        <v>0</v>
      </c>
      <c r="O92" s="218">
        <f t="shared" si="15"/>
        <v>0</v>
      </c>
      <c r="P92" s="218">
        <f>IF(K92=0, 0, (HLOOKUP(K92,'[1]G-CESTD'!$A$5:$G$35,J92+1,FALSE)*R42))</f>
        <v>0</v>
      </c>
      <c r="Q92" s="218">
        <f>IF(K92=0, 0, (HLOOKUP(K92,'[1]G-CESTD'!$A$5:$G$35,J92+1,FALSE)*R42))</f>
        <v>0</v>
      </c>
      <c r="R92" s="292">
        <v>1.081</v>
      </c>
      <c r="S92" s="293">
        <f t="shared" si="18"/>
        <v>0</v>
      </c>
      <c r="T92" s="293">
        <f t="shared" si="18"/>
        <v>0</v>
      </c>
      <c r="U92" s="293">
        <f t="shared" si="18"/>
        <v>0</v>
      </c>
    </row>
    <row r="93" spans="2:21" ht="13.8" x14ac:dyDescent="0.3">
      <c r="B93" s="296"/>
      <c r="C93" s="296" t="s">
        <v>241</v>
      </c>
      <c r="D93" s="299">
        <v>0</v>
      </c>
      <c r="E93" s="296" t="s">
        <v>617</v>
      </c>
      <c r="F93" s="296" t="s">
        <v>211</v>
      </c>
      <c r="G93" s="297"/>
      <c r="H93" s="297"/>
      <c r="I93" s="326">
        <v>0</v>
      </c>
      <c r="J93" s="267"/>
      <c r="K93" s="267"/>
      <c r="L93" s="3865" t="e">
        <f t="shared" si="13"/>
        <v>#DIV/0!</v>
      </c>
      <c r="M93" s="3865" t="e">
        <f t="shared" si="13"/>
        <v>#DIV/0!</v>
      </c>
      <c r="N93" s="218">
        <f t="shared" si="14"/>
        <v>0</v>
      </c>
      <c r="O93" s="218">
        <f t="shared" si="15"/>
        <v>0</v>
      </c>
      <c r="P93" s="218">
        <f>IF(K93=0, 0, (HLOOKUP(K93,'[1]G-CESTD'!$A$5:$G$35,J93+1,FALSE)*R43))</f>
        <v>0</v>
      </c>
      <c r="Q93" s="218">
        <f>IF(K93=0, 0, (HLOOKUP(K93,'[1]G-CESTD'!$A$5:$G$35,J93+1,FALSE)*R43))</f>
        <v>0</v>
      </c>
      <c r="R93" s="292">
        <v>1.081</v>
      </c>
      <c r="S93" s="293">
        <f t="shared" si="18"/>
        <v>0</v>
      </c>
      <c r="T93" s="293">
        <f t="shared" si="18"/>
        <v>0</v>
      </c>
      <c r="U93" s="293">
        <f t="shared" si="18"/>
        <v>0</v>
      </c>
    </row>
    <row r="94" spans="2:21" ht="13.8" x14ac:dyDescent="0.3">
      <c r="B94" s="296"/>
      <c r="C94" s="296" t="s">
        <v>242</v>
      </c>
      <c r="D94" s="299">
        <v>0</v>
      </c>
      <c r="E94" s="296" t="s">
        <v>617</v>
      </c>
      <c r="F94" s="296" t="s">
        <v>211</v>
      </c>
      <c r="G94" s="297"/>
      <c r="H94" s="297"/>
      <c r="I94" s="326">
        <v>0</v>
      </c>
      <c r="J94" s="267"/>
      <c r="K94" s="267"/>
      <c r="L94" s="3865" t="e">
        <f t="shared" si="13"/>
        <v>#DIV/0!</v>
      </c>
      <c r="M94" s="3865" t="e">
        <f t="shared" si="13"/>
        <v>#DIV/0!</v>
      </c>
      <c r="N94" s="218">
        <f t="shared" si="14"/>
        <v>0</v>
      </c>
      <c r="O94" s="218">
        <f t="shared" si="15"/>
        <v>0</v>
      </c>
      <c r="P94" s="218">
        <f>IF(K94=0, 0, (HLOOKUP(K94,'[1]G-CESTD'!$A$5:$G$35,J94+1,FALSE)*R44))</f>
        <v>0</v>
      </c>
      <c r="Q94" s="218">
        <f>IF(K94=0, 0, (HLOOKUP(K94,'[1]G-CESTD'!$A$5:$G$35,J94+1,FALSE)*R44))</f>
        <v>0</v>
      </c>
      <c r="R94" s="292">
        <v>1.081</v>
      </c>
      <c r="S94" s="293">
        <f t="shared" si="18"/>
        <v>0</v>
      </c>
      <c r="T94" s="293">
        <f t="shared" si="18"/>
        <v>0</v>
      </c>
      <c r="U94" s="293">
        <f t="shared" si="18"/>
        <v>0</v>
      </c>
    </row>
    <row r="95" spans="2:21" ht="13.8" x14ac:dyDescent="0.3">
      <c r="B95" s="296"/>
      <c r="C95" s="296" t="s">
        <v>243</v>
      </c>
      <c r="D95" s="299">
        <v>0</v>
      </c>
      <c r="E95" s="296" t="s">
        <v>617</v>
      </c>
      <c r="F95" s="296" t="s">
        <v>211</v>
      </c>
      <c r="G95" s="297"/>
      <c r="H95" s="297"/>
      <c r="I95" s="326">
        <v>0</v>
      </c>
      <c r="J95" s="267"/>
      <c r="K95" s="267"/>
      <c r="L95" s="3865" t="e">
        <f t="shared" si="13"/>
        <v>#DIV/0!</v>
      </c>
      <c r="M95" s="3865" t="e">
        <f t="shared" si="13"/>
        <v>#DIV/0!</v>
      </c>
      <c r="N95" s="218">
        <f t="shared" si="14"/>
        <v>0</v>
      </c>
      <c r="O95" s="218">
        <f t="shared" si="15"/>
        <v>0</v>
      </c>
      <c r="P95" s="218">
        <f>IF(K95=0, 0, (HLOOKUP(K95,'[1]G-CESTD'!$A$5:$G$35,J95+1,FALSE)*R45))</f>
        <v>0</v>
      </c>
      <c r="Q95" s="218">
        <f>IF(K95=0, 0, (HLOOKUP(K95,'[1]G-CESTD'!$A$5:$G$35,J95+1,FALSE)*R45))</f>
        <v>0</v>
      </c>
      <c r="R95" s="292">
        <v>1.081</v>
      </c>
      <c r="S95" s="293">
        <f t="shared" si="18"/>
        <v>0</v>
      </c>
      <c r="T95" s="293">
        <f t="shared" si="18"/>
        <v>0</v>
      </c>
      <c r="U95" s="293">
        <f t="shared" si="18"/>
        <v>0</v>
      </c>
    </row>
    <row r="96" spans="2:21" ht="13.8" x14ac:dyDescent="0.3">
      <c r="B96" s="296"/>
      <c r="C96" s="296" t="s">
        <v>244</v>
      </c>
      <c r="D96" s="299">
        <v>0</v>
      </c>
      <c r="E96" s="296" t="s">
        <v>617</v>
      </c>
      <c r="F96" s="296" t="s">
        <v>211</v>
      </c>
      <c r="G96" s="297"/>
      <c r="H96" s="297"/>
      <c r="I96" s="326">
        <v>0</v>
      </c>
      <c r="J96" s="267"/>
      <c r="K96" s="267"/>
      <c r="L96" s="3865" t="e">
        <f t="shared" si="13"/>
        <v>#DIV/0!</v>
      </c>
      <c r="M96" s="3865" t="e">
        <f t="shared" si="13"/>
        <v>#DIV/0!</v>
      </c>
      <c r="N96" s="218">
        <f t="shared" si="14"/>
        <v>0</v>
      </c>
      <c r="O96" s="218">
        <f t="shared" si="15"/>
        <v>0</v>
      </c>
      <c r="P96" s="218">
        <f>IF(K96=0, 0, (HLOOKUP(K96,'[1]G-CESTD'!$A$5:$G$35,J96+1,FALSE)*R46))</f>
        <v>0</v>
      </c>
      <c r="Q96" s="218">
        <f>IF(K96=0, 0, (HLOOKUP(K96,'[1]G-CESTD'!$A$5:$G$35,J96+1,FALSE)*R46))</f>
        <v>0</v>
      </c>
      <c r="R96" s="292">
        <v>1.081</v>
      </c>
      <c r="S96" s="293">
        <f t="shared" si="18"/>
        <v>0</v>
      </c>
      <c r="T96" s="293">
        <f t="shared" si="18"/>
        <v>0</v>
      </c>
      <c r="U96" s="293">
        <f t="shared" si="18"/>
        <v>0</v>
      </c>
    </row>
    <row r="97" spans="2:21" ht="13.8" x14ac:dyDescent="0.3">
      <c r="B97" s="296"/>
      <c r="C97" s="296" t="s">
        <v>245</v>
      </c>
      <c r="D97" s="299">
        <v>0</v>
      </c>
      <c r="E97" s="296" t="s">
        <v>617</v>
      </c>
      <c r="F97" s="296" t="s">
        <v>211</v>
      </c>
      <c r="G97" s="297"/>
      <c r="H97" s="297"/>
      <c r="I97" s="326">
        <v>0</v>
      </c>
      <c r="J97" s="267"/>
      <c r="K97" s="267"/>
      <c r="L97" s="3865" t="e">
        <f t="shared" si="13"/>
        <v>#DIV/0!</v>
      </c>
      <c r="M97" s="3865" t="e">
        <f t="shared" si="13"/>
        <v>#DIV/0!</v>
      </c>
      <c r="N97" s="218">
        <f t="shared" si="14"/>
        <v>0</v>
      </c>
      <c r="O97" s="218">
        <f t="shared" si="15"/>
        <v>0</v>
      </c>
      <c r="P97" s="218">
        <f>IF(K97=0, 0, (HLOOKUP(K97,'[1]G-CESTD'!$A$5:$G$35,J97+1,FALSE)*R47))</f>
        <v>0</v>
      </c>
      <c r="Q97" s="218">
        <f>IF(K97=0, 0, (HLOOKUP(K97,'[1]G-CESTD'!$A$5:$G$35,J97+1,FALSE)*R47))</f>
        <v>0</v>
      </c>
      <c r="R97" s="292">
        <v>1.081</v>
      </c>
      <c r="S97" s="293">
        <f t="shared" si="18"/>
        <v>0</v>
      </c>
      <c r="T97" s="293">
        <f t="shared" si="18"/>
        <v>0</v>
      </c>
      <c r="U97" s="293">
        <f t="shared" si="18"/>
        <v>0</v>
      </c>
    </row>
    <row r="98" spans="2:21" ht="13.8" x14ac:dyDescent="0.3">
      <c r="B98" s="296"/>
      <c r="C98" s="296" t="s">
        <v>246</v>
      </c>
      <c r="D98" s="299">
        <v>0</v>
      </c>
      <c r="E98" s="296" t="s">
        <v>617</v>
      </c>
      <c r="F98" s="296" t="s">
        <v>211</v>
      </c>
      <c r="G98" s="297"/>
      <c r="H98" s="297"/>
      <c r="I98" s="326">
        <v>0</v>
      </c>
      <c r="J98" s="267"/>
      <c r="K98" s="267"/>
      <c r="L98" s="3865" t="e">
        <f t="shared" si="13"/>
        <v>#DIV/0!</v>
      </c>
      <c r="M98" s="3865" t="e">
        <f t="shared" si="13"/>
        <v>#DIV/0!</v>
      </c>
      <c r="N98" s="218">
        <f t="shared" si="14"/>
        <v>0</v>
      </c>
      <c r="O98" s="218">
        <f t="shared" si="15"/>
        <v>0</v>
      </c>
      <c r="P98" s="218">
        <f>IF(K98=0, 0, (HLOOKUP(K98,'[1]G-CESTD'!$A$5:$G$35,J98+1,FALSE)*R48))</f>
        <v>0</v>
      </c>
      <c r="Q98" s="218">
        <f>IF(K98=0, 0, (HLOOKUP(K98,'[1]G-CESTD'!$A$5:$G$35,J98+1,FALSE)*R48))</f>
        <v>0</v>
      </c>
      <c r="R98" s="292">
        <v>1.081</v>
      </c>
      <c r="S98" s="293">
        <f t="shared" si="18"/>
        <v>0</v>
      </c>
      <c r="T98" s="293">
        <f t="shared" si="18"/>
        <v>0</v>
      </c>
      <c r="U98" s="293">
        <f t="shared" si="18"/>
        <v>0</v>
      </c>
    </row>
    <row r="99" spans="2:21" ht="13.8" x14ac:dyDescent="0.3">
      <c r="B99" s="296"/>
      <c r="C99" s="296" t="s">
        <v>247</v>
      </c>
      <c r="D99" s="299">
        <v>0</v>
      </c>
      <c r="E99" s="296" t="s">
        <v>617</v>
      </c>
      <c r="F99" s="296" t="s">
        <v>211</v>
      </c>
      <c r="G99" s="297"/>
      <c r="H99" s="297"/>
      <c r="I99" s="326">
        <v>0</v>
      </c>
      <c r="J99" s="267"/>
      <c r="K99" s="267"/>
      <c r="L99" s="3865" t="e">
        <f t="shared" si="13"/>
        <v>#DIV/0!</v>
      </c>
      <c r="M99" s="3865" t="e">
        <f t="shared" si="13"/>
        <v>#DIV/0!</v>
      </c>
      <c r="N99" s="218">
        <f t="shared" si="14"/>
        <v>0</v>
      </c>
      <c r="O99" s="218">
        <f t="shared" si="15"/>
        <v>0</v>
      </c>
      <c r="P99" s="218">
        <f>IF(K99=0, 0, (HLOOKUP(K99,'[1]G-CESTD'!$A$5:$G$35,J99+1,FALSE)*R49))</f>
        <v>0</v>
      </c>
      <c r="Q99" s="218">
        <f>IF(K99=0, 0, (HLOOKUP(K99,'[1]G-CESTD'!$A$5:$G$35,J99+1,FALSE)*R49))</f>
        <v>0</v>
      </c>
      <c r="R99" s="292">
        <v>1.081</v>
      </c>
      <c r="S99" s="293">
        <f t="shared" si="18"/>
        <v>0</v>
      </c>
      <c r="T99" s="293">
        <f t="shared" si="18"/>
        <v>0</v>
      </c>
      <c r="U99" s="293">
        <f t="shared" si="18"/>
        <v>0</v>
      </c>
    </row>
    <row r="100" spans="2:21" ht="13.8" x14ac:dyDescent="0.3">
      <c r="B100" s="296"/>
      <c r="C100" s="296" t="s">
        <v>248</v>
      </c>
      <c r="D100" s="299">
        <v>0</v>
      </c>
      <c r="E100" s="296" t="s">
        <v>617</v>
      </c>
      <c r="F100" s="296" t="s">
        <v>211</v>
      </c>
      <c r="G100" s="297"/>
      <c r="H100" s="297"/>
      <c r="I100" s="326">
        <v>0</v>
      </c>
      <c r="J100" s="267"/>
      <c r="K100" s="267"/>
      <c r="L100" s="3865" t="e">
        <f t="shared" si="13"/>
        <v>#DIV/0!</v>
      </c>
      <c r="M100" s="3865" t="e">
        <f t="shared" si="13"/>
        <v>#DIV/0!</v>
      </c>
      <c r="N100" s="218">
        <f t="shared" si="14"/>
        <v>0</v>
      </c>
      <c r="O100" s="218">
        <f t="shared" si="15"/>
        <v>0</v>
      </c>
      <c r="P100" s="218">
        <f>IF(K100=0, 0, (HLOOKUP(K100,'[1]G-CESTD'!$A$5:$G$35,J100+1,FALSE)*R50))</f>
        <v>0</v>
      </c>
      <c r="Q100" s="218">
        <f>IF(K100=0, 0, (HLOOKUP(K100,'[1]G-CESTD'!$A$5:$G$35,J100+1,FALSE)*R50))</f>
        <v>0</v>
      </c>
      <c r="R100" s="292">
        <v>1.081</v>
      </c>
      <c r="S100" s="293">
        <f t="shared" si="18"/>
        <v>0</v>
      </c>
      <c r="T100" s="293">
        <f t="shared" si="18"/>
        <v>0</v>
      </c>
      <c r="U100" s="293">
        <f t="shared" si="18"/>
        <v>0</v>
      </c>
    </row>
    <row r="101" spans="2:21" ht="13.8" x14ac:dyDescent="0.3">
      <c r="B101" s="296"/>
      <c r="C101" s="296" t="s">
        <v>249</v>
      </c>
      <c r="D101" s="299">
        <v>0</v>
      </c>
      <c r="E101" s="296" t="s">
        <v>617</v>
      </c>
      <c r="F101" s="296" t="s">
        <v>211</v>
      </c>
      <c r="G101" s="297"/>
      <c r="H101" s="297"/>
      <c r="I101" s="326">
        <v>0</v>
      </c>
      <c r="J101" s="267"/>
      <c r="K101" s="267"/>
      <c r="L101" s="3865" t="e">
        <f t="shared" si="13"/>
        <v>#DIV/0!</v>
      </c>
      <c r="M101" s="3865" t="e">
        <f t="shared" si="13"/>
        <v>#DIV/0!</v>
      </c>
      <c r="N101" s="218">
        <f t="shared" si="14"/>
        <v>0</v>
      </c>
      <c r="O101" s="218">
        <f t="shared" si="15"/>
        <v>0</v>
      </c>
      <c r="P101" s="218">
        <f>IF(K101=0, 0, (HLOOKUP(K101,'[1]G-CESTD'!$A$5:$G$35,J101+1,FALSE)*R51))</f>
        <v>0</v>
      </c>
      <c r="Q101" s="218">
        <f>IF(K101=0, 0, (HLOOKUP(K101,'[1]G-CESTD'!$A$5:$G$35,J101+1,FALSE)*R51))</f>
        <v>0</v>
      </c>
      <c r="R101" s="292">
        <v>1.081</v>
      </c>
      <c r="S101" s="293">
        <f t="shared" si="18"/>
        <v>0</v>
      </c>
      <c r="T101" s="293">
        <f t="shared" si="18"/>
        <v>0</v>
      </c>
      <c r="U101" s="293">
        <f t="shared" si="18"/>
        <v>0</v>
      </c>
    </row>
    <row r="102" spans="2:21" ht="13.8" x14ac:dyDescent="0.3">
      <c r="B102" s="296"/>
      <c r="C102" s="296" t="s">
        <v>250</v>
      </c>
      <c r="D102" s="299">
        <v>0</v>
      </c>
      <c r="E102" s="296" t="s">
        <v>617</v>
      </c>
      <c r="F102" s="296" t="s">
        <v>211</v>
      </c>
      <c r="G102" s="297"/>
      <c r="H102" s="297"/>
      <c r="I102" s="326">
        <v>0</v>
      </c>
      <c r="J102" s="267"/>
      <c r="K102" s="267"/>
      <c r="L102" s="3865" t="e">
        <f t="shared" si="13"/>
        <v>#DIV/0!</v>
      </c>
      <c r="M102" s="3865" t="e">
        <f t="shared" si="13"/>
        <v>#DIV/0!</v>
      </c>
      <c r="N102" s="218">
        <f t="shared" si="14"/>
        <v>0</v>
      </c>
      <c r="O102" s="218">
        <f t="shared" si="15"/>
        <v>0</v>
      </c>
      <c r="P102" s="218">
        <f>IF(K102=0, 0, (HLOOKUP(K102,'[1]G-CESTD'!$A$5:$G$35,J102+1,FALSE)*R52))</f>
        <v>0</v>
      </c>
      <c r="Q102" s="218">
        <f>IF(K102=0, 0, (HLOOKUP(K102,'[1]G-CESTD'!$A$5:$G$35,J102+1,FALSE)*R52))</f>
        <v>0</v>
      </c>
      <c r="R102" s="292">
        <v>1.081</v>
      </c>
      <c r="S102" s="293">
        <f t="shared" si="18"/>
        <v>0</v>
      </c>
      <c r="T102" s="293">
        <f t="shared" si="18"/>
        <v>0</v>
      </c>
      <c r="U102" s="293">
        <f t="shared" si="18"/>
        <v>0</v>
      </c>
    </row>
    <row r="103" spans="2:21" ht="14.4" thickBot="1" x14ac:dyDescent="0.35">
      <c r="B103" s="296"/>
      <c r="C103" s="296" t="s">
        <v>251</v>
      </c>
      <c r="D103" s="299">
        <v>0</v>
      </c>
      <c r="E103" s="296" t="s">
        <v>617</v>
      </c>
      <c r="F103" s="296" t="s">
        <v>211</v>
      </c>
      <c r="G103" s="297"/>
      <c r="H103" s="297"/>
      <c r="I103" s="326">
        <v>0</v>
      </c>
      <c r="J103" s="267"/>
      <c r="K103" s="267"/>
      <c r="L103" s="3865" t="e">
        <f t="shared" si="13"/>
        <v>#DIV/0!</v>
      </c>
      <c r="M103" s="3865" t="e">
        <f t="shared" si="13"/>
        <v>#DIV/0!</v>
      </c>
      <c r="N103" s="218">
        <f t="shared" si="14"/>
        <v>0</v>
      </c>
      <c r="O103" s="218">
        <f t="shared" si="15"/>
        <v>0</v>
      </c>
      <c r="P103" s="218">
        <f>IF(K103=0, 0, (HLOOKUP(K103,'[1]G-CESTD'!$A$5:$G$35,J103+1,FALSE)*R53))</f>
        <v>0</v>
      </c>
      <c r="Q103" s="218">
        <f>IF(K103=0, 0, (HLOOKUP(K103,'[1]G-CESTD'!$A$5:$G$35,J103+1,FALSE)*R53))</f>
        <v>0</v>
      </c>
      <c r="R103" s="292">
        <v>1.081</v>
      </c>
      <c r="S103" s="293">
        <f t="shared" si="18"/>
        <v>0</v>
      </c>
      <c r="T103" s="293">
        <f t="shared" si="18"/>
        <v>0</v>
      </c>
      <c r="U103" s="293">
        <f t="shared" si="18"/>
        <v>0</v>
      </c>
    </row>
    <row r="104" spans="2:21" ht="14.4" thickBot="1" x14ac:dyDescent="0.35">
      <c r="G104" s="300">
        <f>SUMPRODUCT(G62:G103,O12:O53)</f>
        <v>475200</v>
      </c>
      <c r="H104" s="301">
        <f>U104</f>
        <v>198000</v>
      </c>
      <c r="I104" s="302">
        <f>SUM(I62:I103)</f>
        <v>1</v>
      </c>
      <c r="J104" s="303">
        <f>ROUND(SUMPRODUCT(J62:J103,R12:R53)/R54,0)</f>
        <v>10</v>
      </c>
      <c r="K104" s="274"/>
      <c r="L104" s="3866">
        <f>P104/N104</f>
        <v>1.7928352717961145</v>
      </c>
      <c r="M104" s="3867">
        <f>Q104/O104</f>
        <v>1.1110081579721056</v>
      </c>
      <c r="N104" s="311">
        <f>SUM(N62:N103)</f>
        <v>417840.48057354306</v>
      </c>
      <c r="O104" s="311">
        <f>SUM(O62:O103)</f>
        <v>674269.71276595746</v>
      </c>
      <c r="P104" s="311">
        <f>SUM(P62:P103)</f>
        <v>749119.1515564872</v>
      </c>
      <c r="Q104" s="311">
        <f>SUM(Q62:Q103)</f>
        <v>749119.1515564872</v>
      </c>
      <c r="R104" s="307">
        <v>1.081</v>
      </c>
      <c r="S104" s="308">
        <f>SUM(S62:S103)</f>
        <v>90000</v>
      </c>
      <c r="T104" s="308">
        <f>SUM(T62:T103)</f>
        <v>108000</v>
      </c>
      <c r="U104" s="308">
        <f>SUM(U62:U103)</f>
        <v>198000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21" top="0.35" bottom="0.34" header="0.3" footer="0.3"/>
  <pageSetup paperSize="17" scale="53"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B1:L100"/>
  <sheetViews>
    <sheetView showGridLines="0" topLeftCell="A2" workbookViewId="0">
      <pane ySplit="2" topLeftCell="A61" activePane="bottomLeft" state="frozen"/>
      <selection activeCell="A2" sqref="A2"/>
      <selection pane="bottomLeft" activeCell="G85" sqref="G85"/>
    </sheetView>
  </sheetViews>
  <sheetFormatPr defaultColWidth="9.109375" defaultRowHeight="13.2" x14ac:dyDescent="0.25"/>
  <cols>
    <col min="1" max="1" width="9.109375" style="3369"/>
    <col min="2" max="3" width="7" style="3369" customWidth="1"/>
    <col min="4" max="4" width="6.33203125" style="3369" customWidth="1"/>
    <col min="5" max="5" width="6.109375" style="3369" customWidth="1"/>
    <col min="6" max="6" width="32" style="3369" customWidth="1"/>
    <col min="7" max="7" width="14.6640625" style="3369" customWidth="1"/>
    <col min="8" max="8" width="18.5546875" style="3369" customWidth="1"/>
    <col min="9" max="9" width="19.109375" style="3369" customWidth="1"/>
    <col min="10" max="10" width="16.88671875" style="3369" customWidth="1"/>
    <col min="11" max="11" width="19.5546875" style="3369" customWidth="1"/>
    <col min="12" max="16384" width="9.109375" style="3369"/>
  </cols>
  <sheetData>
    <row r="1" spans="2:11" ht="15.6" x14ac:dyDescent="0.3">
      <c r="D1" s="2296" t="s">
        <v>1115</v>
      </c>
      <c r="E1" s="2297"/>
      <c r="F1" s="2297"/>
      <c r="I1" s="2404"/>
      <c r="J1" s="3374"/>
      <c r="K1" s="3374"/>
    </row>
    <row r="2" spans="2:11" ht="13.8" thickBot="1" x14ac:dyDescent="0.3">
      <c r="E2" s="2298" t="s">
        <v>954</v>
      </c>
      <c r="F2" s="2401">
        <f ca="1">NOW()</f>
        <v>41247.513262731482</v>
      </c>
      <c r="G2" s="4568"/>
      <c r="H2" s="2400"/>
      <c r="I2" s="2403"/>
      <c r="J2" s="2402"/>
      <c r="K2" s="2402"/>
    </row>
    <row r="3" spans="2:11" ht="31.8" thickBot="1" x14ac:dyDescent="0.3">
      <c r="B3" s="4752" t="s">
        <v>955</v>
      </c>
      <c r="C3" s="4753"/>
      <c r="D3" s="2299" t="s">
        <v>956</v>
      </c>
      <c r="E3" s="2300"/>
      <c r="F3" s="2300"/>
      <c r="G3" s="3553" t="s">
        <v>957</v>
      </c>
      <c r="H3" s="3553" t="s">
        <v>958</v>
      </c>
      <c r="I3" s="3553" t="s">
        <v>959</v>
      </c>
      <c r="J3" s="3553" t="s">
        <v>960</v>
      </c>
      <c r="K3" s="3711" t="s">
        <v>961</v>
      </c>
    </row>
    <row r="4" spans="2:11" ht="15.6" x14ac:dyDescent="0.3">
      <c r="B4" s="2363"/>
      <c r="C4" s="2364"/>
      <c r="D4" s="2365" t="s">
        <v>608</v>
      </c>
      <c r="E4" s="2365"/>
      <c r="F4" s="2365"/>
      <c r="G4" s="2364"/>
      <c r="H4" s="2366"/>
      <c r="I4" s="2364"/>
      <c r="J4" s="2364"/>
      <c r="K4" s="3640"/>
    </row>
    <row r="5" spans="2:11" x14ac:dyDescent="0.25">
      <c r="B5" s="2301" t="s">
        <v>380</v>
      </c>
      <c r="C5" s="2302" t="s">
        <v>630</v>
      </c>
      <c r="D5" s="2414" t="s">
        <v>937</v>
      </c>
      <c r="E5" s="2379"/>
      <c r="F5" s="2340"/>
      <c r="G5" s="2431">
        <f>ROUND('4) Detail_REM Sch 201 Elec '!R5/1000,-2)</f>
        <v>2100</v>
      </c>
      <c r="H5" s="2430">
        <f>ROUND('4) Detail_REM Sch 201 Elec '!Q5,-3)</f>
        <v>2946000</v>
      </c>
      <c r="I5" s="2429">
        <f>ROUND('11) Detail_REM Sch 203 Gas'!R5,-2)</f>
        <v>42300</v>
      </c>
      <c r="J5" s="2429">
        <f>ROUND('11) Detail_REM Sch 203 Gas'!Q5,-3)</f>
        <v>605000</v>
      </c>
      <c r="K5" s="3641">
        <f>H5+J5</f>
        <v>3551000</v>
      </c>
    </row>
    <row r="6" spans="2:11" x14ac:dyDescent="0.25">
      <c r="B6" s="2301" t="s">
        <v>252</v>
      </c>
      <c r="C6" s="2302" t="s">
        <v>632</v>
      </c>
      <c r="D6" s="2399" t="s">
        <v>962</v>
      </c>
      <c r="E6" s="2397"/>
      <c r="F6" s="2398"/>
      <c r="G6" s="2432">
        <f>ROUND(SUM(G7:G15),-2)</f>
        <v>125400</v>
      </c>
      <c r="H6" s="2433">
        <f>ROUND(SUM(H7:H15),-3)</f>
        <v>30332000</v>
      </c>
      <c r="I6" s="2434">
        <f>ROUND(SUM(I7:I15),-2)</f>
        <v>1698700</v>
      </c>
      <c r="J6" s="2433">
        <f>ROUND(SUM(J7:J15),-3)</f>
        <v>5443000</v>
      </c>
      <c r="K6" s="3642">
        <f t="shared" ref="K6:K11" si="0">H6+J6</f>
        <v>35775000</v>
      </c>
    </row>
    <row r="7" spans="2:11" x14ac:dyDescent="0.25">
      <c r="B7" s="2301"/>
      <c r="C7" s="2302"/>
      <c r="D7" s="3764"/>
      <c r="E7" s="3765" t="s">
        <v>963</v>
      </c>
      <c r="F7" s="2417"/>
      <c r="G7" s="3752">
        <f>ROUND('5h) Detail_214Lighting Elec'!R5/1000,-2)</f>
        <v>72300</v>
      </c>
      <c r="H7" s="3772">
        <f>ROUND('5h) Detail_214Lighting Elec'!Q5,-3)</f>
        <v>12738000</v>
      </c>
      <c r="I7" s="3752"/>
      <c r="J7" s="3772"/>
      <c r="K7" s="3751">
        <f t="shared" si="0"/>
        <v>12738000</v>
      </c>
    </row>
    <row r="8" spans="2:11" x14ac:dyDescent="0.25">
      <c r="B8" s="2301"/>
      <c r="C8" s="2302"/>
      <c r="D8" s="3764"/>
      <c r="E8" s="3765" t="s">
        <v>964</v>
      </c>
      <c r="F8" s="2417"/>
      <c r="G8" s="3752">
        <f>ROUND('5d) Detail_214SpcHeat Elec'!R5/1000,-2)</f>
        <v>5900</v>
      </c>
      <c r="H8" s="3772">
        <f>ROUND('5d) Detail_214SpcHeat Elec'!Q5,-3)</f>
        <v>2638000</v>
      </c>
      <c r="I8" s="3752">
        <f>ROUND('12d) Detail_214SpHeat Gas'!R5,-2)</f>
        <v>742700</v>
      </c>
      <c r="J8" s="3772">
        <f>ROUND('12d) Detail_214SpHeat Gas'!Q5,-3)</f>
        <v>2113000</v>
      </c>
      <c r="K8" s="3751">
        <f t="shared" si="0"/>
        <v>4751000</v>
      </c>
    </row>
    <row r="9" spans="2:11" x14ac:dyDescent="0.25">
      <c r="B9" s="2301"/>
      <c r="C9" s="2302"/>
      <c r="D9" s="3764"/>
      <c r="E9" s="3765" t="s">
        <v>965</v>
      </c>
      <c r="F9" s="2417"/>
      <c r="G9" s="3752">
        <f>ROUND('5b) Detail_214WaterHeat Elec'!R5/1000,-2)</f>
        <v>800</v>
      </c>
      <c r="H9" s="3772">
        <f>ROUND('5b) Detail_214WaterHeat Elec'!Q5,-3)</f>
        <v>317000</v>
      </c>
      <c r="I9" s="3752">
        <v>0</v>
      </c>
      <c r="J9" s="3773">
        <v>0</v>
      </c>
      <c r="K9" s="3751">
        <f t="shared" si="0"/>
        <v>317000</v>
      </c>
    </row>
    <row r="10" spans="2:11" x14ac:dyDescent="0.25">
      <c r="B10" s="2301"/>
      <c r="C10" s="2302"/>
      <c r="D10" s="3764"/>
      <c r="E10" s="3765" t="s">
        <v>967</v>
      </c>
      <c r="F10" s="2417"/>
      <c r="G10" s="3752">
        <f>ROUND('5a) Detail_214HomePrint Elec'!R5/1000,-2)</f>
        <v>4100</v>
      </c>
      <c r="H10" s="3772">
        <f>ROUND('5a) Detail_214HomePrint Elec'!Q5,-3)</f>
        <v>1790000</v>
      </c>
      <c r="I10" s="3752">
        <v>0</v>
      </c>
      <c r="J10" s="3773">
        <v>0</v>
      </c>
      <c r="K10" s="3751">
        <f t="shared" si="0"/>
        <v>1790000</v>
      </c>
    </row>
    <row r="11" spans="2:11" x14ac:dyDescent="0.25">
      <c r="B11" s="2301"/>
      <c r="C11" s="2302"/>
      <c r="D11" s="3764"/>
      <c r="E11" s="3765" t="s">
        <v>416</v>
      </c>
      <c r="F11" s="2417"/>
      <c r="G11" s="3752">
        <f>ROUND('5f) Detail_214HmAppplc Elec'!R5/1000,-2)</f>
        <v>25100</v>
      </c>
      <c r="H11" s="3772">
        <f>ROUND('5f) Detail_214HmAppplc Elec'!Q5,-3)</f>
        <v>8126000</v>
      </c>
      <c r="I11" s="3752"/>
      <c r="J11" s="3772"/>
      <c r="K11" s="3751">
        <f t="shared" si="0"/>
        <v>8126000</v>
      </c>
    </row>
    <row r="12" spans="2:11" hidden="1" x14ac:dyDescent="0.25">
      <c r="B12" s="2301"/>
      <c r="C12" s="2302"/>
      <c r="D12" s="3764"/>
      <c r="E12" s="3766" t="s">
        <v>968</v>
      </c>
      <c r="F12" s="3767"/>
      <c r="G12" s="3763" t="s">
        <v>966</v>
      </c>
      <c r="H12" s="3773" t="s">
        <v>966</v>
      </c>
      <c r="I12" s="3752"/>
      <c r="J12" s="3772"/>
      <c r="K12" s="3751"/>
    </row>
    <row r="13" spans="2:11" x14ac:dyDescent="0.25">
      <c r="B13" s="2301"/>
      <c r="C13" s="2302"/>
      <c r="D13" s="3764"/>
      <c r="E13" s="3765" t="s">
        <v>969</v>
      </c>
      <c r="F13" s="2417"/>
      <c r="G13" s="3752">
        <f>ROUND('5g) Detail_214ShwrHead  Elec'!R5/1000,-2)</f>
        <v>1400</v>
      </c>
      <c r="H13" s="3772">
        <f>ROUND('5g) Detail_214ShwrHead  Elec'!Q5,-3)</f>
        <v>188000</v>
      </c>
      <c r="I13" s="3752">
        <f>ROUND('12e) Detail_214ShwrHead Gas'!R5,-2)</f>
        <v>66300</v>
      </c>
      <c r="J13" s="3772">
        <f>ROUND('12e) Detail_214ShwrHead Gas'!Q5,-3)</f>
        <v>220000</v>
      </c>
      <c r="K13" s="3751">
        <f t="shared" ref="K13:K21" si="1">H13+J13</f>
        <v>408000</v>
      </c>
    </row>
    <row r="14" spans="2:11" x14ac:dyDescent="0.25">
      <c r="B14" s="2301"/>
      <c r="C14" s="2302"/>
      <c r="D14" s="3764"/>
      <c r="E14" s="3765" t="s">
        <v>970</v>
      </c>
      <c r="F14" s="2417"/>
      <c r="G14" s="3752">
        <f>ROUND('5c) Detail_214Wx Elec'!R5/1000,-2)</f>
        <v>10300</v>
      </c>
      <c r="H14" s="3772">
        <f>ROUND('5c) Detail_214Wx Elec'!Q5,-3)</f>
        <v>4320000</v>
      </c>
      <c r="I14" s="3752">
        <f>ROUND('12c) Detail_214Wx Gas'!R5,-2)</f>
        <v>543000</v>
      </c>
      <c r="J14" s="3772">
        <f>ROUND('12c) Detail_214Wx Gas'!Q5,-3)</f>
        <v>3012000</v>
      </c>
      <c r="K14" s="3751">
        <f t="shared" si="1"/>
        <v>7332000</v>
      </c>
    </row>
    <row r="15" spans="2:11" x14ac:dyDescent="0.25">
      <c r="B15" s="2341"/>
      <c r="C15" s="2306"/>
      <c r="D15" s="3764"/>
      <c r="E15" s="3765" t="s">
        <v>976</v>
      </c>
      <c r="F15" s="2417"/>
      <c r="G15" s="3752">
        <f>ROUND('10a) Detail_249HmEngryRpt  Elec'!R5/1000,-2)</f>
        <v>5500</v>
      </c>
      <c r="H15" s="3772">
        <f>ROUND('10a) Detail_249HmEngryRpt  Elec'!Q5,-3)</f>
        <v>215000</v>
      </c>
      <c r="I15" s="3752">
        <f>ROUND('16a) Detail_249HmEnrgyRpt Gas'!R5,-2)</f>
        <v>346700</v>
      </c>
      <c r="J15" s="3772">
        <f>ROUND('16a) Detail_249HmEnrgyRpt Gas'!Q5,-3)</f>
        <v>98000</v>
      </c>
      <c r="K15" s="3751">
        <f>H15+J15</f>
        <v>313000</v>
      </c>
    </row>
    <row r="16" spans="2:11" x14ac:dyDescent="0.25">
      <c r="B16" s="2301" t="s">
        <v>487</v>
      </c>
      <c r="C16" s="2302" t="s">
        <v>657</v>
      </c>
      <c r="D16" s="3716" t="s">
        <v>971</v>
      </c>
      <c r="E16" s="3611"/>
      <c r="F16" s="3612"/>
      <c r="G16" s="3709">
        <f>ROUND(('6) Detail_REM Sch 215 Elec'!R5+'6a) Detail_215NCMfgHome Elec'!R5)/1000,-2)</f>
        <v>1500</v>
      </c>
      <c r="H16" s="2799">
        <f>ROUND('6) Detail_REM Sch 215 Elec'!Q5+'6a) Detail_215NCMfgHome Elec'!Q5,-3)</f>
        <v>1111000</v>
      </c>
      <c r="I16" s="3710">
        <f>ROUND('13) Detail_REM Sch 215 Gas'!R5+'13a) Detail_215MfgHomes Gas'!R5,-2)</f>
        <v>31900</v>
      </c>
      <c r="J16" s="3770">
        <f>ROUND('13) Detail_REM Sch 215 Gas'!Q5+'13a) Detail_215MfgHomes Gas'!Q5,-3)</f>
        <v>309000</v>
      </c>
      <c r="K16" s="3643">
        <f t="shared" si="1"/>
        <v>1420000</v>
      </c>
    </row>
    <row r="17" spans="2:11" x14ac:dyDescent="0.25">
      <c r="B17" s="2301" t="s">
        <v>519</v>
      </c>
      <c r="C17" s="2302"/>
      <c r="D17" s="2414" t="s">
        <v>972</v>
      </c>
      <c r="E17" s="2379"/>
      <c r="F17" s="2340"/>
      <c r="G17" s="2431">
        <f>ROUND('7) Detail_REM Sch 216 Elec'!R5/1000,-2)</f>
        <v>2500</v>
      </c>
      <c r="H17" s="2430">
        <f>ROUND('7) Detail_REM Sch 216 Elec'!Q5,-3)</f>
        <v>804000</v>
      </c>
      <c r="I17" s="2429"/>
      <c r="J17" s="3770"/>
      <c r="K17" s="3643">
        <f t="shared" si="1"/>
        <v>804000</v>
      </c>
    </row>
    <row r="18" spans="2:11" x14ac:dyDescent="0.25">
      <c r="B18" s="2301" t="s">
        <v>564</v>
      </c>
      <c r="C18" s="2302" t="s">
        <v>685</v>
      </c>
      <c r="D18" s="2414" t="s">
        <v>973</v>
      </c>
      <c r="E18" s="2379"/>
      <c r="F18" s="2340"/>
      <c r="G18" s="2431">
        <f>ROUND('8) Detail_REM Sch 217 Elec'!R5/1000,-2)</f>
        <v>16800</v>
      </c>
      <c r="H18" s="2430">
        <f>ROUND('8) Detail_REM Sch 217 Elec'!Q5,-3)</f>
        <v>6888000</v>
      </c>
      <c r="I18" s="2429">
        <f>ROUND('14) Detail_REM Sch 217 Gas'!R5,-2)</f>
        <v>25000</v>
      </c>
      <c r="J18" s="3770">
        <f>ROUND('14) Detail_REM Sch 217 Gas'!Q5,-3)</f>
        <v>227000</v>
      </c>
      <c r="K18" s="3643">
        <f t="shared" si="1"/>
        <v>7115000</v>
      </c>
    </row>
    <row r="19" spans="2:11" x14ac:dyDescent="0.25">
      <c r="B19" s="2301" t="s">
        <v>595</v>
      </c>
      <c r="C19" s="2302" t="s">
        <v>695</v>
      </c>
      <c r="D19" s="2414" t="s">
        <v>974</v>
      </c>
      <c r="E19" s="2379"/>
      <c r="F19" s="2340"/>
      <c r="G19" s="2431">
        <f>ROUND('9) Detail_REM Sch 218 Elec'!R5/1000,-2)</f>
        <v>1000</v>
      </c>
      <c r="H19" s="2430">
        <f>ROUND('9) Detail_REM Sch 218 Elec'!Q5,-3)</f>
        <v>617000</v>
      </c>
      <c r="I19" s="3491">
        <f>ROUND('15) Detail_REM Sch 218 Gas'!R5,-2)</f>
        <v>53600</v>
      </c>
      <c r="J19" s="3770">
        <f>ROUND('15) Detail_REM Sch 218 Gas'!Q5,-3)</f>
        <v>354000</v>
      </c>
      <c r="K19" s="3643">
        <f t="shared" si="1"/>
        <v>971000</v>
      </c>
    </row>
    <row r="20" spans="2:11" x14ac:dyDescent="0.25">
      <c r="B20" s="2301" t="s">
        <v>602</v>
      </c>
      <c r="C20" s="2302" t="s">
        <v>697</v>
      </c>
      <c r="D20" s="2414" t="s">
        <v>975</v>
      </c>
      <c r="E20" s="2379"/>
      <c r="F20" s="2340"/>
      <c r="G20" s="2431">
        <f>'10) Detail_REM Sch 249 Elec'!R5</f>
        <v>0</v>
      </c>
      <c r="H20" s="2430">
        <f>'10) Detail_REM Sch 249 Elec'!Q5</f>
        <v>0</v>
      </c>
      <c r="I20" s="2429">
        <f>'16) Detail_REM Sch 249 Gas'!R5</f>
        <v>0</v>
      </c>
      <c r="J20" s="4567">
        <f>'16) Detail_REM Sch 249 Gas'!Q5</f>
        <v>0</v>
      </c>
      <c r="K20" s="3643">
        <f t="shared" si="1"/>
        <v>0</v>
      </c>
    </row>
    <row r="21" spans="2:11" x14ac:dyDescent="0.25">
      <c r="B21" s="2307"/>
      <c r="C21" s="2308"/>
      <c r="D21" s="2309" t="s">
        <v>977</v>
      </c>
      <c r="E21" s="2309"/>
      <c r="F21" s="2309"/>
      <c r="G21" s="2454">
        <f>G5+G6+SUM(G16:G20)</f>
        <v>149300</v>
      </c>
      <c r="H21" s="2455">
        <f>H5+H6+SUM(H16:H20)</f>
        <v>42698000</v>
      </c>
      <c r="I21" s="2437">
        <f>I5+I6+SUM(I16:I20)</f>
        <v>1851500</v>
      </c>
      <c r="J21" s="2455">
        <f>J5+J6+SUM(J16:J20)</f>
        <v>6938000</v>
      </c>
      <c r="K21" s="3644">
        <f t="shared" si="1"/>
        <v>49636000</v>
      </c>
    </row>
    <row r="22" spans="2:11" x14ac:dyDescent="0.25">
      <c r="B22" s="3371"/>
      <c r="C22" s="3372"/>
      <c r="D22" s="2311"/>
      <c r="E22" s="3372"/>
      <c r="F22" s="3372"/>
      <c r="G22" s="2439"/>
      <c r="H22" s="2440"/>
      <c r="I22" s="2441"/>
      <c r="J22" s="2440"/>
      <c r="K22" s="3645"/>
    </row>
    <row r="23" spans="2:11" ht="15.6" x14ac:dyDescent="0.3">
      <c r="B23" s="2367"/>
      <c r="C23" s="2368"/>
      <c r="D23" s="2369" t="s">
        <v>843</v>
      </c>
      <c r="E23" s="2369"/>
      <c r="F23" s="2369"/>
      <c r="G23" s="2442"/>
      <c r="H23" s="2442"/>
      <c r="I23" s="2442"/>
      <c r="J23" s="2442"/>
      <c r="K23" s="3646"/>
    </row>
    <row r="24" spans="2:11" x14ac:dyDescent="0.25">
      <c r="B24" s="2312" t="s">
        <v>978</v>
      </c>
      <c r="C24" s="2338" t="s">
        <v>836</v>
      </c>
      <c r="D24" s="3611" t="s">
        <v>979</v>
      </c>
      <c r="E24" s="3611"/>
      <c r="F24" s="3612"/>
      <c r="G24" s="2443">
        <f>ROUND('17) Detail_BEM Sch 250 Elec'!M7/1000,-2)</f>
        <v>68500</v>
      </c>
      <c r="H24" s="3768">
        <f>ROUND('17) Detail_BEM Sch 250 Elec'!L6,-3)</f>
        <v>20084000</v>
      </c>
      <c r="I24" s="2798">
        <f>ROUND('25) Detail_BEM Sch 205 Gas'!M6,-2)</f>
        <v>478000</v>
      </c>
      <c r="J24" s="3768">
        <f>ROUND('25) Detail_BEM Sch 205 Gas'!L6,-3)</f>
        <v>2895000</v>
      </c>
      <c r="K24" s="3647">
        <f>H24+J24</f>
        <v>22979000</v>
      </c>
    </row>
    <row r="25" spans="2:11" hidden="1" x14ac:dyDescent="0.25">
      <c r="B25" s="2315"/>
      <c r="C25" s="2412"/>
      <c r="D25" s="2379"/>
      <c r="E25" s="2379" t="s">
        <v>980</v>
      </c>
      <c r="F25" s="2340"/>
      <c r="G25" s="2445"/>
      <c r="H25" s="3769"/>
      <c r="I25" s="2447"/>
      <c r="J25" s="3770"/>
      <c r="K25" s="3649"/>
    </row>
    <row r="26" spans="2:11" x14ac:dyDescent="0.25">
      <c r="B26" s="2315" t="s">
        <v>821</v>
      </c>
      <c r="C26" s="2412" t="s">
        <v>838</v>
      </c>
      <c r="D26" s="2379" t="s">
        <v>829</v>
      </c>
      <c r="E26" s="2379"/>
      <c r="F26" s="2340"/>
      <c r="G26" s="2445">
        <f>ROUND('18) Detail_BEM Sch 251 Elec'!M6/1000,-2)</f>
        <v>3500</v>
      </c>
      <c r="H26" s="3769">
        <f>ROUND('18) Detail_BEM Sch 251 Elec'!L6,-3)</f>
        <v>2214000</v>
      </c>
      <c r="I26" s="2447">
        <f>ROUND('27) Detail_BEM Sch 251 Gas'!M6,-2)</f>
        <v>100000</v>
      </c>
      <c r="J26" s="3769">
        <f>ROUND('27) Detail_BEM Sch 251 Gas'!L6,-3)</f>
        <v>609000</v>
      </c>
      <c r="K26" s="3649">
        <f>H26+J26</f>
        <v>2823000</v>
      </c>
    </row>
    <row r="27" spans="2:11" x14ac:dyDescent="0.25">
      <c r="B27" s="2315" t="s">
        <v>822</v>
      </c>
      <c r="C27" s="2412" t="s">
        <v>837</v>
      </c>
      <c r="D27" s="2379" t="s">
        <v>830</v>
      </c>
      <c r="E27" s="2379"/>
      <c r="F27" s="2340"/>
      <c r="G27" s="2445">
        <f>ROUND('19) Detail_BEM Sch 253 Elec'!M6/1000,-2)</f>
        <v>20000</v>
      </c>
      <c r="H27" s="3769">
        <f>ROUND('19) Detail_BEM Sch 253 Elec'!L6,-3)</f>
        <v>1994000</v>
      </c>
      <c r="I27" s="2447">
        <f>ROUND('26) Detail_BEM Sch 208 Gas'!M6,-2)</f>
        <v>1000000</v>
      </c>
      <c r="J27" s="3769">
        <f>ROUND('26) Detail_BEM Sch 208 Gas'!L6,-3)</f>
        <v>1119000</v>
      </c>
      <c r="K27" s="3649">
        <v>5339148</v>
      </c>
    </row>
    <row r="28" spans="2:11" x14ac:dyDescent="0.25">
      <c r="B28" s="2315" t="s">
        <v>823</v>
      </c>
      <c r="C28" s="2412"/>
      <c r="D28" s="2379" t="s">
        <v>981</v>
      </c>
      <c r="E28" s="2379"/>
      <c r="F28" s="2340"/>
      <c r="G28" s="2445">
        <f>ROUND('20) Detail_BEM Sch 255 Elec'!M6/1000,-2)</f>
        <v>24100</v>
      </c>
      <c r="H28" s="3769">
        <f>ROUND('20) Detail_BEM Sch 255 Elec'!L6,-3)</f>
        <v>7548000</v>
      </c>
      <c r="I28" s="2447"/>
      <c r="J28" s="3770"/>
      <c r="K28" s="3649">
        <f t="shared" ref="K28:K33" si="2">H28+J28</f>
        <v>7548000</v>
      </c>
    </row>
    <row r="29" spans="2:11" hidden="1" x14ac:dyDescent="0.25">
      <c r="B29" s="2405" t="s">
        <v>824</v>
      </c>
      <c r="C29" s="2412"/>
      <c r="D29" s="2406" t="s">
        <v>798</v>
      </c>
      <c r="E29" s="2406"/>
      <c r="F29" s="2407"/>
      <c r="G29" s="2445">
        <v>0</v>
      </c>
      <c r="H29" s="3769">
        <v>0</v>
      </c>
      <c r="I29" s="2447"/>
      <c r="J29" s="3770"/>
      <c r="K29" s="3649">
        <f t="shared" si="2"/>
        <v>0</v>
      </c>
    </row>
    <row r="30" spans="2:11" x14ac:dyDescent="0.25">
      <c r="B30" s="2315" t="s">
        <v>825</v>
      </c>
      <c r="C30" s="2412"/>
      <c r="D30" s="2379" t="s">
        <v>982</v>
      </c>
      <c r="E30" s="2379"/>
      <c r="F30" s="2340"/>
      <c r="G30" s="2445">
        <f>ROUND('22) Detail_BEM Sch 258 Elec'!M6/1000,-2)</f>
        <v>16500</v>
      </c>
      <c r="H30" s="3769">
        <f>ROUND('22) Detail_BEM Sch 258 Elec'!L6,-3)</f>
        <v>5169000</v>
      </c>
      <c r="I30" s="2447"/>
      <c r="J30" s="3770"/>
      <c r="K30" s="3649">
        <f t="shared" si="2"/>
        <v>5169000</v>
      </c>
    </row>
    <row r="31" spans="2:11" x14ac:dyDescent="0.25">
      <c r="B31" s="3748" t="s">
        <v>826</v>
      </c>
      <c r="C31" s="3748" t="s">
        <v>839</v>
      </c>
      <c r="D31" s="3749" t="s">
        <v>983</v>
      </c>
      <c r="E31" s="3613"/>
      <c r="F31" s="2340"/>
      <c r="G31" s="2448"/>
      <c r="H31" s="3032">
        <f>ROUND('23) Detail_BEM Sch 261 Elec'!L6,-3)</f>
        <v>30000</v>
      </c>
      <c r="I31" s="2449"/>
      <c r="J31" s="3032">
        <f>ROUND('28) Detail_BEM Sch 261 Gas'!L6,-3)</f>
        <v>27000</v>
      </c>
      <c r="K31" s="3650">
        <f t="shared" si="2"/>
        <v>57000</v>
      </c>
    </row>
    <row r="32" spans="2:11" x14ac:dyDescent="0.25">
      <c r="B32" s="2413" t="s">
        <v>827</v>
      </c>
      <c r="C32" s="2319" t="s">
        <v>840</v>
      </c>
      <c r="D32" s="3609" t="s">
        <v>984</v>
      </c>
      <c r="E32" s="3609"/>
      <c r="F32" s="3610"/>
      <c r="G32" s="2450">
        <f>ROUND('24) Detail_BEM Sch 262 Elec'!M6/1000,-2)</f>
        <v>27200</v>
      </c>
      <c r="H32" s="3771">
        <f>ROUND('24) Detail_BEM Sch 262 Elec'!L6,-3)</f>
        <v>4832000</v>
      </c>
      <c r="I32" s="2452">
        <f>ROUND('29) Detail_BEM Sch 262 Gas'!M6,-2)</f>
        <v>1407000</v>
      </c>
      <c r="J32" s="3771">
        <f>ROUND('29) Detail_BEM Sch 262 Gas'!L6,-3)</f>
        <v>641000</v>
      </c>
      <c r="K32" s="3649">
        <f t="shared" si="2"/>
        <v>5473000</v>
      </c>
    </row>
    <row r="33" spans="2:11" x14ac:dyDescent="0.25">
      <c r="B33" s="2307"/>
      <c r="C33" s="2308"/>
      <c r="D33" s="2309" t="s">
        <v>985</v>
      </c>
      <c r="E33" s="2309"/>
      <c r="F33" s="2309"/>
      <c r="G33" s="2454">
        <f>SUM(G24:G32)</f>
        <v>159800</v>
      </c>
      <c r="H33" s="2455">
        <f>SUM(H24:H32)</f>
        <v>41871000</v>
      </c>
      <c r="I33" s="2456">
        <f>SUM(I24:I32)</f>
        <v>2985000</v>
      </c>
      <c r="J33" s="2455">
        <f>SUM(J24:J32)</f>
        <v>5291000</v>
      </c>
      <c r="K33" s="3651">
        <f t="shared" si="2"/>
        <v>47162000</v>
      </c>
    </row>
    <row r="34" spans="2:11" x14ac:dyDescent="0.25">
      <c r="B34" s="3371"/>
      <c r="C34" s="3372"/>
      <c r="D34" s="2311"/>
      <c r="E34" s="3372"/>
      <c r="F34" s="3372"/>
      <c r="G34" s="2439"/>
      <c r="H34" s="2440"/>
      <c r="I34" s="2441"/>
      <c r="J34" s="2440"/>
      <c r="K34" s="3645"/>
    </row>
    <row r="35" spans="2:11" ht="15.6" x14ac:dyDescent="0.3">
      <c r="B35" s="2370"/>
      <c r="C35" s="2371"/>
      <c r="D35" s="2371" t="s">
        <v>844</v>
      </c>
      <c r="E35" s="2371"/>
      <c r="F35" s="2371"/>
      <c r="G35" s="2457"/>
      <c r="H35" s="2457"/>
      <c r="I35" s="2457"/>
      <c r="J35" s="2457"/>
      <c r="K35" s="3652"/>
    </row>
    <row r="36" spans="2:11" ht="15" x14ac:dyDescent="0.4">
      <c r="B36" s="2320" t="s">
        <v>847</v>
      </c>
      <c r="C36" s="2321"/>
      <c r="D36" s="3614" t="s">
        <v>986</v>
      </c>
      <c r="E36" s="3614"/>
      <c r="F36" s="3614"/>
      <c r="G36" s="2458">
        <f>ROUND(38828.7/2,-2)</f>
        <v>19400</v>
      </c>
      <c r="H36" s="2797">
        <f>ROUND(10521280/2,-3)</f>
        <v>5261000</v>
      </c>
      <c r="I36" s="2459"/>
      <c r="J36" s="2460"/>
      <c r="K36" s="3653">
        <f>H36+J36</f>
        <v>5261000</v>
      </c>
    </row>
    <row r="37" spans="2:11" ht="15" x14ac:dyDescent="0.4">
      <c r="B37" s="2320"/>
      <c r="C37" s="2308"/>
      <c r="D37" s="3615" t="s">
        <v>1119</v>
      </c>
      <c r="E37" s="3616"/>
      <c r="F37" s="3616"/>
      <c r="G37" s="2461">
        <f>ROUND('31) Detail_T&amp;D elec'!M6/1000,-2)</f>
        <v>8100</v>
      </c>
      <c r="H37" s="2461">
        <f>ROUND('31) Detail_T&amp;D elec'!L6,-3)</f>
        <v>312000</v>
      </c>
      <c r="I37" s="2459"/>
      <c r="J37" s="2460"/>
      <c r="K37" s="3653">
        <f>H37+J37</f>
        <v>312000</v>
      </c>
    </row>
    <row r="38" spans="2:11" x14ac:dyDescent="0.25">
      <c r="B38" s="2307"/>
      <c r="C38" s="2308"/>
      <c r="D38" s="2309" t="s">
        <v>987</v>
      </c>
      <c r="E38" s="2309"/>
      <c r="F38" s="2309"/>
      <c r="G38" s="2437">
        <f>SUM(G36:G37)</f>
        <v>27500</v>
      </c>
      <c r="H38" s="2462">
        <f>SUM(H36:H37)</f>
        <v>5573000</v>
      </c>
      <c r="I38" s="2463"/>
      <c r="J38" s="2462">
        <v>0</v>
      </c>
      <c r="K38" s="3644">
        <f>H38+J38</f>
        <v>5573000</v>
      </c>
    </row>
    <row r="39" spans="2:11" x14ac:dyDescent="0.25">
      <c r="B39" s="3371"/>
      <c r="C39" s="3372"/>
      <c r="D39" s="3372"/>
      <c r="E39" s="3372"/>
      <c r="F39" s="3372"/>
      <c r="G39" s="2439"/>
      <c r="H39" s="2464"/>
      <c r="I39" s="2465"/>
      <c r="J39" s="2464"/>
      <c r="K39" s="3654"/>
    </row>
    <row r="40" spans="2:11" x14ac:dyDescent="0.25">
      <c r="B40" s="2323"/>
      <c r="C40" s="2324"/>
      <c r="D40" s="2324"/>
      <c r="E40" s="2324"/>
      <c r="F40" s="2324"/>
      <c r="G40" s="2466"/>
      <c r="H40" s="2467"/>
      <c r="I40" s="2466"/>
      <c r="J40" s="2467"/>
      <c r="K40" s="3655"/>
    </row>
    <row r="41" spans="2:11" ht="15.6" x14ac:dyDescent="0.3">
      <c r="B41" s="2372"/>
      <c r="C41" s="2373"/>
      <c r="D41" s="2374" t="s">
        <v>988</v>
      </c>
      <c r="E41" s="2374"/>
      <c r="F41" s="2374"/>
      <c r="G41" s="2468"/>
      <c r="H41" s="2468"/>
      <c r="I41" s="2468"/>
      <c r="J41" s="2468"/>
      <c r="K41" s="3712"/>
    </row>
    <row r="42" spans="2:11" ht="15.6" x14ac:dyDescent="0.3">
      <c r="B42" s="2325"/>
      <c r="C42" s="2326"/>
      <c r="D42" s="2383" t="s">
        <v>989</v>
      </c>
      <c r="E42" s="2384"/>
      <c r="F42" s="2385"/>
      <c r="G42" s="2469"/>
      <c r="H42" s="2470">
        <f>ROUND(H43+H44+H45+H46,-3)</f>
        <v>1635000</v>
      </c>
      <c r="I42" s="2471"/>
      <c r="J42" s="2470">
        <f>ROUND(J43+J44+J45+J46,-3)</f>
        <v>245000</v>
      </c>
      <c r="K42" s="3657">
        <f>H42+J42</f>
        <v>1880000</v>
      </c>
    </row>
    <row r="43" spans="2:11" x14ac:dyDescent="0.25">
      <c r="B43" s="2315"/>
      <c r="C43" s="2412"/>
      <c r="D43" s="3707"/>
      <c r="E43" s="3705" t="s">
        <v>991</v>
      </c>
      <c r="F43" s="2328"/>
      <c r="G43" s="2473"/>
      <c r="H43" s="2435">
        <f>ROUND('32a) Detail_PSCE_EAs Elec'!Q5,-3)</f>
        <v>1037000</v>
      </c>
      <c r="I43" s="2472"/>
      <c r="J43" s="2435">
        <f>ROUND('37a) Detail_PSCE_EAs Gas'!Q5,-3)</f>
        <v>155000</v>
      </c>
      <c r="K43" s="3641">
        <f>H43+J43</f>
        <v>1192000</v>
      </c>
    </row>
    <row r="44" spans="2:11" x14ac:dyDescent="0.25">
      <c r="B44" s="2315"/>
      <c r="C44" s="2412"/>
      <c r="D44" s="3707"/>
      <c r="E44" s="3706" t="s">
        <v>993</v>
      </c>
      <c r="F44" s="2340"/>
      <c r="G44" s="2473"/>
      <c r="H44" s="2435">
        <f>ROUND('32b) Detail_PSCE_Events Elec'!Q5,-3)</f>
        <v>414000</v>
      </c>
      <c r="I44" s="2472"/>
      <c r="J44" s="2435">
        <f>ROUND('37b) Detail_PSCE_Events Gas'!Q5,-3)</f>
        <v>63000</v>
      </c>
      <c r="K44" s="3641">
        <f>H44+J44</f>
        <v>477000</v>
      </c>
    </row>
    <row r="45" spans="2:11" x14ac:dyDescent="0.25">
      <c r="B45" s="2315"/>
      <c r="C45" s="2412"/>
      <c r="D45" s="3707"/>
      <c r="E45" s="3705" t="s">
        <v>63</v>
      </c>
      <c r="F45" s="2328"/>
      <c r="G45" s="2473"/>
      <c r="H45" s="2435">
        <f>ROUND('32c) Detail_PSCE_Broch Elec'!Q5,-3)</f>
        <v>54000</v>
      </c>
      <c r="I45" s="2472"/>
      <c r="J45" s="2435">
        <f>ROUND('37c) Detail_PSCE_Broch Gas'!Q8,-3)</f>
        <v>8000</v>
      </c>
      <c r="K45" s="3641">
        <f>H45+J45</f>
        <v>62000</v>
      </c>
    </row>
    <row r="46" spans="2:11" x14ac:dyDescent="0.25">
      <c r="B46" s="3744" t="s">
        <v>888</v>
      </c>
      <c r="C46" s="3745" t="s">
        <v>903</v>
      </c>
      <c r="D46" s="3707"/>
      <c r="E46" s="3705" t="s">
        <v>994</v>
      </c>
      <c r="F46" s="2328"/>
      <c r="G46" s="2473"/>
      <c r="H46" s="2435">
        <f>ROUND('32d) Detail_PSCE_Edu Elec'!Q5,-3)</f>
        <v>130000</v>
      </c>
      <c r="I46" s="2475"/>
      <c r="J46" s="2435">
        <f>ROUND('37d) Detail_PSCE_Edu Gas'!Q5,-3)</f>
        <v>19000</v>
      </c>
      <c r="K46" s="3641">
        <f t="shared" ref="K46:K54" si="3">H46+J46</f>
        <v>149000</v>
      </c>
    </row>
    <row r="47" spans="2:11" x14ac:dyDescent="0.25">
      <c r="B47" s="2315"/>
      <c r="C47" s="2412"/>
      <c r="D47" s="2386" t="s">
        <v>855</v>
      </c>
      <c r="E47" s="2387"/>
      <c r="F47" s="2388"/>
      <c r="G47" s="2476"/>
      <c r="H47" s="2477">
        <f>ROUND(H48+H54,-3)</f>
        <v>983000</v>
      </c>
      <c r="I47" s="2471"/>
      <c r="J47" s="2477">
        <f>ROUND(J48+J54,-3)</f>
        <v>148000</v>
      </c>
      <c r="K47" s="3657">
        <f t="shared" si="3"/>
        <v>1131000</v>
      </c>
    </row>
    <row r="48" spans="2:11" x14ac:dyDescent="0.25">
      <c r="B48" s="2315"/>
      <c r="C48" s="2412"/>
      <c r="D48" s="3707"/>
      <c r="E48" s="2340" t="s">
        <v>1172</v>
      </c>
      <c r="F48" s="2328"/>
      <c r="G48" s="2478"/>
      <c r="H48" s="2435">
        <f>ROUND(SUM(H49:H53),-3)</f>
        <v>636000</v>
      </c>
      <c r="I48" s="2479"/>
      <c r="J48" s="2480">
        <f>ROUND(SUM(J49:J53),-3)</f>
        <v>96000</v>
      </c>
      <c r="K48" s="3643">
        <f t="shared" si="3"/>
        <v>732000</v>
      </c>
    </row>
    <row r="49" spans="2:11" x14ac:dyDescent="0.25">
      <c r="B49" s="2315"/>
      <c r="C49" s="2412"/>
      <c r="D49" s="3707"/>
      <c r="E49" s="2379"/>
      <c r="F49" s="2417" t="s">
        <v>1013</v>
      </c>
      <c r="G49" s="2478"/>
      <c r="H49" s="3772">
        <f>ROUND('33a) Detail_PSWE_Main Grn Elec'!B68,-3)</f>
        <v>169000</v>
      </c>
      <c r="I49" s="3762"/>
      <c r="J49" s="3777">
        <f>ROUND('38a) Detail_PSWE_Main Grn Gas'!B68,-3)</f>
        <v>25000</v>
      </c>
      <c r="K49" s="3751">
        <f t="shared" si="3"/>
        <v>194000</v>
      </c>
    </row>
    <row r="50" spans="2:11" x14ac:dyDescent="0.25">
      <c r="B50" s="2315"/>
      <c r="C50" s="2412"/>
      <c r="D50" s="3707"/>
      <c r="E50" s="2379"/>
      <c r="F50" s="2417" t="s">
        <v>1017</v>
      </c>
      <c r="G50" s="2478"/>
      <c r="H50" s="3772">
        <f>ROUND('33a) Detail_PSWE_Main Grn Elec'!B70,-3)</f>
        <v>218000</v>
      </c>
      <c r="I50" s="3762"/>
      <c r="J50" s="3777">
        <f>ROUND('38a) Detail_PSWE_Main Grn Gas'!B70,-3)</f>
        <v>33000</v>
      </c>
      <c r="K50" s="3751">
        <f t="shared" si="3"/>
        <v>251000</v>
      </c>
    </row>
    <row r="51" spans="2:11" x14ac:dyDescent="0.25">
      <c r="B51" s="2315"/>
      <c r="C51" s="2412"/>
      <c r="D51" s="3707"/>
      <c r="E51" s="2379"/>
      <c r="F51" s="2417" t="s">
        <v>1014</v>
      </c>
      <c r="G51" s="2478"/>
      <c r="H51" s="3772">
        <f>ROUND('33a) Detail_PSWE_Main Grn Elec'!B71,-3)</f>
        <v>235000</v>
      </c>
      <c r="I51" s="3758"/>
      <c r="J51" s="3772">
        <f>ROUND('38a) Detail_PSWE_Main Grn Gas'!B71,-3)</f>
        <v>35000</v>
      </c>
      <c r="K51" s="3751">
        <f t="shared" si="3"/>
        <v>270000</v>
      </c>
    </row>
    <row r="52" spans="2:11" x14ac:dyDescent="0.25">
      <c r="B52" s="2315"/>
      <c r="C52" s="2412"/>
      <c r="D52" s="3707"/>
      <c r="E52" s="2379"/>
      <c r="F52" s="2417" t="s">
        <v>1015</v>
      </c>
      <c r="G52" s="2478"/>
      <c r="H52" s="3772">
        <f>ROUND('33a) Detail_PSWE_Main Grn Elec'!B72,-3)</f>
        <v>9000</v>
      </c>
      <c r="I52" s="3758"/>
      <c r="J52" s="3772">
        <f>ROUND('38a) Detail_PSWE_Main Grn Gas'!B72,-3)</f>
        <v>2000</v>
      </c>
      <c r="K52" s="3751">
        <f t="shared" si="3"/>
        <v>11000</v>
      </c>
    </row>
    <row r="53" spans="2:11" x14ac:dyDescent="0.25">
      <c r="B53" s="2315"/>
      <c r="C53" s="2412"/>
      <c r="D53" s="3707"/>
      <c r="E53" s="2379"/>
      <c r="F53" s="2417" t="s">
        <v>1016</v>
      </c>
      <c r="G53" s="2478"/>
      <c r="H53" s="3772">
        <f>ROUND('33a) Detail_PSWE_Main Grn Elec'!B73,-3)</f>
        <v>5000</v>
      </c>
      <c r="I53" s="3762"/>
      <c r="J53" s="3777">
        <f>ROUND('38a) Detail_PSWE_Main Grn Gas'!B73,-3)</f>
        <v>1000</v>
      </c>
      <c r="K53" s="3751">
        <f t="shared" si="3"/>
        <v>6000</v>
      </c>
    </row>
    <row r="54" spans="2:11" ht="13.5" customHeight="1" x14ac:dyDescent="0.25">
      <c r="B54" s="2315"/>
      <c r="C54" s="2412"/>
      <c r="D54" s="3707"/>
      <c r="E54" s="2340" t="s">
        <v>995</v>
      </c>
      <c r="F54" s="2328"/>
      <c r="G54" s="2478"/>
      <c r="H54" s="3777">
        <f>ROUND('33b) Detail_PSWE_Mkt Int Elec'!N9,-3)</f>
        <v>347000</v>
      </c>
      <c r="I54" s="3762"/>
      <c r="J54" s="3777">
        <f>ROUND('38b) Detail_PSWE_Mkt Int Gas'!N9,-3)</f>
        <v>52000</v>
      </c>
      <c r="K54" s="3751">
        <f t="shared" si="3"/>
        <v>399000</v>
      </c>
    </row>
    <row r="55" spans="2:11" hidden="1" x14ac:dyDescent="0.25">
      <c r="B55" s="2315"/>
      <c r="C55" s="2412"/>
      <c r="D55" s="2327"/>
      <c r="E55" s="2328" t="s">
        <v>996</v>
      </c>
      <c r="F55" s="2328"/>
      <c r="G55" s="2473"/>
      <c r="H55" s="2430"/>
      <c r="I55" s="2472"/>
      <c r="J55" s="2435"/>
      <c r="K55" s="3643">
        <v>0</v>
      </c>
    </row>
    <row r="56" spans="2:11" hidden="1" x14ac:dyDescent="0.25">
      <c r="B56" s="2315"/>
      <c r="C56" s="2412"/>
      <c r="D56" s="2327"/>
      <c r="E56" s="2414"/>
      <c r="F56" s="2407" t="s">
        <v>990</v>
      </c>
      <c r="G56" s="2473"/>
      <c r="H56" s="2435"/>
      <c r="I56" s="2472"/>
      <c r="J56" s="2435"/>
      <c r="K56" s="3643"/>
    </row>
    <row r="57" spans="2:11" hidden="1" x14ac:dyDescent="0.25">
      <c r="B57" s="2315"/>
      <c r="C57" s="2412"/>
      <c r="D57" s="2327"/>
      <c r="E57" s="2414"/>
      <c r="F57" s="2407" t="s">
        <v>992</v>
      </c>
      <c r="G57" s="2473"/>
      <c r="H57" s="2474">
        <v>91850</v>
      </c>
      <c r="I57" s="2472"/>
      <c r="J57" s="2474">
        <v>91850</v>
      </c>
      <c r="K57" s="3643"/>
    </row>
    <row r="58" spans="2:11" hidden="1" x14ac:dyDescent="0.25">
      <c r="B58" s="2315"/>
      <c r="C58" s="2412"/>
      <c r="D58" s="2327"/>
      <c r="E58" s="2414" t="s">
        <v>1018</v>
      </c>
      <c r="F58" s="2340"/>
      <c r="G58" s="2481"/>
      <c r="H58" s="2474">
        <v>18432</v>
      </c>
      <c r="I58" s="2472"/>
      <c r="J58" s="2474">
        <v>4608</v>
      </c>
      <c r="K58" s="3643"/>
    </row>
    <row r="59" spans="2:11" x14ac:dyDescent="0.25">
      <c r="B59" s="2315"/>
      <c r="C59" s="2412"/>
      <c r="D59" s="2386" t="s">
        <v>80</v>
      </c>
      <c r="E59" s="2386"/>
      <c r="F59" s="2386"/>
      <c r="G59" s="2476"/>
      <c r="H59" s="2470">
        <f>ROUND('34) Detail_PS_EE Comm Elec'!N9,-3)</f>
        <v>283000</v>
      </c>
      <c r="I59" s="2471"/>
      <c r="J59" s="2470">
        <f>ROUND('39) Detail_PS_EE Comm Gas'!N10,-3)</f>
        <v>42000</v>
      </c>
      <c r="K59" s="3657">
        <f>H59+J59</f>
        <v>325000</v>
      </c>
    </row>
    <row r="60" spans="2:11" x14ac:dyDescent="0.25">
      <c r="B60" s="2329"/>
      <c r="C60" s="2330"/>
      <c r="D60" s="2415" t="s">
        <v>997</v>
      </c>
      <c r="E60" s="2415"/>
      <c r="F60" s="2415"/>
      <c r="G60" s="2482"/>
      <c r="H60" s="2483">
        <f>ROUND('35) Detail_PS_ Trade Ally Elec'!N9,-3)</f>
        <v>46000</v>
      </c>
      <c r="I60" s="2484"/>
      <c r="J60" s="2470">
        <f>ROUND('40) Detail_PS_Trade Ally gas'!N9,-3)</f>
        <v>18000</v>
      </c>
      <c r="K60" s="3657">
        <f>H60+J60</f>
        <v>64000</v>
      </c>
    </row>
    <row r="61" spans="2:11" x14ac:dyDescent="0.25">
      <c r="B61" s="2413"/>
      <c r="C61" s="2420"/>
      <c r="D61" s="2415" t="s">
        <v>119</v>
      </c>
      <c r="E61" s="2415"/>
      <c r="F61" s="2415"/>
      <c r="G61" s="2482"/>
      <c r="H61" s="2483">
        <f>ROUND('36) Detail_PS_Mktg Resch Elec'!N9,-3)</f>
        <v>567000</v>
      </c>
      <c r="I61" s="2484"/>
      <c r="J61" s="2470">
        <f>ROUND('41) Detail_PS_Mktg Rsch gas'!N10,-3)</f>
        <v>85000</v>
      </c>
      <c r="K61" s="3657">
        <f>H61+J61</f>
        <v>652000</v>
      </c>
    </row>
    <row r="62" spans="2:11" x14ac:dyDescent="0.25">
      <c r="B62" s="2307"/>
      <c r="C62" s="2308"/>
      <c r="D62" s="2309" t="s">
        <v>998</v>
      </c>
      <c r="E62" s="2309"/>
      <c r="F62" s="2309"/>
      <c r="G62" s="2437"/>
      <c r="H62" s="2485">
        <f>H42+H47+H59+H60+H61</f>
        <v>3514000</v>
      </c>
      <c r="I62" s="2463"/>
      <c r="J62" s="2485">
        <f>J42+J47+J59+J60+J61</f>
        <v>538000</v>
      </c>
      <c r="K62" s="3644">
        <f>H62+J62</f>
        <v>4052000</v>
      </c>
    </row>
    <row r="63" spans="2:11" x14ac:dyDescent="0.25">
      <c r="B63" s="3371"/>
      <c r="C63" s="3372"/>
      <c r="D63" s="3372"/>
      <c r="E63" s="2332"/>
      <c r="F63" s="3372"/>
      <c r="G63" s="2465"/>
      <c r="H63" s="2464"/>
      <c r="I63" s="2465"/>
      <c r="J63" s="2464"/>
      <c r="K63" s="3654"/>
    </row>
    <row r="64" spans="2:11" ht="15.6" x14ac:dyDescent="0.3">
      <c r="B64" s="2333"/>
      <c r="C64" s="2334"/>
      <c r="D64" s="2335" t="s">
        <v>999</v>
      </c>
      <c r="E64" s="2335"/>
      <c r="F64" s="2335"/>
      <c r="G64" s="2486"/>
      <c r="H64" s="2486"/>
      <c r="I64" s="2486"/>
      <c r="J64" s="2486"/>
      <c r="K64" s="3658"/>
    </row>
    <row r="65" spans="2:11" x14ac:dyDescent="0.25">
      <c r="B65" s="2336"/>
      <c r="C65" s="2337"/>
      <c r="D65" s="3617" t="s">
        <v>85</v>
      </c>
      <c r="E65" s="3617"/>
      <c r="F65" s="3617"/>
      <c r="G65" s="2487"/>
      <c r="H65" s="2488">
        <f>ROUND('42) Detail_R&amp;C_Supp Crv Elec'!N9,-3)</f>
        <v>424000</v>
      </c>
      <c r="I65" s="2489"/>
      <c r="J65" s="2488">
        <f>ROUND('46) Detail_R&amp;C_Supp Crv gas'!N9,-3)</f>
        <v>63000</v>
      </c>
      <c r="K65" s="3647">
        <f t="shared" ref="K65:K69" si="4">H65+J65</f>
        <v>487000</v>
      </c>
    </row>
    <row r="66" spans="2:11" ht="15" x14ac:dyDescent="0.4">
      <c r="B66" s="2301"/>
      <c r="C66" s="2339"/>
      <c r="D66" s="2328" t="s">
        <v>120</v>
      </c>
      <c r="E66" s="2328"/>
      <c r="F66" s="2328"/>
      <c r="G66" s="2490"/>
      <c r="H66" s="2480">
        <f>ROUND('43) Detail_R&amp;C_Strat Pln Elec'!N9,-3)</f>
        <v>350000</v>
      </c>
      <c r="I66" s="2479"/>
      <c r="J66" s="2488">
        <f>ROUND('47) Detail_R&amp;C_Strat Pln Gas'!N10,-3)</f>
        <v>52000</v>
      </c>
      <c r="K66" s="3647">
        <f t="shared" si="4"/>
        <v>402000</v>
      </c>
    </row>
    <row r="67" spans="2:11" x14ac:dyDescent="0.25">
      <c r="B67" s="2301"/>
      <c r="C67" s="2339"/>
      <c r="D67" s="2328" t="s">
        <v>88</v>
      </c>
      <c r="E67" s="2328"/>
      <c r="F67" s="2328"/>
      <c r="G67" s="2478"/>
      <c r="H67" s="2491">
        <f>ROUND('44) Detail_R&amp;C_Eval Elec'!N9,-3)</f>
        <v>2021000</v>
      </c>
      <c r="I67" s="2479"/>
      <c r="J67" s="2492">
        <f>ROUND('48) Detail_R&amp;C_Eval Gas'!N9,-3)</f>
        <v>508000</v>
      </c>
      <c r="K67" s="3647">
        <f t="shared" si="4"/>
        <v>2529000</v>
      </c>
    </row>
    <row r="68" spans="2:11" x14ac:dyDescent="0.25">
      <c r="B68" s="2341"/>
      <c r="C68" s="2342"/>
      <c r="D68" s="3618" t="s">
        <v>861</v>
      </c>
      <c r="E68" s="3619"/>
      <c r="F68" s="3620"/>
      <c r="G68" s="2493"/>
      <c r="H68" s="2494">
        <f>ROUND('45) Detail_R&amp;C_Support Elec'!N9,-3)</f>
        <v>377000</v>
      </c>
      <c r="I68" s="2495"/>
      <c r="J68" s="2488">
        <f>ROUND('49) Detail_R&amp;C_Support Gas'!N9,-3)</f>
        <v>60000</v>
      </c>
      <c r="K68" s="3647">
        <f t="shared" si="4"/>
        <v>437000</v>
      </c>
    </row>
    <row r="69" spans="2:11" x14ac:dyDescent="0.25">
      <c r="B69" s="2307"/>
      <c r="C69" s="2308"/>
      <c r="D69" s="2309" t="s">
        <v>1000</v>
      </c>
      <c r="E69" s="2309"/>
      <c r="F69" s="2309"/>
      <c r="G69" s="2437">
        <v>0</v>
      </c>
      <c r="H69" s="2462">
        <f>SUM(H65:H68)</f>
        <v>3172000</v>
      </c>
      <c r="I69" s="2463"/>
      <c r="J69" s="2462">
        <f>SUM(J65:J68)</f>
        <v>683000</v>
      </c>
      <c r="K69" s="3644">
        <f t="shared" si="4"/>
        <v>3855000</v>
      </c>
    </row>
    <row r="70" spans="2:11" x14ac:dyDescent="0.25">
      <c r="B70" s="2323"/>
      <c r="C70" s="2324"/>
      <c r="D70" s="2324"/>
      <c r="E70" s="2324"/>
      <c r="F70" s="2324"/>
      <c r="G70" s="2466"/>
      <c r="H70" s="2467"/>
      <c r="I70" s="2466"/>
      <c r="J70" s="2467"/>
      <c r="K70" s="3655"/>
    </row>
    <row r="71" spans="2:11" ht="13.8" x14ac:dyDescent="0.25">
      <c r="B71" s="2344" t="s">
        <v>1001</v>
      </c>
      <c r="C71" s="2345"/>
      <c r="D71" s="2345"/>
      <c r="E71" s="2346"/>
      <c r="F71" s="2346"/>
      <c r="G71" s="2496">
        <f>G21+G33+G38</f>
        <v>336600</v>
      </c>
      <c r="H71" s="2497">
        <f>H21+H33+H38+H62+H69</f>
        <v>96828000</v>
      </c>
      <c r="I71" s="2496">
        <f>I21+I33</f>
        <v>4836500</v>
      </c>
      <c r="J71" s="2497">
        <f>J21+J33+J62+J69</f>
        <v>13450000</v>
      </c>
      <c r="K71" s="3713">
        <f>H71+J71</f>
        <v>110278000</v>
      </c>
    </row>
    <row r="72" spans="2:11" x14ac:dyDescent="0.25">
      <c r="B72" s="2323"/>
      <c r="C72" s="2324"/>
      <c r="D72" s="2324"/>
      <c r="E72" s="2324"/>
      <c r="F72" s="2324"/>
      <c r="G72" s="2498"/>
      <c r="H72" s="2467"/>
      <c r="I72" s="2466"/>
      <c r="J72" s="2467"/>
      <c r="K72" s="3655"/>
    </row>
    <row r="73" spans="2:11" ht="15.6" x14ac:dyDescent="0.3">
      <c r="B73" s="2375"/>
      <c r="C73" s="2376"/>
      <c r="D73" s="2377" t="s">
        <v>863</v>
      </c>
      <c r="E73" s="2377"/>
      <c r="F73" s="2377"/>
      <c r="G73" s="2499"/>
      <c r="H73" s="2499"/>
      <c r="I73" s="2499"/>
      <c r="J73" s="2499"/>
      <c r="K73" s="3660"/>
    </row>
    <row r="74" spans="2:11" x14ac:dyDescent="0.25">
      <c r="B74" s="2347" t="s">
        <v>1002</v>
      </c>
      <c r="C74" s="2348"/>
      <c r="D74" s="2313" t="s">
        <v>3</v>
      </c>
      <c r="E74" s="2349"/>
      <c r="F74" s="2348"/>
      <c r="G74" s="2500"/>
      <c r="H74" s="2501">
        <f>ROUND('50) Details_Oth Elec_Net Mtr'!N10,-3)</f>
        <v>293000</v>
      </c>
      <c r="I74" s="2502"/>
      <c r="J74" s="2444"/>
      <c r="K74" s="3714">
        <f>H74+J74</f>
        <v>293000</v>
      </c>
    </row>
    <row r="75" spans="2:11" x14ac:dyDescent="0.25">
      <c r="B75" s="2301" t="s">
        <v>1003</v>
      </c>
      <c r="C75" s="2339"/>
      <c r="D75" s="2327" t="s">
        <v>1004</v>
      </c>
      <c r="E75" s="2412"/>
      <c r="F75" s="2412"/>
      <c r="G75" s="2478"/>
      <c r="H75" s="2503">
        <f>ROUND('51) Details_Oth Elec_Renew Ed'!N10,-3)</f>
        <v>142000</v>
      </c>
      <c r="I75" s="2448"/>
      <c r="J75" s="2430"/>
      <c r="K75" s="3715">
        <f>H75+J75</f>
        <v>142000</v>
      </c>
    </row>
    <row r="76" spans="2:11" x14ac:dyDescent="0.25">
      <c r="B76" s="2301" t="s">
        <v>1117</v>
      </c>
      <c r="C76" s="2339"/>
      <c r="D76" s="2412" t="s">
        <v>65</v>
      </c>
      <c r="E76" s="2412"/>
      <c r="F76" s="2412"/>
      <c r="G76" s="2478"/>
      <c r="H76" s="2503">
        <f>ROUND('52) Details_Oth Elec_CI Load Cr'!N10,-3)</f>
        <v>1176000</v>
      </c>
      <c r="I76" s="2448"/>
      <c r="J76" s="2430"/>
      <c r="K76" s="3649">
        <f>H76+J76</f>
        <v>1176000</v>
      </c>
    </row>
    <row r="77" spans="2:11" x14ac:dyDescent="0.25">
      <c r="B77" s="3606" t="s">
        <v>1005</v>
      </c>
      <c r="C77" s="3607"/>
      <c r="D77" s="3608" t="s">
        <v>1006</v>
      </c>
      <c r="E77" s="3608"/>
      <c r="F77" s="3608"/>
      <c r="G77" s="2504"/>
      <c r="H77" s="2505">
        <f>ROUND('53) Details_Oth Elec_Res DR'!N10,-3)</f>
        <v>37000</v>
      </c>
      <c r="I77" s="2506"/>
      <c r="J77" s="2453"/>
      <c r="K77" s="3647">
        <f>H77+J77</f>
        <v>37000</v>
      </c>
    </row>
    <row r="78" spans="2:11" x14ac:dyDescent="0.25">
      <c r="B78" s="2307"/>
      <c r="C78" s="2308"/>
      <c r="D78" s="2351" t="s">
        <v>1007</v>
      </c>
      <c r="E78" s="2352"/>
      <c r="F78" s="2353"/>
      <c r="G78" s="2463"/>
      <c r="H78" s="2462">
        <f>SUM(H74:H77)</f>
        <v>1648000</v>
      </c>
      <c r="I78" s="2463"/>
      <c r="J78" s="2462">
        <v>0</v>
      </c>
      <c r="K78" s="3644">
        <f>H78+J78</f>
        <v>1648000</v>
      </c>
    </row>
    <row r="79" spans="2:11" ht="13.8" thickBot="1" x14ac:dyDescent="0.3">
      <c r="B79" s="3373"/>
      <c r="C79" s="2355"/>
      <c r="D79" s="2356"/>
      <c r="E79" s="2356"/>
      <c r="F79" s="2356"/>
      <c r="G79" s="2507"/>
      <c r="H79" s="2508"/>
      <c r="I79" s="2507"/>
      <c r="J79" s="2508"/>
      <c r="K79" s="3661"/>
    </row>
    <row r="80" spans="2:11" x14ac:dyDescent="0.25">
      <c r="B80" s="3372"/>
      <c r="C80" s="3372"/>
      <c r="D80" s="3372"/>
      <c r="E80" s="3372"/>
      <c r="F80" s="3372"/>
      <c r="G80" s="2509" t="s">
        <v>7</v>
      </c>
      <c r="H80" s="2464"/>
      <c r="I80" s="2465"/>
      <c r="J80" s="2464"/>
      <c r="K80" s="2464"/>
    </row>
    <row r="81" spans="2:12" x14ac:dyDescent="0.25">
      <c r="B81" s="3372"/>
      <c r="C81" s="3372"/>
      <c r="D81" s="2324"/>
      <c r="E81" s="2324"/>
      <c r="F81" s="2324"/>
      <c r="G81" s="2466"/>
      <c r="H81" s="2467"/>
      <c r="I81" s="2466"/>
      <c r="J81" s="2467"/>
      <c r="K81" s="2467"/>
    </row>
    <row r="82" spans="2:12" ht="14.4" thickBot="1" x14ac:dyDescent="0.3">
      <c r="B82" s="2357"/>
      <c r="C82" s="2378"/>
      <c r="D82" s="2393" t="s">
        <v>1008</v>
      </c>
      <c r="E82" s="2393"/>
      <c r="F82" s="2393"/>
      <c r="G82" s="2510">
        <f>G71/8760</f>
        <v>38.424657534246577</v>
      </c>
      <c r="H82" s="2511">
        <f>H71+H78</f>
        <v>98476000</v>
      </c>
      <c r="I82" s="2512">
        <f>I71</f>
        <v>4836500</v>
      </c>
      <c r="J82" s="2511">
        <f>J71+J78</f>
        <v>13450000</v>
      </c>
      <c r="K82" s="2511">
        <f>H82+J82</f>
        <v>111926000</v>
      </c>
      <c r="L82" s="3371"/>
    </row>
    <row r="83" spans="2:12" ht="13.8" x14ac:dyDescent="0.25">
      <c r="B83" s="2358"/>
      <c r="C83" s="2358"/>
      <c r="D83" s="2359"/>
      <c r="E83" s="2359"/>
      <c r="F83" s="2359"/>
      <c r="G83" s="2513"/>
      <c r="H83" s="2514"/>
      <c r="I83" s="2515"/>
      <c r="J83" s="2514"/>
      <c r="K83" s="2516"/>
    </row>
    <row r="84" spans="2:12" ht="13.8" x14ac:dyDescent="0.25">
      <c r="B84" s="2358" t="s">
        <v>1174</v>
      </c>
      <c r="C84" s="2358"/>
      <c r="D84" s="2359"/>
      <c r="E84" s="2359"/>
      <c r="F84" s="2359"/>
      <c r="G84" s="2513"/>
      <c r="H84" s="2514"/>
      <c r="I84" s="2515"/>
      <c r="J84" s="2514"/>
      <c r="K84" s="2516"/>
    </row>
    <row r="85" spans="2:12" ht="15.6" x14ac:dyDescent="0.3">
      <c r="B85" s="2360" t="s">
        <v>1009</v>
      </c>
      <c r="D85" s="2361"/>
      <c r="E85" s="2361"/>
      <c r="F85" s="2361"/>
      <c r="G85" s="2517"/>
      <c r="H85" s="2518"/>
      <c r="I85" s="2519"/>
      <c r="J85" s="2520"/>
      <c r="K85" s="2521"/>
    </row>
    <row r="86" spans="2:12" ht="15.6" x14ac:dyDescent="0.3">
      <c r="B86" s="2360"/>
      <c r="D86" s="2361"/>
      <c r="E86" s="2361"/>
      <c r="F86" s="2361"/>
      <c r="G86" s="2517"/>
      <c r="H86" s="2518"/>
      <c r="I86" s="2519"/>
      <c r="J86" s="2520"/>
      <c r="K86" s="2521"/>
    </row>
    <row r="87" spans="2:12" x14ac:dyDescent="0.25">
      <c r="F87" s="3375" t="s">
        <v>1011</v>
      </c>
      <c r="G87" s="3375"/>
      <c r="H87" s="2532">
        <f>(H31+H62)/H71</f>
        <v>3.6600983186681535E-2</v>
      </c>
      <c r="I87" s="2531"/>
      <c r="J87" s="2532">
        <f>(J31+J62)/J71</f>
        <v>4.200743494423792E-2</v>
      </c>
      <c r="K87" s="2526"/>
    </row>
    <row r="88" spans="2:12" x14ac:dyDescent="0.25">
      <c r="F88" s="3369" t="s">
        <v>1173</v>
      </c>
      <c r="G88" s="2526"/>
      <c r="H88" s="2533"/>
      <c r="I88" s="2526"/>
      <c r="J88" s="2533"/>
      <c r="K88" s="2526"/>
    </row>
    <row r="89" spans="2:12" x14ac:dyDescent="0.25">
      <c r="G89" s="2526"/>
      <c r="H89" s="2533"/>
      <c r="I89" s="2526"/>
      <c r="J89" s="2533"/>
      <c r="K89" s="2526"/>
    </row>
    <row r="90" spans="2:12" x14ac:dyDescent="0.25">
      <c r="G90" s="2526"/>
      <c r="H90" s="2533"/>
      <c r="I90" s="2526"/>
      <c r="J90" s="2533"/>
      <c r="K90" s="2526"/>
    </row>
    <row r="91" spans="2:12" x14ac:dyDescent="0.25">
      <c r="F91" s="3376" t="s">
        <v>1012</v>
      </c>
      <c r="G91" s="3376"/>
      <c r="H91" s="2534">
        <f>H67/(H21+H33)</f>
        <v>2.3897645709420708E-2</v>
      </c>
      <c r="I91" s="2531"/>
      <c r="J91" s="2534">
        <f>J67/(J21+J33)</f>
        <v>4.1540600212609372E-2</v>
      </c>
      <c r="K91" s="2526"/>
    </row>
    <row r="100" spans="8:8" x14ac:dyDescent="0.25">
      <c r="H100" s="3490"/>
    </row>
  </sheetData>
  <mergeCells count="1">
    <mergeCell ref="B3:C3"/>
  </mergeCells>
  <hyperlinks>
    <hyperlink ref="G3" location="'2) Sector View Electric'!A1" display="MWH Savings"/>
    <hyperlink ref="H3" location="'2) Sector View Electric'!A1" display="Electric Rider Budget"/>
    <hyperlink ref="I3" location="'3) Sector View Gas'!A1" display="Therm Savings"/>
    <hyperlink ref="J3" location="'3) Sector View Gas'!A1" display="Gas Tracker Budget"/>
  </hyperlinks>
  <pageMargins left="0.28000000000000003" right="0.28000000000000003" top="0.75" bottom="0.75" header="0.28000000000000003" footer="0.3"/>
  <pageSetup paperSize="17" scale="8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4"/>
  <sheetViews>
    <sheetView workbookViewId="0">
      <pane xSplit="1" ySplit="1" topLeftCell="B44" activePane="bottomRight" state="frozen"/>
      <selection pane="topRight" activeCell="B1" sqref="B1"/>
      <selection pane="bottomLeft" activeCell="A2" sqref="A2"/>
      <selection pane="bottomRight" activeCell="Q5" sqref="Q5"/>
    </sheetView>
  </sheetViews>
  <sheetFormatPr defaultRowHeight="13.2" x14ac:dyDescent="0.25"/>
  <cols>
    <col min="1" max="1" width="15.88671875" style="3957" customWidth="1"/>
    <col min="2" max="2" width="18.6640625" style="3957" customWidth="1"/>
    <col min="3" max="3" width="36.109375" style="3957" customWidth="1"/>
    <col min="4" max="4" width="12.5546875" style="3958" customWidth="1"/>
    <col min="5" max="5" width="12.5546875" style="3957" customWidth="1"/>
    <col min="6" max="6" width="16.33203125" style="3957" bestFit="1" customWidth="1"/>
    <col min="7" max="7" width="13.44140625" style="3957" customWidth="1"/>
    <col min="8" max="8" width="15.33203125" style="3957" bestFit="1" customWidth="1"/>
    <col min="9" max="9" width="14.109375" style="3957" bestFit="1" customWidth="1"/>
    <col min="10" max="10" width="15.33203125" style="3957" customWidth="1"/>
    <col min="11" max="11" width="17.6640625" style="3957" customWidth="1"/>
    <col min="12" max="12" width="17" style="3957" bestFit="1" customWidth="1"/>
    <col min="13" max="13" width="12.6640625" style="3957" customWidth="1"/>
    <col min="14" max="14" width="13.6640625" style="3957" customWidth="1"/>
    <col min="15" max="15" width="13.88671875" style="3957" bestFit="1" customWidth="1"/>
    <col min="16" max="16" width="19.6640625" style="3957" bestFit="1" customWidth="1"/>
    <col min="17" max="17" width="16.109375" style="3957" customWidth="1"/>
    <col min="18" max="18" width="16.6640625" style="3957" bestFit="1" customWidth="1"/>
    <col min="19" max="19" width="15.5546875" style="3957" bestFit="1" customWidth="1"/>
    <col min="20" max="20" width="20.5546875" style="3957" bestFit="1" customWidth="1"/>
    <col min="21" max="21" width="16.44140625" style="3957" bestFit="1" customWidth="1"/>
    <col min="22" max="22" width="14.33203125" style="3957" customWidth="1"/>
    <col min="23" max="23" width="12.88671875" style="3957" bestFit="1" customWidth="1"/>
    <col min="24" max="24" width="11.33203125" style="3957" bestFit="1" customWidth="1"/>
    <col min="25" max="25" width="12.5546875" style="3957" bestFit="1" customWidth="1"/>
    <col min="26" max="26" width="14" style="3957" bestFit="1" customWidth="1"/>
    <col min="27" max="27" width="6" style="3957" bestFit="1" customWidth="1"/>
    <col min="28" max="28" width="15" style="3957" customWidth="1"/>
    <col min="29" max="29" width="14.88671875" style="3957" bestFit="1" customWidth="1"/>
    <col min="30" max="30" width="16.109375" style="3957" bestFit="1" customWidth="1"/>
    <col min="31" max="257" width="9.109375" style="3957"/>
    <col min="258" max="258" width="24" style="3957" bestFit="1" customWidth="1"/>
    <col min="259" max="259" width="43.88671875" style="3957" customWidth="1"/>
    <col min="260" max="260" width="19.6640625" style="3957" bestFit="1" customWidth="1"/>
    <col min="261" max="261" width="12.44140625" style="3957" bestFit="1" customWidth="1"/>
    <col min="262" max="262" width="16.33203125" style="3957" bestFit="1" customWidth="1"/>
    <col min="263" max="263" width="13.44140625" style="3957" customWidth="1"/>
    <col min="264" max="264" width="15.33203125" style="3957" bestFit="1" customWidth="1"/>
    <col min="265" max="265" width="14.109375" style="3957" bestFit="1" customWidth="1"/>
    <col min="266" max="266" width="15.33203125" style="3957" customWidth="1"/>
    <col min="267" max="267" width="17.6640625" style="3957" customWidth="1"/>
    <col min="268" max="268" width="17" style="3957" bestFit="1" customWidth="1"/>
    <col min="269" max="269" width="12.6640625" style="3957" customWidth="1"/>
    <col min="270" max="270" width="13.6640625" style="3957" customWidth="1"/>
    <col min="271" max="271" width="13.88671875" style="3957" bestFit="1" customWidth="1"/>
    <col min="272" max="272" width="19.6640625" style="3957" bestFit="1" customWidth="1"/>
    <col min="273" max="273" width="16.109375" style="3957" customWidth="1"/>
    <col min="274" max="274" width="16.6640625" style="3957" bestFit="1" customWidth="1"/>
    <col min="275" max="275" width="15.5546875" style="3957" bestFit="1" customWidth="1"/>
    <col min="276" max="276" width="20.5546875" style="3957" bestFit="1" customWidth="1"/>
    <col min="277" max="277" width="16.44140625" style="3957" bestFit="1" customWidth="1"/>
    <col min="278" max="278" width="14.33203125" style="3957" customWidth="1"/>
    <col min="279" max="279" width="12.88671875" style="3957" bestFit="1" customWidth="1"/>
    <col min="280" max="280" width="11.33203125" style="3957" bestFit="1" customWidth="1"/>
    <col min="281" max="281" width="12.5546875" style="3957" bestFit="1" customWidth="1"/>
    <col min="282" max="282" width="14" style="3957" bestFit="1" customWidth="1"/>
    <col min="283" max="283" width="6" style="3957" bestFit="1" customWidth="1"/>
    <col min="284" max="284" width="15" style="3957" customWidth="1"/>
    <col min="285" max="285" width="14.88671875" style="3957" bestFit="1" customWidth="1"/>
    <col min="286" max="286" width="16.109375" style="3957" bestFit="1" customWidth="1"/>
    <col min="287" max="513" width="9.109375" style="3957"/>
    <col min="514" max="514" width="24" style="3957" bestFit="1" customWidth="1"/>
    <col min="515" max="515" width="43.88671875" style="3957" customWidth="1"/>
    <col min="516" max="516" width="19.6640625" style="3957" bestFit="1" customWidth="1"/>
    <col min="517" max="517" width="12.44140625" style="3957" bestFit="1" customWidth="1"/>
    <col min="518" max="518" width="16.33203125" style="3957" bestFit="1" customWidth="1"/>
    <col min="519" max="519" width="13.44140625" style="3957" customWidth="1"/>
    <col min="520" max="520" width="15.33203125" style="3957" bestFit="1" customWidth="1"/>
    <col min="521" max="521" width="14.109375" style="3957" bestFit="1" customWidth="1"/>
    <col min="522" max="522" width="15.33203125" style="3957" customWidth="1"/>
    <col min="523" max="523" width="17.6640625" style="3957" customWidth="1"/>
    <col min="524" max="524" width="17" style="3957" bestFit="1" customWidth="1"/>
    <col min="525" max="525" width="12.6640625" style="3957" customWidth="1"/>
    <col min="526" max="526" width="13.6640625" style="3957" customWidth="1"/>
    <col min="527" max="527" width="13.88671875" style="3957" bestFit="1" customWidth="1"/>
    <col min="528" max="528" width="19.6640625" style="3957" bestFit="1" customWidth="1"/>
    <col min="529" max="529" width="16.109375" style="3957" customWidth="1"/>
    <col min="530" max="530" width="16.6640625" style="3957" bestFit="1" customWidth="1"/>
    <col min="531" max="531" width="15.5546875" style="3957" bestFit="1" customWidth="1"/>
    <col min="532" max="532" width="20.5546875" style="3957" bestFit="1" customWidth="1"/>
    <col min="533" max="533" width="16.44140625" style="3957" bestFit="1" customWidth="1"/>
    <col min="534" max="534" width="14.33203125" style="3957" customWidth="1"/>
    <col min="535" max="535" width="12.88671875" style="3957" bestFit="1" customWidth="1"/>
    <col min="536" max="536" width="11.33203125" style="3957" bestFit="1" customWidth="1"/>
    <col min="537" max="537" width="12.5546875" style="3957" bestFit="1" customWidth="1"/>
    <col min="538" max="538" width="14" style="3957" bestFit="1" customWidth="1"/>
    <col min="539" max="539" width="6" style="3957" bestFit="1" customWidth="1"/>
    <col min="540" max="540" width="15" style="3957" customWidth="1"/>
    <col min="541" max="541" width="14.88671875" style="3957" bestFit="1" customWidth="1"/>
    <col min="542" max="542" width="16.109375" style="3957" bestFit="1" customWidth="1"/>
    <col min="543" max="769" width="9.109375" style="3957"/>
    <col min="770" max="770" width="24" style="3957" bestFit="1" customWidth="1"/>
    <col min="771" max="771" width="43.88671875" style="3957" customWidth="1"/>
    <col min="772" max="772" width="19.6640625" style="3957" bestFit="1" customWidth="1"/>
    <col min="773" max="773" width="12.44140625" style="3957" bestFit="1" customWidth="1"/>
    <col min="774" max="774" width="16.33203125" style="3957" bestFit="1" customWidth="1"/>
    <col min="775" max="775" width="13.44140625" style="3957" customWidth="1"/>
    <col min="776" max="776" width="15.33203125" style="3957" bestFit="1" customWidth="1"/>
    <col min="777" max="777" width="14.109375" style="3957" bestFit="1" customWidth="1"/>
    <col min="778" max="778" width="15.33203125" style="3957" customWidth="1"/>
    <col min="779" max="779" width="17.6640625" style="3957" customWidth="1"/>
    <col min="780" max="780" width="17" style="3957" bestFit="1" customWidth="1"/>
    <col min="781" max="781" width="12.6640625" style="3957" customWidth="1"/>
    <col min="782" max="782" width="13.6640625" style="3957" customWidth="1"/>
    <col min="783" max="783" width="13.88671875" style="3957" bestFit="1" customWidth="1"/>
    <col min="784" max="784" width="19.6640625" style="3957" bestFit="1" customWidth="1"/>
    <col min="785" max="785" width="16.109375" style="3957" customWidth="1"/>
    <col min="786" max="786" width="16.6640625" style="3957" bestFit="1" customWidth="1"/>
    <col min="787" max="787" width="15.5546875" style="3957" bestFit="1" customWidth="1"/>
    <col min="788" max="788" width="20.5546875" style="3957" bestFit="1" customWidth="1"/>
    <col min="789" max="789" width="16.44140625" style="3957" bestFit="1" customWidth="1"/>
    <col min="790" max="790" width="14.33203125" style="3957" customWidth="1"/>
    <col min="791" max="791" width="12.88671875" style="3957" bestFit="1" customWidth="1"/>
    <col min="792" max="792" width="11.33203125" style="3957" bestFit="1" customWidth="1"/>
    <col min="793" max="793" width="12.5546875" style="3957" bestFit="1" customWidth="1"/>
    <col min="794" max="794" width="14" style="3957" bestFit="1" customWidth="1"/>
    <col min="795" max="795" width="6" style="3957" bestFit="1" customWidth="1"/>
    <col min="796" max="796" width="15" style="3957" customWidth="1"/>
    <col min="797" max="797" width="14.88671875" style="3957" bestFit="1" customWidth="1"/>
    <col min="798" max="798" width="16.109375" style="3957" bestFit="1" customWidth="1"/>
    <col min="799" max="1025" width="9.109375" style="3957"/>
    <col min="1026" max="1026" width="24" style="3957" bestFit="1" customWidth="1"/>
    <col min="1027" max="1027" width="43.88671875" style="3957" customWidth="1"/>
    <col min="1028" max="1028" width="19.6640625" style="3957" bestFit="1" customWidth="1"/>
    <col min="1029" max="1029" width="12.44140625" style="3957" bestFit="1" customWidth="1"/>
    <col min="1030" max="1030" width="16.33203125" style="3957" bestFit="1" customWidth="1"/>
    <col min="1031" max="1031" width="13.44140625" style="3957" customWidth="1"/>
    <col min="1032" max="1032" width="15.33203125" style="3957" bestFit="1" customWidth="1"/>
    <col min="1033" max="1033" width="14.109375" style="3957" bestFit="1" customWidth="1"/>
    <col min="1034" max="1034" width="15.33203125" style="3957" customWidth="1"/>
    <col min="1035" max="1035" width="17.6640625" style="3957" customWidth="1"/>
    <col min="1036" max="1036" width="17" style="3957" bestFit="1" customWidth="1"/>
    <col min="1037" max="1037" width="12.6640625" style="3957" customWidth="1"/>
    <col min="1038" max="1038" width="13.6640625" style="3957" customWidth="1"/>
    <col min="1039" max="1039" width="13.88671875" style="3957" bestFit="1" customWidth="1"/>
    <col min="1040" max="1040" width="19.6640625" style="3957" bestFit="1" customWidth="1"/>
    <col min="1041" max="1041" width="16.109375" style="3957" customWidth="1"/>
    <col min="1042" max="1042" width="16.6640625" style="3957" bestFit="1" customWidth="1"/>
    <col min="1043" max="1043" width="15.5546875" style="3957" bestFit="1" customWidth="1"/>
    <col min="1044" max="1044" width="20.5546875" style="3957" bestFit="1" customWidth="1"/>
    <col min="1045" max="1045" width="16.44140625" style="3957" bestFit="1" customWidth="1"/>
    <col min="1046" max="1046" width="14.33203125" style="3957" customWidth="1"/>
    <col min="1047" max="1047" width="12.88671875" style="3957" bestFit="1" customWidth="1"/>
    <col min="1048" max="1048" width="11.33203125" style="3957" bestFit="1" customWidth="1"/>
    <col min="1049" max="1049" width="12.5546875" style="3957" bestFit="1" customWidth="1"/>
    <col min="1050" max="1050" width="14" style="3957" bestFit="1" customWidth="1"/>
    <col min="1051" max="1051" width="6" style="3957" bestFit="1" customWidth="1"/>
    <col min="1052" max="1052" width="15" style="3957" customWidth="1"/>
    <col min="1053" max="1053" width="14.88671875" style="3957" bestFit="1" customWidth="1"/>
    <col min="1054" max="1054" width="16.109375" style="3957" bestFit="1" customWidth="1"/>
    <col min="1055" max="1281" width="9.109375" style="3957"/>
    <col min="1282" max="1282" width="24" style="3957" bestFit="1" customWidth="1"/>
    <col min="1283" max="1283" width="43.88671875" style="3957" customWidth="1"/>
    <col min="1284" max="1284" width="19.6640625" style="3957" bestFit="1" customWidth="1"/>
    <col min="1285" max="1285" width="12.44140625" style="3957" bestFit="1" customWidth="1"/>
    <col min="1286" max="1286" width="16.33203125" style="3957" bestFit="1" customWidth="1"/>
    <col min="1287" max="1287" width="13.44140625" style="3957" customWidth="1"/>
    <col min="1288" max="1288" width="15.33203125" style="3957" bestFit="1" customWidth="1"/>
    <col min="1289" max="1289" width="14.109375" style="3957" bestFit="1" customWidth="1"/>
    <col min="1290" max="1290" width="15.33203125" style="3957" customWidth="1"/>
    <col min="1291" max="1291" width="17.6640625" style="3957" customWidth="1"/>
    <col min="1292" max="1292" width="17" style="3957" bestFit="1" customWidth="1"/>
    <col min="1293" max="1293" width="12.6640625" style="3957" customWidth="1"/>
    <col min="1294" max="1294" width="13.6640625" style="3957" customWidth="1"/>
    <col min="1295" max="1295" width="13.88671875" style="3957" bestFit="1" customWidth="1"/>
    <col min="1296" max="1296" width="19.6640625" style="3957" bestFit="1" customWidth="1"/>
    <col min="1297" max="1297" width="16.109375" style="3957" customWidth="1"/>
    <col min="1298" max="1298" width="16.6640625" style="3957" bestFit="1" customWidth="1"/>
    <col min="1299" max="1299" width="15.5546875" style="3957" bestFit="1" customWidth="1"/>
    <col min="1300" max="1300" width="20.5546875" style="3957" bestFit="1" customWidth="1"/>
    <col min="1301" max="1301" width="16.44140625" style="3957" bestFit="1" customWidth="1"/>
    <col min="1302" max="1302" width="14.33203125" style="3957" customWidth="1"/>
    <col min="1303" max="1303" width="12.88671875" style="3957" bestFit="1" customWidth="1"/>
    <col min="1304" max="1304" width="11.33203125" style="3957" bestFit="1" customWidth="1"/>
    <col min="1305" max="1305" width="12.5546875" style="3957" bestFit="1" customWidth="1"/>
    <col min="1306" max="1306" width="14" style="3957" bestFit="1" customWidth="1"/>
    <col min="1307" max="1307" width="6" style="3957" bestFit="1" customWidth="1"/>
    <col min="1308" max="1308" width="15" style="3957" customWidth="1"/>
    <col min="1309" max="1309" width="14.88671875" style="3957" bestFit="1" customWidth="1"/>
    <col min="1310" max="1310" width="16.109375" style="3957" bestFit="1" customWidth="1"/>
    <col min="1311" max="1537" width="9.109375" style="3957"/>
    <col min="1538" max="1538" width="24" style="3957" bestFit="1" customWidth="1"/>
    <col min="1539" max="1539" width="43.88671875" style="3957" customWidth="1"/>
    <col min="1540" max="1540" width="19.6640625" style="3957" bestFit="1" customWidth="1"/>
    <col min="1541" max="1541" width="12.44140625" style="3957" bestFit="1" customWidth="1"/>
    <col min="1542" max="1542" width="16.33203125" style="3957" bestFit="1" customWidth="1"/>
    <col min="1543" max="1543" width="13.44140625" style="3957" customWidth="1"/>
    <col min="1544" max="1544" width="15.33203125" style="3957" bestFit="1" customWidth="1"/>
    <col min="1545" max="1545" width="14.109375" style="3957" bestFit="1" customWidth="1"/>
    <col min="1546" max="1546" width="15.33203125" style="3957" customWidth="1"/>
    <col min="1547" max="1547" width="17.6640625" style="3957" customWidth="1"/>
    <col min="1548" max="1548" width="17" style="3957" bestFit="1" customWidth="1"/>
    <col min="1549" max="1549" width="12.6640625" style="3957" customWidth="1"/>
    <col min="1550" max="1550" width="13.6640625" style="3957" customWidth="1"/>
    <col min="1551" max="1551" width="13.88671875" style="3957" bestFit="1" customWidth="1"/>
    <col min="1552" max="1552" width="19.6640625" style="3957" bestFit="1" customWidth="1"/>
    <col min="1553" max="1553" width="16.109375" style="3957" customWidth="1"/>
    <col min="1554" max="1554" width="16.6640625" style="3957" bestFit="1" customWidth="1"/>
    <col min="1555" max="1555" width="15.5546875" style="3957" bestFit="1" customWidth="1"/>
    <col min="1556" max="1556" width="20.5546875" style="3957" bestFit="1" customWidth="1"/>
    <col min="1557" max="1557" width="16.44140625" style="3957" bestFit="1" customWidth="1"/>
    <col min="1558" max="1558" width="14.33203125" style="3957" customWidth="1"/>
    <col min="1559" max="1559" width="12.88671875" style="3957" bestFit="1" customWidth="1"/>
    <col min="1560" max="1560" width="11.33203125" style="3957" bestFit="1" customWidth="1"/>
    <col min="1561" max="1561" width="12.5546875" style="3957" bestFit="1" customWidth="1"/>
    <col min="1562" max="1562" width="14" style="3957" bestFit="1" customWidth="1"/>
    <col min="1563" max="1563" width="6" style="3957" bestFit="1" customWidth="1"/>
    <col min="1564" max="1564" width="15" style="3957" customWidth="1"/>
    <col min="1565" max="1565" width="14.88671875" style="3957" bestFit="1" customWidth="1"/>
    <col min="1566" max="1566" width="16.109375" style="3957" bestFit="1" customWidth="1"/>
    <col min="1567" max="1793" width="9.109375" style="3957"/>
    <col min="1794" max="1794" width="24" style="3957" bestFit="1" customWidth="1"/>
    <col min="1795" max="1795" width="43.88671875" style="3957" customWidth="1"/>
    <col min="1796" max="1796" width="19.6640625" style="3957" bestFit="1" customWidth="1"/>
    <col min="1797" max="1797" width="12.44140625" style="3957" bestFit="1" customWidth="1"/>
    <col min="1798" max="1798" width="16.33203125" style="3957" bestFit="1" customWidth="1"/>
    <col min="1799" max="1799" width="13.44140625" style="3957" customWidth="1"/>
    <col min="1800" max="1800" width="15.33203125" style="3957" bestFit="1" customWidth="1"/>
    <col min="1801" max="1801" width="14.109375" style="3957" bestFit="1" customWidth="1"/>
    <col min="1802" max="1802" width="15.33203125" style="3957" customWidth="1"/>
    <col min="1803" max="1803" width="17.6640625" style="3957" customWidth="1"/>
    <col min="1804" max="1804" width="17" style="3957" bestFit="1" customWidth="1"/>
    <col min="1805" max="1805" width="12.6640625" style="3957" customWidth="1"/>
    <col min="1806" max="1806" width="13.6640625" style="3957" customWidth="1"/>
    <col min="1807" max="1807" width="13.88671875" style="3957" bestFit="1" customWidth="1"/>
    <col min="1808" max="1808" width="19.6640625" style="3957" bestFit="1" customWidth="1"/>
    <col min="1809" max="1809" width="16.109375" style="3957" customWidth="1"/>
    <col min="1810" max="1810" width="16.6640625" style="3957" bestFit="1" customWidth="1"/>
    <col min="1811" max="1811" width="15.5546875" style="3957" bestFit="1" customWidth="1"/>
    <col min="1812" max="1812" width="20.5546875" style="3957" bestFit="1" customWidth="1"/>
    <col min="1813" max="1813" width="16.44140625" style="3957" bestFit="1" customWidth="1"/>
    <col min="1814" max="1814" width="14.33203125" style="3957" customWidth="1"/>
    <col min="1815" max="1815" width="12.88671875" style="3957" bestFit="1" customWidth="1"/>
    <col min="1816" max="1816" width="11.33203125" style="3957" bestFit="1" customWidth="1"/>
    <col min="1817" max="1817" width="12.5546875" style="3957" bestFit="1" customWidth="1"/>
    <col min="1818" max="1818" width="14" style="3957" bestFit="1" customWidth="1"/>
    <col min="1819" max="1819" width="6" style="3957" bestFit="1" customWidth="1"/>
    <col min="1820" max="1820" width="15" style="3957" customWidth="1"/>
    <col min="1821" max="1821" width="14.88671875" style="3957" bestFit="1" customWidth="1"/>
    <col min="1822" max="1822" width="16.109375" style="3957" bestFit="1" customWidth="1"/>
    <col min="1823" max="2049" width="9.109375" style="3957"/>
    <col min="2050" max="2050" width="24" style="3957" bestFit="1" customWidth="1"/>
    <col min="2051" max="2051" width="43.88671875" style="3957" customWidth="1"/>
    <col min="2052" max="2052" width="19.6640625" style="3957" bestFit="1" customWidth="1"/>
    <col min="2053" max="2053" width="12.44140625" style="3957" bestFit="1" customWidth="1"/>
    <col min="2054" max="2054" width="16.33203125" style="3957" bestFit="1" customWidth="1"/>
    <col min="2055" max="2055" width="13.44140625" style="3957" customWidth="1"/>
    <col min="2056" max="2056" width="15.33203125" style="3957" bestFit="1" customWidth="1"/>
    <col min="2057" max="2057" width="14.109375" style="3957" bestFit="1" customWidth="1"/>
    <col min="2058" max="2058" width="15.33203125" style="3957" customWidth="1"/>
    <col min="2059" max="2059" width="17.6640625" style="3957" customWidth="1"/>
    <col min="2060" max="2060" width="17" style="3957" bestFit="1" customWidth="1"/>
    <col min="2061" max="2061" width="12.6640625" style="3957" customWidth="1"/>
    <col min="2062" max="2062" width="13.6640625" style="3957" customWidth="1"/>
    <col min="2063" max="2063" width="13.88671875" style="3957" bestFit="1" customWidth="1"/>
    <col min="2064" max="2064" width="19.6640625" style="3957" bestFit="1" customWidth="1"/>
    <col min="2065" max="2065" width="16.109375" style="3957" customWidth="1"/>
    <col min="2066" max="2066" width="16.6640625" style="3957" bestFit="1" customWidth="1"/>
    <col min="2067" max="2067" width="15.5546875" style="3957" bestFit="1" customWidth="1"/>
    <col min="2068" max="2068" width="20.5546875" style="3957" bestFit="1" customWidth="1"/>
    <col min="2069" max="2069" width="16.44140625" style="3957" bestFit="1" customWidth="1"/>
    <col min="2070" max="2070" width="14.33203125" style="3957" customWidth="1"/>
    <col min="2071" max="2071" width="12.88671875" style="3957" bestFit="1" customWidth="1"/>
    <col min="2072" max="2072" width="11.33203125" style="3957" bestFit="1" customWidth="1"/>
    <col min="2073" max="2073" width="12.5546875" style="3957" bestFit="1" customWidth="1"/>
    <col min="2074" max="2074" width="14" style="3957" bestFit="1" customWidth="1"/>
    <col min="2075" max="2075" width="6" style="3957" bestFit="1" customWidth="1"/>
    <col min="2076" max="2076" width="15" style="3957" customWidth="1"/>
    <col min="2077" max="2077" width="14.88671875" style="3957" bestFit="1" customWidth="1"/>
    <col min="2078" max="2078" width="16.109375" style="3957" bestFit="1" customWidth="1"/>
    <col min="2079" max="2305" width="9.109375" style="3957"/>
    <col min="2306" max="2306" width="24" style="3957" bestFit="1" customWidth="1"/>
    <col min="2307" max="2307" width="43.88671875" style="3957" customWidth="1"/>
    <col min="2308" max="2308" width="19.6640625" style="3957" bestFit="1" customWidth="1"/>
    <col min="2309" max="2309" width="12.44140625" style="3957" bestFit="1" customWidth="1"/>
    <col min="2310" max="2310" width="16.33203125" style="3957" bestFit="1" customWidth="1"/>
    <col min="2311" max="2311" width="13.44140625" style="3957" customWidth="1"/>
    <col min="2312" max="2312" width="15.33203125" style="3957" bestFit="1" customWidth="1"/>
    <col min="2313" max="2313" width="14.109375" style="3957" bestFit="1" customWidth="1"/>
    <col min="2314" max="2314" width="15.33203125" style="3957" customWidth="1"/>
    <col min="2315" max="2315" width="17.6640625" style="3957" customWidth="1"/>
    <col min="2316" max="2316" width="17" style="3957" bestFit="1" customWidth="1"/>
    <col min="2317" max="2317" width="12.6640625" style="3957" customWidth="1"/>
    <col min="2318" max="2318" width="13.6640625" style="3957" customWidth="1"/>
    <col min="2319" max="2319" width="13.88671875" style="3957" bestFit="1" customWidth="1"/>
    <col min="2320" max="2320" width="19.6640625" style="3957" bestFit="1" customWidth="1"/>
    <col min="2321" max="2321" width="16.109375" style="3957" customWidth="1"/>
    <col min="2322" max="2322" width="16.6640625" style="3957" bestFit="1" customWidth="1"/>
    <col min="2323" max="2323" width="15.5546875" style="3957" bestFit="1" customWidth="1"/>
    <col min="2324" max="2324" width="20.5546875" style="3957" bestFit="1" customWidth="1"/>
    <col min="2325" max="2325" width="16.44140625" style="3957" bestFit="1" customWidth="1"/>
    <col min="2326" max="2326" width="14.33203125" style="3957" customWidth="1"/>
    <col min="2327" max="2327" width="12.88671875" style="3957" bestFit="1" customWidth="1"/>
    <col min="2328" max="2328" width="11.33203125" style="3957" bestFit="1" customWidth="1"/>
    <col min="2329" max="2329" width="12.5546875" style="3957" bestFit="1" customWidth="1"/>
    <col min="2330" max="2330" width="14" style="3957" bestFit="1" customWidth="1"/>
    <col min="2331" max="2331" width="6" style="3957" bestFit="1" customWidth="1"/>
    <col min="2332" max="2332" width="15" style="3957" customWidth="1"/>
    <col min="2333" max="2333" width="14.88671875" style="3957" bestFit="1" customWidth="1"/>
    <col min="2334" max="2334" width="16.109375" style="3957" bestFit="1" customWidth="1"/>
    <col min="2335" max="2561" width="9.109375" style="3957"/>
    <col min="2562" max="2562" width="24" style="3957" bestFit="1" customWidth="1"/>
    <col min="2563" max="2563" width="43.88671875" style="3957" customWidth="1"/>
    <col min="2564" max="2564" width="19.6640625" style="3957" bestFit="1" customWidth="1"/>
    <col min="2565" max="2565" width="12.44140625" style="3957" bestFit="1" customWidth="1"/>
    <col min="2566" max="2566" width="16.33203125" style="3957" bestFit="1" customWidth="1"/>
    <col min="2567" max="2567" width="13.44140625" style="3957" customWidth="1"/>
    <col min="2568" max="2568" width="15.33203125" style="3957" bestFit="1" customWidth="1"/>
    <col min="2569" max="2569" width="14.109375" style="3957" bestFit="1" customWidth="1"/>
    <col min="2570" max="2570" width="15.33203125" style="3957" customWidth="1"/>
    <col min="2571" max="2571" width="17.6640625" style="3957" customWidth="1"/>
    <col min="2572" max="2572" width="17" style="3957" bestFit="1" customWidth="1"/>
    <col min="2573" max="2573" width="12.6640625" style="3957" customWidth="1"/>
    <col min="2574" max="2574" width="13.6640625" style="3957" customWidth="1"/>
    <col min="2575" max="2575" width="13.88671875" style="3957" bestFit="1" customWidth="1"/>
    <col min="2576" max="2576" width="19.6640625" style="3957" bestFit="1" customWidth="1"/>
    <col min="2577" max="2577" width="16.109375" style="3957" customWidth="1"/>
    <col min="2578" max="2578" width="16.6640625" style="3957" bestFit="1" customWidth="1"/>
    <col min="2579" max="2579" width="15.5546875" style="3957" bestFit="1" customWidth="1"/>
    <col min="2580" max="2580" width="20.5546875" style="3957" bestFit="1" customWidth="1"/>
    <col min="2581" max="2581" width="16.44140625" style="3957" bestFit="1" customWidth="1"/>
    <col min="2582" max="2582" width="14.33203125" style="3957" customWidth="1"/>
    <col min="2583" max="2583" width="12.88671875" style="3957" bestFit="1" customWidth="1"/>
    <col min="2584" max="2584" width="11.33203125" style="3957" bestFit="1" customWidth="1"/>
    <col min="2585" max="2585" width="12.5546875" style="3957" bestFit="1" customWidth="1"/>
    <col min="2586" max="2586" width="14" style="3957" bestFit="1" customWidth="1"/>
    <col min="2587" max="2587" width="6" style="3957" bestFit="1" customWidth="1"/>
    <col min="2588" max="2588" width="15" style="3957" customWidth="1"/>
    <col min="2589" max="2589" width="14.88671875" style="3957" bestFit="1" customWidth="1"/>
    <col min="2590" max="2590" width="16.109375" style="3957" bestFit="1" customWidth="1"/>
    <col min="2591" max="2817" width="9.109375" style="3957"/>
    <col min="2818" max="2818" width="24" style="3957" bestFit="1" customWidth="1"/>
    <col min="2819" max="2819" width="43.88671875" style="3957" customWidth="1"/>
    <col min="2820" max="2820" width="19.6640625" style="3957" bestFit="1" customWidth="1"/>
    <col min="2821" max="2821" width="12.44140625" style="3957" bestFit="1" customWidth="1"/>
    <col min="2822" max="2822" width="16.33203125" style="3957" bestFit="1" customWidth="1"/>
    <col min="2823" max="2823" width="13.44140625" style="3957" customWidth="1"/>
    <col min="2824" max="2824" width="15.33203125" style="3957" bestFit="1" customWidth="1"/>
    <col min="2825" max="2825" width="14.109375" style="3957" bestFit="1" customWidth="1"/>
    <col min="2826" max="2826" width="15.33203125" style="3957" customWidth="1"/>
    <col min="2827" max="2827" width="17.6640625" style="3957" customWidth="1"/>
    <col min="2828" max="2828" width="17" style="3957" bestFit="1" customWidth="1"/>
    <col min="2829" max="2829" width="12.6640625" style="3957" customWidth="1"/>
    <col min="2830" max="2830" width="13.6640625" style="3957" customWidth="1"/>
    <col min="2831" max="2831" width="13.88671875" style="3957" bestFit="1" customWidth="1"/>
    <col min="2832" max="2832" width="19.6640625" style="3957" bestFit="1" customWidth="1"/>
    <col min="2833" max="2833" width="16.109375" style="3957" customWidth="1"/>
    <col min="2834" max="2834" width="16.6640625" style="3957" bestFit="1" customWidth="1"/>
    <col min="2835" max="2835" width="15.5546875" style="3957" bestFit="1" customWidth="1"/>
    <col min="2836" max="2836" width="20.5546875" style="3957" bestFit="1" customWidth="1"/>
    <col min="2837" max="2837" width="16.44140625" style="3957" bestFit="1" customWidth="1"/>
    <col min="2838" max="2838" width="14.33203125" style="3957" customWidth="1"/>
    <col min="2839" max="2839" width="12.88671875" style="3957" bestFit="1" customWidth="1"/>
    <col min="2840" max="2840" width="11.33203125" style="3957" bestFit="1" customWidth="1"/>
    <col min="2841" max="2841" width="12.5546875" style="3957" bestFit="1" customWidth="1"/>
    <col min="2842" max="2842" width="14" style="3957" bestFit="1" customWidth="1"/>
    <col min="2843" max="2843" width="6" style="3957" bestFit="1" customWidth="1"/>
    <col min="2844" max="2844" width="15" style="3957" customWidth="1"/>
    <col min="2845" max="2845" width="14.88671875" style="3957" bestFit="1" customWidth="1"/>
    <col min="2846" max="2846" width="16.109375" style="3957" bestFit="1" customWidth="1"/>
    <col min="2847" max="3073" width="9.109375" style="3957"/>
    <col min="3074" max="3074" width="24" style="3957" bestFit="1" customWidth="1"/>
    <col min="3075" max="3075" width="43.88671875" style="3957" customWidth="1"/>
    <col min="3076" max="3076" width="19.6640625" style="3957" bestFit="1" customWidth="1"/>
    <col min="3077" max="3077" width="12.44140625" style="3957" bestFit="1" customWidth="1"/>
    <col min="3078" max="3078" width="16.33203125" style="3957" bestFit="1" customWidth="1"/>
    <col min="3079" max="3079" width="13.44140625" style="3957" customWidth="1"/>
    <col min="3080" max="3080" width="15.33203125" style="3957" bestFit="1" customWidth="1"/>
    <col min="3081" max="3081" width="14.109375" style="3957" bestFit="1" customWidth="1"/>
    <col min="3082" max="3082" width="15.33203125" style="3957" customWidth="1"/>
    <col min="3083" max="3083" width="17.6640625" style="3957" customWidth="1"/>
    <col min="3084" max="3084" width="17" style="3957" bestFit="1" customWidth="1"/>
    <col min="3085" max="3085" width="12.6640625" style="3957" customWidth="1"/>
    <col min="3086" max="3086" width="13.6640625" style="3957" customWidth="1"/>
    <col min="3087" max="3087" width="13.88671875" style="3957" bestFit="1" customWidth="1"/>
    <col min="3088" max="3088" width="19.6640625" style="3957" bestFit="1" customWidth="1"/>
    <col min="3089" max="3089" width="16.109375" style="3957" customWidth="1"/>
    <col min="3090" max="3090" width="16.6640625" style="3957" bestFit="1" customWidth="1"/>
    <col min="3091" max="3091" width="15.5546875" style="3957" bestFit="1" customWidth="1"/>
    <col min="3092" max="3092" width="20.5546875" style="3957" bestFit="1" customWidth="1"/>
    <col min="3093" max="3093" width="16.44140625" style="3957" bestFit="1" customWidth="1"/>
    <col min="3094" max="3094" width="14.33203125" style="3957" customWidth="1"/>
    <col min="3095" max="3095" width="12.88671875" style="3957" bestFit="1" customWidth="1"/>
    <col min="3096" max="3096" width="11.33203125" style="3957" bestFit="1" customWidth="1"/>
    <col min="3097" max="3097" width="12.5546875" style="3957" bestFit="1" customWidth="1"/>
    <col min="3098" max="3098" width="14" style="3957" bestFit="1" customWidth="1"/>
    <col min="3099" max="3099" width="6" style="3957" bestFit="1" customWidth="1"/>
    <col min="3100" max="3100" width="15" style="3957" customWidth="1"/>
    <col min="3101" max="3101" width="14.88671875" style="3957" bestFit="1" customWidth="1"/>
    <col min="3102" max="3102" width="16.109375" style="3957" bestFit="1" customWidth="1"/>
    <col min="3103" max="3329" width="9.109375" style="3957"/>
    <col min="3330" max="3330" width="24" style="3957" bestFit="1" customWidth="1"/>
    <col min="3331" max="3331" width="43.88671875" style="3957" customWidth="1"/>
    <col min="3332" max="3332" width="19.6640625" style="3957" bestFit="1" customWidth="1"/>
    <col min="3333" max="3333" width="12.44140625" style="3957" bestFit="1" customWidth="1"/>
    <col min="3334" max="3334" width="16.33203125" style="3957" bestFit="1" customWidth="1"/>
    <col min="3335" max="3335" width="13.44140625" style="3957" customWidth="1"/>
    <col min="3336" max="3336" width="15.33203125" style="3957" bestFit="1" customWidth="1"/>
    <col min="3337" max="3337" width="14.109375" style="3957" bestFit="1" customWidth="1"/>
    <col min="3338" max="3338" width="15.33203125" style="3957" customWidth="1"/>
    <col min="3339" max="3339" width="17.6640625" style="3957" customWidth="1"/>
    <col min="3340" max="3340" width="17" style="3957" bestFit="1" customWidth="1"/>
    <col min="3341" max="3341" width="12.6640625" style="3957" customWidth="1"/>
    <col min="3342" max="3342" width="13.6640625" style="3957" customWidth="1"/>
    <col min="3343" max="3343" width="13.88671875" style="3957" bestFit="1" customWidth="1"/>
    <col min="3344" max="3344" width="19.6640625" style="3957" bestFit="1" customWidth="1"/>
    <col min="3345" max="3345" width="16.109375" style="3957" customWidth="1"/>
    <col min="3346" max="3346" width="16.6640625" style="3957" bestFit="1" customWidth="1"/>
    <col min="3347" max="3347" width="15.5546875" style="3957" bestFit="1" customWidth="1"/>
    <col min="3348" max="3348" width="20.5546875" style="3957" bestFit="1" customWidth="1"/>
    <col min="3349" max="3349" width="16.44140625" style="3957" bestFit="1" customWidth="1"/>
    <col min="3350" max="3350" width="14.33203125" style="3957" customWidth="1"/>
    <col min="3351" max="3351" width="12.88671875" style="3957" bestFit="1" customWidth="1"/>
    <col min="3352" max="3352" width="11.33203125" style="3957" bestFit="1" customWidth="1"/>
    <col min="3353" max="3353" width="12.5546875" style="3957" bestFit="1" customWidth="1"/>
    <col min="3354" max="3354" width="14" style="3957" bestFit="1" customWidth="1"/>
    <col min="3355" max="3355" width="6" style="3957" bestFit="1" customWidth="1"/>
    <col min="3356" max="3356" width="15" style="3957" customWidth="1"/>
    <col min="3357" max="3357" width="14.88671875" style="3957" bestFit="1" customWidth="1"/>
    <col min="3358" max="3358" width="16.109375" style="3957" bestFit="1" customWidth="1"/>
    <col min="3359" max="3585" width="9.109375" style="3957"/>
    <col min="3586" max="3586" width="24" style="3957" bestFit="1" customWidth="1"/>
    <col min="3587" max="3587" width="43.88671875" style="3957" customWidth="1"/>
    <col min="3588" max="3588" width="19.6640625" style="3957" bestFit="1" customWidth="1"/>
    <col min="3589" max="3589" width="12.44140625" style="3957" bestFit="1" customWidth="1"/>
    <col min="3590" max="3590" width="16.33203125" style="3957" bestFit="1" customWidth="1"/>
    <col min="3591" max="3591" width="13.44140625" style="3957" customWidth="1"/>
    <col min="3592" max="3592" width="15.33203125" style="3957" bestFit="1" customWidth="1"/>
    <col min="3593" max="3593" width="14.109375" style="3957" bestFit="1" customWidth="1"/>
    <col min="3594" max="3594" width="15.33203125" style="3957" customWidth="1"/>
    <col min="3595" max="3595" width="17.6640625" style="3957" customWidth="1"/>
    <col min="3596" max="3596" width="17" style="3957" bestFit="1" customWidth="1"/>
    <col min="3597" max="3597" width="12.6640625" style="3957" customWidth="1"/>
    <col min="3598" max="3598" width="13.6640625" style="3957" customWidth="1"/>
    <col min="3599" max="3599" width="13.88671875" style="3957" bestFit="1" customWidth="1"/>
    <col min="3600" max="3600" width="19.6640625" style="3957" bestFit="1" customWidth="1"/>
    <col min="3601" max="3601" width="16.109375" style="3957" customWidth="1"/>
    <col min="3602" max="3602" width="16.6640625" style="3957" bestFit="1" customWidth="1"/>
    <col min="3603" max="3603" width="15.5546875" style="3957" bestFit="1" customWidth="1"/>
    <col min="3604" max="3604" width="20.5546875" style="3957" bestFit="1" customWidth="1"/>
    <col min="3605" max="3605" width="16.44140625" style="3957" bestFit="1" customWidth="1"/>
    <col min="3606" max="3606" width="14.33203125" style="3957" customWidth="1"/>
    <col min="3607" max="3607" width="12.88671875" style="3957" bestFit="1" customWidth="1"/>
    <col min="3608" max="3608" width="11.33203125" style="3957" bestFit="1" customWidth="1"/>
    <col min="3609" max="3609" width="12.5546875" style="3957" bestFit="1" customWidth="1"/>
    <col min="3610" max="3610" width="14" style="3957" bestFit="1" customWidth="1"/>
    <col min="3611" max="3611" width="6" style="3957" bestFit="1" customWidth="1"/>
    <col min="3612" max="3612" width="15" style="3957" customWidth="1"/>
    <col min="3613" max="3613" width="14.88671875" style="3957" bestFit="1" customWidth="1"/>
    <col min="3614" max="3614" width="16.109375" style="3957" bestFit="1" customWidth="1"/>
    <col min="3615" max="3841" width="9.109375" style="3957"/>
    <col min="3842" max="3842" width="24" style="3957" bestFit="1" customWidth="1"/>
    <col min="3843" max="3843" width="43.88671875" style="3957" customWidth="1"/>
    <col min="3844" max="3844" width="19.6640625" style="3957" bestFit="1" customWidth="1"/>
    <col min="3845" max="3845" width="12.44140625" style="3957" bestFit="1" customWidth="1"/>
    <col min="3846" max="3846" width="16.33203125" style="3957" bestFit="1" customWidth="1"/>
    <col min="3847" max="3847" width="13.44140625" style="3957" customWidth="1"/>
    <col min="3848" max="3848" width="15.33203125" style="3957" bestFit="1" customWidth="1"/>
    <col min="3849" max="3849" width="14.109375" style="3957" bestFit="1" customWidth="1"/>
    <col min="3850" max="3850" width="15.33203125" style="3957" customWidth="1"/>
    <col min="3851" max="3851" width="17.6640625" style="3957" customWidth="1"/>
    <col min="3852" max="3852" width="17" style="3957" bestFit="1" customWidth="1"/>
    <col min="3853" max="3853" width="12.6640625" style="3957" customWidth="1"/>
    <col min="3854" max="3854" width="13.6640625" style="3957" customWidth="1"/>
    <col min="3855" max="3855" width="13.88671875" style="3957" bestFit="1" customWidth="1"/>
    <col min="3856" max="3856" width="19.6640625" style="3957" bestFit="1" customWidth="1"/>
    <col min="3857" max="3857" width="16.109375" style="3957" customWidth="1"/>
    <col min="3858" max="3858" width="16.6640625" style="3957" bestFit="1" customWidth="1"/>
    <col min="3859" max="3859" width="15.5546875" style="3957" bestFit="1" customWidth="1"/>
    <col min="3860" max="3860" width="20.5546875" style="3957" bestFit="1" customWidth="1"/>
    <col min="3861" max="3861" width="16.44140625" style="3957" bestFit="1" customWidth="1"/>
    <col min="3862" max="3862" width="14.33203125" style="3957" customWidth="1"/>
    <col min="3863" max="3863" width="12.88671875" style="3957" bestFit="1" customWidth="1"/>
    <col min="3864" max="3864" width="11.33203125" style="3957" bestFit="1" customWidth="1"/>
    <col min="3865" max="3865" width="12.5546875" style="3957" bestFit="1" customWidth="1"/>
    <col min="3866" max="3866" width="14" style="3957" bestFit="1" customWidth="1"/>
    <col min="3867" max="3867" width="6" style="3957" bestFit="1" customWidth="1"/>
    <col min="3868" max="3868" width="15" style="3957" customWidth="1"/>
    <col min="3869" max="3869" width="14.88671875" style="3957" bestFit="1" customWidth="1"/>
    <col min="3870" max="3870" width="16.109375" style="3957" bestFit="1" customWidth="1"/>
    <col min="3871" max="4097" width="9.109375" style="3957"/>
    <col min="4098" max="4098" width="24" style="3957" bestFit="1" customWidth="1"/>
    <col min="4099" max="4099" width="43.88671875" style="3957" customWidth="1"/>
    <col min="4100" max="4100" width="19.6640625" style="3957" bestFit="1" customWidth="1"/>
    <col min="4101" max="4101" width="12.44140625" style="3957" bestFit="1" customWidth="1"/>
    <col min="4102" max="4102" width="16.33203125" style="3957" bestFit="1" customWidth="1"/>
    <col min="4103" max="4103" width="13.44140625" style="3957" customWidth="1"/>
    <col min="4104" max="4104" width="15.33203125" style="3957" bestFit="1" customWidth="1"/>
    <col min="4105" max="4105" width="14.109375" style="3957" bestFit="1" customWidth="1"/>
    <col min="4106" max="4106" width="15.33203125" style="3957" customWidth="1"/>
    <col min="4107" max="4107" width="17.6640625" style="3957" customWidth="1"/>
    <col min="4108" max="4108" width="17" style="3957" bestFit="1" customWidth="1"/>
    <col min="4109" max="4109" width="12.6640625" style="3957" customWidth="1"/>
    <col min="4110" max="4110" width="13.6640625" style="3957" customWidth="1"/>
    <col min="4111" max="4111" width="13.88671875" style="3957" bestFit="1" customWidth="1"/>
    <col min="4112" max="4112" width="19.6640625" style="3957" bestFit="1" customWidth="1"/>
    <col min="4113" max="4113" width="16.109375" style="3957" customWidth="1"/>
    <col min="4114" max="4114" width="16.6640625" style="3957" bestFit="1" customWidth="1"/>
    <col min="4115" max="4115" width="15.5546875" style="3957" bestFit="1" customWidth="1"/>
    <col min="4116" max="4116" width="20.5546875" style="3957" bestFit="1" customWidth="1"/>
    <col min="4117" max="4117" width="16.44140625" style="3957" bestFit="1" customWidth="1"/>
    <col min="4118" max="4118" width="14.33203125" style="3957" customWidth="1"/>
    <col min="4119" max="4119" width="12.88671875" style="3957" bestFit="1" customWidth="1"/>
    <col min="4120" max="4120" width="11.33203125" style="3957" bestFit="1" customWidth="1"/>
    <col min="4121" max="4121" width="12.5546875" style="3957" bestFit="1" customWidth="1"/>
    <col min="4122" max="4122" width="14" style="3957" bestFit="1" customWidth="1"/>
    <col min="4123" max="4123" width="6" style="3957" bestFit="1" customWidth="1"/>
    <col min="4124" max="4124" width="15" style="3957" customWidth="1"/>
    <col min="4125" max="4125" width="14.88671875" style="3957" bestFit="1" customWidth="1"/>
    <col min="4126" max="4126" width="16.109375" style="3957" bestFit="1" customWidth="1"/>
    <col min="4127" max="4353" width="9.109375" style="3957"/>
    <col min="4354" max="4354" width="24" style="3957" bestFit="1" customWidth="1"/>
    <col min="4355" max="4355" width="43.88671875" style="3957" customWidth="1"/>
    <col min="4356" max="4356" width="19.6640625" style="3957" bestFit="1" customWidth="1"/>
    <col min="4357" max="4357" width="12.44140625" style="3957" bestFit="1" customWidth="1"/>
    <col min="4358" max="4358" width="16.33203125" style="3957" bestFit="1" customWidth="1"/>
    <col min="4359" max="4359" width="13.44140625" style="3957" customWidth="1"/>
    <col min="4360" max="4360" width="15.33203125" style="3957" bestFit="1" customWidth="1"/>
    <col min="4361" max="4361" width="14.109375" style="3957" bestFit="1" customWidth="1"/>
    <col min="4362" max="4362" width="15.33203125" style="3957" customWidth="1"/>
    <col min="4363" max="4363" width="17.6640625" style="3957" customWidth="1"/>
    <col min="4364" max="4364" width="17" style="3957" bestFit="1" customWidth="1"/>
    <col min="4365" max="4365" width="12.6640625" style="3957" customWidth="1"/>
    <col min="4366" max="4366" width="13.6640625" style="3957" customWidth="1"/>
    <col min="4367" max="4367" width="13.88671875" style="3957" bestFit="1" customWidth="1"/>
    <col min="4368" max="4368" width="19.6640625" style="3957" bestFit="1" customWidth="1"/>
    <col min="4369" max="4369" width="16.109375" style="3957" customWidth="1"/>
    <col min="4370" max="4370" width="16.6640625" style="3957" bestFit="1" customWidth="1"/>
    <col min="4371" max="4371" width="15.5546875" style="3957" bestFit="1" customWidth="1"/>
    <col min="4372" max="4372" width="20.5546875" style="3957" bestFit="1" customWidth="1"/>
    <col min="4373" max="4373" width="16.44140625" style="3957" bestFit="1" customWidth="1"/>
    <col min="4374" max="4374" width="14.33203125" style="3957" customWidth="1"/>
    <col min="4375" max="4375" width="12.88671875" style="3957" bestFit="1" customWidth="1"/>
    <col min="4376" max="4376" width="11.33203125" style="3957" bestFit="1" customWidth="1"/>
    <col min="4377" max="4377" width="12.5546875" style="3957" bestFit="1" customWidth="1"/>
    <col min="4378" max="4378" width="14" style="3957" bestFit="1" customWidth="1"/>
    <col min="4379" max="4379" width="6" style="3957" bestFit="1" customWidth="1"/>
    <col min="4380" max="4380" width="15" style="3957" customWidth="1"/>
    <col min="4381" max="4381" width="14.88671875" style="3957" bestFit="1" customWidth="1"/>
    <col min="4382" max="4382" width="16.109375" style="3957" bestFit="1" customWidth="1"/>
    <col min="4383" max="4609" width="9.109375" style="3957"/>
    <col min="4610" max="4610" width="24" style="3957" bestFit="1" customWidth="1"/>
    <col min="4611" max="4611" width="43.88671875" style="3957" customWidth="1"/>
    <col min="4612" max="4612" width="19.6640625" style="3957" bestFit="1" customWidth="1"/>
    <col min="4613" max="4613" width="12.44140625" style="3957" bestFit="1" customWidth="1"/>
    <col min="4614" max="4614" width="16.33203125" style="3957" bestFit="1" customWidth="1"/>
    <col min="4615" max="4615" width="13.44140625" style="3957" customWidth="1"/>
    <col min="4616" max="4616" width="15.33203125" style="3957" bestFit="1" customWidth="1"/>
    <col min="4617" max="4617" width="14.109375" style="3957" bestFit="1" customWidth="1"/>
    <col min="4618" max="4618" width="15.33203125" style="3957" customWidth="1"/>
    <col min="4619" max="4619" width="17.6640625" style="3957" customWidth="1"/>
    <col min="4620" max="4620" width="17" style="3957" bestFit="1" customWidth="1"/>
    <col min="4621" max="4621" width="12.6640625" style="3957" customWidth="1"/>
    <col min="4622" max="4622" width="13.6640625" style="3957" customWidth="1"/>
    <col min="4623" max="4623" width="13.88671875" style="3957" bestFit="1" customWidth="1"/>
    <col min="4624" max="4624" width="19.6640625" style="3957" bestFit="1" customWidth="1"/>
    <col min="4625" max="4625" width="16.109375" style="3957" customWidth="1"/>
    <col min="4626" max="4626" width="16.6640625" style="3957" bestFit="1" customWidth="1"/>
    <col min="4627" max="4627" width="15.5546875" style="3957" bestFit="1" customWidth="1"/>
    <col min="4628" max="4628" width="20.5546875" style="3957" bestFit="1" customWidth="1"/>
    <col min="4629" max="4629" width="16.44140625" style="3957" bestFit="1" customWidth="1"/>
    <col min="4630" max="4630" width="14.33203125" style="3957" customWidth="1"/>
    <col min="4631" max="4631" width="12.88671875" style="3957" bestFit="1" customWidth="1"/>
    <col min="4632" max="4632" width="11.33203125" style="3957" bestFit="1" customWidth="1"/>
    <col min="4633" max="4633" width="12.5546875" style="3957" bestFit="1" customWidth="1"/>
    <col min="4634" max="4634" width="14" style="3957" bestFit="1" customWidth="1"/>
    <col min="4635" max="4635" width="6" style="3957" bestFit="1" customWidth="1"/>
    <col min="4636" max="4636" width="15" style="3957" customWidth="1"/>
    <col min="4637" max="4637" width="14.88671875" style="3957" bestFit="1" customWidth="1"/>
    <col min="4638" max="4638" width="16.109375" style="3957" bestFit="1" customWidth="1"/>
    <col min="4639" max="4865" width="9.109375" style="3957"/>
    <col min="4866" max="4866" width="24" style="3957" bestFit="1" customWidth="1"/>
    <col min="4867" max="4867" width="43.88671875" style="3957" customWidth="1"/>
    <col min="4868" max="4868" width="19.6640625" style="3957" bestFit="1" customWidth="1"/>
    <col min="4869" max="4869" width="12.44140625" style="3957" bestFit="1" customWidth="1"/>
    <col min="4870" max="4870" width="16.33203125" style="3957" bestFit="1" customWidth="1"/>
    <col min="4871" max="4871" width="13.44140625" style="3957" customWidth="1"/>
    <col min="4872" max="4872" width="15.33203125" style="3957" bestFit="1" customWidth="1"/>
    <col min="4873" max="4873" width="14.109375" style="3957" bestFit="1" customWidth="1"/>
    <col min="4874" max="4874" width="15.33203125" style="3957" customWidth="1"/>
    <col min="4875" max="4875" width="17.6640625" style="3957" customWidth="1"/>
    <col min="4876" max="4876" width="17" style="3957" bestFit="1" customWidth="1"/>
    <col min="4877" max="4877" width="12.6640625" style="3957" customWidth="1"/>
    <col min="4878" max="4878" width="13.6640625" style="3957" customWidth="1"/>
    <col min="4879" max="4879" width="13.88671875" style="3957" bestFit="1" customWidth="1"/>
    <col min="4880" max="4880" width="19.6640625" style="3957" bestFit="1" customWidth="1"/>
    <col min="4881" max="4881" width="16.109375" style="3957" customWidth="1"/>
    <col min="4882" max="4882" width="16.6640625" style="3957" bestFit="1" customWidth="1"/>
    <col min="4883" max="4883" width="15.5546875" style="3957" bestFit="1" customWidth="1"/>
    <col min="4884" max="4884" width="20.5546875" style="3957" bestFit="1" customWidth="1"/>
    <col min="4885" max="4885" width="16.44140625" style="3957" bestFit="1" customWidth="1"/>
    <col min="4886" max="4886" width="14.33203125" style="3957" customWidth="1"/>
    <col min="4887" max="4887" width="12.88671875" style="3957" bestFit="1" customWidth="1"/>
    <col min="4888" max="4888" width="11.33203125" style="3957" bestFit="1" customWidth="1"/>
    <col min="4889" max="4889" width="12.5546875" style="3957" bestFit="1" customWidth="1"/>
    <col min="4890" max="4890" width="14" style="3957" bestFit="1" customWidth="1"/>
    <col min="4891" max="4891" width="6" style="3957" bestFit="1" customWidth="1"/>
    <col min="4892" max="4892" width="15" style="3957" customWidth="1"/>
    <col min="4893" max="4893" width="14.88671875" style="3957" bestFit="1" customWidth="1"/>
    <col min="4894" max="4894" width="16.109375" style="3957" bestFit="1" customWidth="1"/>
    <col min="4895" max="5121" width="9.109375" style="3957"/>
    <col min="5122" max="5122" width="24" style="3957" bestFit="1" customWidth="1"/>
    <col min="5123" max="5123" width="43.88671875" style="3957" customWidth="1"/>
    <col min="5124" max="5124" width="19.6640625" style="3957" bestFit="1" customWidth="1"/>
    <col min="5125" max="5125" width="12.44140625" style="3957" bestFit="1" customWidth="1"/>
    <col min="5126" max="5126" width="16.33203125" style="3957" bestFit="1" customWidth="1"/>
    <col min="5127" max="5127" width="13.44140625" style="3957" customWidth="1"/>
    <col min="5128" max="5128" width="15.33203125" style="3957" bestFit="1" customWidth="1"/>
    <col min="5129" max="5129" width="14.109375" style="3957" bestFit="1" customWidth="1"/>
    <col min="5130" max="5130" width="15.33203125" style="3957" customWidth="1"/>
    <col min="5131" max="5131" width="17.6640625" style="3957" customWidth="1"/>
    <col min="5132" max="5132" width="17" style="3957" bestFit="1" customWidth="1"/>
    <col min="5133" max="5133" width="12.6640625" style="3957" customWidth="1"/>
    <col min="5134" max="5134" width="13.6640625" style="3957" customWidth="1"/>
    <col min="5135" max="5135" width="13.88671875" style="3957" bestFit="1" customWidth="1"/>
    <col min="5136" max="5136" width="19.6640625" style="3957" bestFit="1" customWidth="1"/>
    <col min="5137" max="5137" width="16.109375" style="3957" customWidth="1"/>
    <col min="5138" max="5138" width="16.6640625" style="3957" bestFit="1" customWidth="1"/>
    <col min="5139" max="5139" width="15.5546875" style="3957" bestFit="1" customWidth="1"/>
    <col min="5140" max="5140" width="20.5546875" style="3957" bestFit="1" customWidth="1"/>
    <col min="5141" max="5141" width="16.44140625" style="3957" bestFit="1" customWidth="1"/>
    <col min="5142" max="5142" width="14.33203125" style="3957" customWidth="1"/>
    <col min="5143" max="5143" width="12.88671875" style="3957" bestFit="1" customWidth="1"/>
    <col min="5144" max="5144" width="11.33203125" style="3957" bestFit="1" customWidth="1"/>
    <col min="5145" max="5145" width="12.5546875" style="3957" bestFit="1" customWidth="1"/>
    <col min="5146" max="5146" width="14" style="3957" bestFit="1" customWidth="1"/>
    <col min="5147" max="5147" width="6" style="3957" bestFit="1" customWidth="1"/>
    <col min="5148" max="5148" width="15" style="3957" customWidth="1"/>
    <col min="5149" max="5149" width="14.88671875" style="3957" bestFit="1" customWidth="1"/>
    <col min="5150" max="5150" width="16.109375" style="3957" bestFit="1" customWidth="1"/>
    <col min="5151" max="5377" width="9.109375" style="3957"/>
    <col min="5378" max="5378" width="24" style="3957" bestFit="1" customWidth="1"/>
    <col min="5379" max="5379" width="43.88671875" style="3957" customWidth="1"/>
    <col min="5380" max="5380" width="19.6640625" style="3957" bestFit="1" customWidth="1"/>
    <col min="5381" max="5381" width="12.44140625" style="3957" bestFit="1" customWidth="1"/>
    <col min="5382" max="5382" width="16.33203125" style="3957" bestFit="1" customWidth="1"/>
    <col min="5383" max="5383" width="13.44140625" style="3957" customWidth="1"/>
    <col min="5384" max="5384" width="15.33203125" style="3957" bestFit="1" customWidth="1"/>
    <col min="5385" max="5385" width="14.109375" style="3957" bestFit="1" customWidth="1"/>
    <col min="5386" max="5386" width="15.33203125" style="3957" customWidth="1"/>
    <col min="5387" max="5387" width="17.6640625" style="3957" customWidth="1"/>
    <col min="5388" max="5388" width="17" style="3957" bestFit="1" customWidth="1"/>
    <col min="5389" max="5389" width="12.6640625" style="3957" customWidth="1"/>
    <col min="5390" max="5390" width="13.6640625" style="3957" customWidth="1"/>
    <col min="5391" max="5391" width="13.88671875" style="3957" bestFit="1" customWidth="1"/>
    <col min="5392" max="5392" width="19.6640625" style="3957" bestFit="1" customWidth="1"/>
    <col min="5393" max="5393" width="16.109375" style="3957" customWidth="1"/>
    <col min="5394" max="5394" width="16.6640625" style="3957" bestFit="1" customWidth="1"/>
    <col min="5395" max="5395" width="15.5546875" style="3957" bestFit="1" customWidth="1"/>
    <col min="5396" max="5396" width="20.5546875" style="3957" bestFit="1" customWidth="1"/>
    <col min="5397" max="5397" width="16.44140625" style="3957" bestFit="1" customWidth="1"/>
    <col min="5398" max="5398" width="14.33203125" style="3957" customWidth="1"/>
    <col min="5399" max="5399" width="12.88671875" style="3957" bestFit="1" customWidth="1"/>
    <col min="5400" max="5400" width="11.33203125" style="3957" bestFit="1" customWidth="1"/>
    <col min="5401" max="5401" width="12.5546875" style="3957" bestFit="1" customWidth="1"/>
    <col min="5402" max="5402" width="14" style="3957" bestFit="1" customWidth="1"/>
    <col min="5403" max="5403" width="6" style="3957" bestFit="1" customWidth="1"/>
    <col min="5404" max="5404" width="15" style="3957" customWidth="1"/>
    <col min="5405" max="5405" width="14.88671875" style="3957" bestFit="1" customWidth="1"/>
    <col min="5406" max="5406" width="16.109375" style="3957" bestFit="1" customWidth="1"/>
    <col min="5407" max="5633" width="9.109375" style="3957"/>
    <col min="5634" max="5634" width="24" style="3957" bestFit="1" customWidth="1"/>
    <col min="5635" max="5635" width="43.88671875" style="3957" customWidth="1"/>
    <col min="5636" max="5636" width="19.6640625" style="3957" bestFit="1" customWidth="1"/>
    <col min="5637" max="5637" width="12.44140625" style="3957" bestFit="1" customWidth="1"/>
    <col min="5638" max="5638" width="16.33203125" style="3957" bestFit="1" customWidth="1"/>
    <col min="5639" max="5639" width="13.44140625" style="3957" customWidth="1"/>
    <col min="5640" max="5640" width="15.33203125" style="3957" bestFit="1" customWidth="1"/>
    <col min="5641" max="5641" width="14.109375" style="3957" bestFit="1" customWidth="1"/>
    <col min="5642" max="5642" width="15.33203125" style="3957" customWidth="1"/>
    <col min="5643" max="5643" width="17.6640625" style="3957" customWidth="1"/>
    <col min="5644" max="5644" width="17" style="3957" bestFit="1" customWidth="1"/>
    <col min="5645" max="5645" width="12.6640625" style="3957" customWidth="1"/>
    <col min="5646" max="5646" width="13.6640625" style="3957" customWidth="1"/>
    <col min="5647" max="5647" width="13.88671875" style="3957" bestFit="1" customWidth="1"/>
    <col min="5648" max="5648" width="19.6640625" style="3957" bestFit="1" customWidth="1"/>
    <col min="5649" max="5649" width="16.109375" style="3957" customWidth="1"/>
    <col min="5650" max="5650" width="16.6640625" style="3957" bestFit="1" customWidth="1"/>
    <col min="5651" max="5651" width="15.5546875" style="3957" bestFit="1" customWidth="1"/>
    <col min="5652" max="5652" width="20.5546875" style="3957" bestFit="1" customWidth="1"/>
    <col min="5653" max="5653" width="16.44140625" style="3957" bestFit="1" customWidth="1"/>
    <col min="5654" max="5654" width="14.33203125" style="3957" customWidth="1"/>
    <col min="5655" max="5655" width="12.88671875" style="3957" bestFit="1" customWidth="1"/>
    <col min="5656" max="5656" width="11.33203125" style="3957" bestFit="1" customWidth="1"/>
    <col min="5657" max="5657" width="12.5546875" style="3957" bestFit="1" customWidth="1"/>
    <col min="5658" max="5658" width="14" style="3957" bestFit="1" customWidth="1"/>
    <col min="5659" max="5659" width="6" style="3957" bestFit="1" customWidth="1"/>
    <col min="5660" max="5660" width="15" style="3957" customWidth="1"/>
    <col min="5661" max="5661" width="14.88671875" style="3957" bestFit="1" customWidth="1"/>
    <col min="5662" max="5662" width="16.109375" style="3957" bestFit="1" customWidth="1"/>
    <col min="5663" max="5889" width="9.109375" style="3957"/>
    <col min="5890" max="5890" width="24" style="3957" bestFit="1" customWidth="1"/>
    <col min="5891" max="5891" width="43.88671875" style="3957" customWidth="1"/>
    <col min="5892" max="5892" width="19.6640625" style="3957" bestFit="1" customWidth="1"/>
    <col min="5893" max="5893" width="12.44140625" style="3957" bestFit="1" customWidth="1"/>
    <col min="5894" max="5894" width="16.33203125" style="3957" bestFit="1" customWidth="1"/>
    <col min="5895" max="5895" width="13.44140625" style="3957" customWidth="1"/>
    <col min="5896" max="5896" width="15.33203125" style="3957" bestFit="1" customWidth="1"/>
    <col min="5897" max="5897" width="14.109375" style="3957" bestFit="1" customWidth="1"/>
    <col min="5898" max="5898" width="15.33203125" style="3957" customWidth="1"/>
    <col min="5899" max="5899" width="17.6640625" style="3957" customWidth="1"/>
    <col min="5900" max="5900" width="17" style="3957" bestFit="1" customWidth="1"/>
    <col min="5901" max="5901" width="12.6640625" style="3957" customWidth="1"/>
    <col min="5902" max="5902" width="13.6640625" style="3957" customWidth="1"/>
    <col min="5903" max="5903" width="13.88671875" style="3957" bestFit="1" customWidth="1"/>
    <col min="5904" max="5904" width="19.6640625" style="3957" bestFit="1" customWidth="1"/>
    <col min="5905" max="5905" width="16.109375" style="3957" customWidth="1"/>
    <col min="5906" max="5906" width="16.6640625" style="3957" bestFit="1" customWidth="1"/>
    <col min="5907" max="5907" width="15.5546875" style="3957" bestFit="1" customWidth="1"/>
    <col min="5908" max="5908" width="20.5546875" style="3957" bestFit="1" customWidth="1"/>
    <col min="5909" max="5909" width="16.44140625" style="3957" bestFit="1" customWidth="1"/>
    <col min="5910" max="5910" width="14.33203125" style="3957" customWidth="1"/>
    <col min="5911" max="5911" width="12.88671875" style="3957" bestFit="1" customWidth="1"/>
    <col min="5912" max="5912" width="11.33203125" style="3957" bestFit="1" customWidth="1"/>
    <col min="5913" max="5913" width="12.5546875" style="3957" bestFit="1" customWidth="1"/>
    <col min="5914" max="5914" width="14" style="3957" bestFit="1" customWidth="1"/>
    <col min="5915" max="5915" width="6" style="3957" bestFit="1" customWidth="1"/>
    <col min="5916" max="5916" width="15" style="3957" customWidth="1"/>
    <col min="5917" max="5917" width="14.88671875" style="3957" bestFit="1" customWidth="1"/>
    <col min="5918" max="5918" width="16.109375" style="3957" bestFit="1" customWidth="1"/>
    <col min="5919" max="6145" width="9.109375" style="3957"/>
    <col min="6146" max="6146" width="24" style="3957" bestFit="1" customWidth="1"/>
    <col min="6147" max="6147" width="43.88671875" style="3957" customWidth="1"/>
    <col min="6148" max="6148" width="19.6640625" style="3957" bestFit="1" customWidth="1"/>
    <col min="6149" max="6149" width="12.44140625" style="3957" bestFit="1" customWidth="1"/>
    <col min="6150" max="6150" width="16.33203125" style="3957" bestFit="1" customWidth="1"/>
    <col min="6151" max="6151" width="13.44140625" style="3957" customWidth="1"/>
    <col min="6152" max="6152" width="15.33203125" style="3957" bestFit="1" customWidth="1"/>
    <col min="6153" max="6153" width="14.109375" style="3957" bestFit="1" customWidth="1"/>
    <col min="6154" max="6154" width="15.33203125" style="3957" customWidth="1"/>
    <col min="6155" max="6155" width="17.6640625" style="3957" customWidth="1"/>
    <col min="6156" max="6156" width="17" style="3957" bestFit="1" customWidth="1"/>
    <col min="6157" max="6157" width="12.6640625" style="3957" customWidth="1"/>
    <col min="6158" max="6158" width="13.6640625" style="3957" customWidth="1"/>
    <col min="6159" max="6159" width="13.88671875" style="3957" bestFit="1" customWidth="1"/>
    <col min="6160" max="6160" width="19.6640625" style="3957" bestFit="1" customWidth="1"/>
    <col min="6161" max="6161" width="16.109375" style="3957" customWidth="1"/>
    <col min="6162" max="6162" width="16.6640625" style="3957" bestFit="1" customWidth="1"/>
    <col min="6163" max="6163" width="15.5546875" style="3957" bestFit="1" customWidth="1"/>
    <col min="6164" max="6164" width="20.5546875" style="3957" bestFit="1" customWidth="1"/>
    <col min="6165" max="6165" width="16.44140625" style="3957" bestFit="1" customWidth="1"/>
    <col min="6166" max="6166" width="14.33203125" style="3957" customWidth="1"/>
    <col min="6167" max="6167" width="12.88671875" style="3957" bestFit="1" customWidth="1"/>
    <col min="6168" max="6168" width="11.33203125" style="3957" bestFit="1" customWidth="1"/>
    <col min="6169" max="6169" width="12.5546875" style="3957" bestFit="1" customWidth="1"/>
    <col min="6170" max="6170" width="14" style="3957" bestFit="1" customWidth="1"/>
    <col min="6171" max="6171" width="6" style="3957" bestFit="1" customWidth="1"/>
    <col min="6172" max="6172" width="15" style="3957" customWidth="1"/>
    <col min="6173" max="6173" width="14.88671875" style="3957" bestFit="1" customWidth="1"/>
    <col min="6174" max="6174" width="16.109375" style="3957" bestFit="1" customWidth="1"/>
    <col min="6175" max="6401" width="9.109375" style="3957"/>
    <col min="6402" max="6402" width="24" style="3957" bestFit="1" customWidth="1"/>
    <col min="6403" max="6403" width="43.88671875" style="3957" customWidth="1"/>
    <col min="6404" max="6404" width="19.6640625" style="3957" bestFit="1" customWidth="1"/>
    <col min="6405" max="6405" width="12.44140625" style="3957" bestFit="1" customWidth="1"/>
    <col min="6406" max="6406" width="16.33203125" style="3957" bestFit="1" customWidth="1"/>
    <col min="6407" max="6407" width="13.44140625" style="3957" customWidth="1"/>
    <col min="6408" max="6408" width="15.33203125" style="3957" bestFit="1" customWidth="1"/>
    <col min="6409" max="6409" width="14.109375" style="3957" bestFit="1" customWidth="1"/>
    <col min="6410" max="6410" width="15.33203125" style="3957" customWidth="1"/>
    <col min="6411" max="6411" width="17.6640625" style="3957" customWidth="1"/>
    <col min="6412" max="6412" width="17" style="3957" bestFit="1" customWidth="1"/>
    <col min="6413" max="6413" width="12.6640625" style="3957" customWidth="1"/>
    <col min="6414" max="6414" width="13.6640625" style="3957" customWidth="1"/>
    <col min="6415" max="6415" width="13.88671875" style="3957" bestFit="1" customWidth="1"/>
    <col min="6416" max="6416" width="19.6640625" style="3957" bestFit="1" customWidth="1"/>
    <col min="6417" max="6417" width="16.109375" style="3957" customWidth="1"/>
    <col min="6418" max="6418" width="16.6640625" style="3957" bestFit="1" customWidth="1"/>
    <col min="6419" max="6419" width="15.5546875" style="3957" bestFit="1" customWidth="1"/>
    <col min="6420" max="6420" width="20.5546875" style="3957" bestFit="1" customWidth="1"/>
    <col min="6421" max="6421" width="16.44140625" style="3957" bestFit="1" customWidth="1"/>
    <col min="6422" max="6422" width="14.33203125" style="3957" customWidth="1"/>
    <col min="6423" max="6423" width="12.88671875" style="3957" bestFit="1" customWidth="1"/>
    <col min="6424" max="6424" width="11.33203125" style="3957" bestFit="1" customWidth="1"/>
    <col min="6425" max="6425" width="12.5546875" style="3957" bestFit="1" customWidth="1"/>
    <col min="6426" max="6426" width="14" style="3957" bestFit="1" customWidth="1"/>
    <col min="6427" max="6427" width="6" style="3957" bestFit="1" customWidth="1"/>
    <col min="6428" max="6428" width="15" style="3957" customWidth="1"/>
    <col min="6429" max="6429" width="14.88671875" style="3957" bestFit="1" customWidth="1"/>
    <col min="6430" max="6430" width="16.109375" style="3957" bestFit="1" customWidth="1"/>
    <col min="6431" max="6657" width="9.109375" style="3957"/>
    <col min="6658" max="6658" width="24" style="3957" bestFit="1" customWidth="1"/>
    <col min="6659" max="6659" width="43.88671875" style="3957" customWidth="1"/>
    <col min="6660" max="6660" width="19.6640625" style="3957" bestFit="1" customWidth="1"/>
    <col min="6661" max="6661" width="12.44140625" style="3957" bestFit="1" customWidth="1"/>
    <col min="6662" max="6662" width="16.33203125" style="3957" bestFit="1" customWidth="1"/>
    <col min="6663" max="6663" width="13.44140625" style="3957" customWidth="1"/>
    <col min="6664" max="6664" width="15.33203125" style="3957" bestFit="1" customWidth="1"/>
    <col min="6665" max="6665" width="14.109375" style="3957" bestFit="1" customWidth="1"/>
    <col min="6666" max="6666" width="15.33203125" style="3957" customWidth="1"/>
    <col min="6667" max="6667" width="17.6640625" style="3957" customWidth="1"/>
    <col min="6668" max="6668" width="17" style="3957" bestFit="1" customWidth="1"/>
    <col min="6669" max="6669" width="12.6640625" style="3957" customWidth="1"/>
    <col min="6670" max="6670" width="13.6640625" style="3957" customWidth="1"/>
    <col min="6671" max="6671" width="13.88671875" style="3957" bestFit="1" customWidth="1"/>
    <col min="6672" max="6672" width="19.6640625" style="3957" bestFit="1" customWidth="1"/>
    <col min="6673" max="6673" width="16.109375" style="3957" customWidth="1"/>
    <col min="6674" max="6674" width="16.6640625" style="3957" bestFit="1" customWidth="1"/>
    <col min="6675" max="6675" width="15.5546875" style="3957" bestFit="1" customWidth="1"/>
    <col min="6676" max="6676" width="20.5546875" style="3957" bestFit="1" customWidth="1"/>
    <col min="6677" max="6677" width="16.44140625" style="3957" bestFit="1" customWidth="1"/>
    <col min="6678" max="6678" width="14.33203125" style="3957" customWidth="1"/>
    <col min="6679" max="6679" width="12.88671875" style="3957" bestFit="1" customWidth="1"/>
    <col min="6680" max="6680" width="11.33203125" style="3957" bestFit="1" customWidth="1"/>
    <col min="6681" max="6681" width="12.5546875" style="3957" bestFit="1" customWidth="1"/>
    <col min="6682" max="6682" width="14" style="3957" bestFit="1" customWidth="1"/>
    <col min="6683" max="6683" width="6" style="3957" bestFit="1" customWidth="1"/>
    <col min="6684" max="6684" width="15" style="3957" customWidth="1"/>
    <col min="6685" max="6685" width="14.88671875" style="3957" bestFit="1" customWidth="1"/>
    <col min="6686" max="6686" width="16.109375" style="3957" bestFit="1" customWidth="1"/>
    <col min="6687" max="6913" width="9.109375" style="3957"/>
    <col min="6914" max="6914" width="24" style="3957" bestFit="1" customWidth="1"/>
    <col min="6915" max="6915" width="43.88671875" style="3957" customWidth="1"/>
    <col min="6916" max="6916" width="19.6640625" style="3957" bestFit="1" customWidth="1"/>
    <col min="6917" max="6917" width="12.44140625" style="3957" bestFit="1" customWidth="1"/>
    <col min="6918" max="6918" width="16.33203125" style="3957" bestFit="1" customWidth="1"/>
    <col min="6919" max="6919" width="13.44140625" style="3957" customWidth="1"/>
    <col min="6920" max="6920" width="15.33203125" style="3957" bestFit="1" customWidth="1"/>
    <col min="6921" max="6921" width="14.109375" style="3957" bestFit="1" customWidth="1"/>
    <col min="6922" max="6922" width="15.33203125" style="3957" customWidth="1"/>
    <col min="6923" max="6923" width="17.6640625" style="3957" customWidth="1"/>
    <col min="6924" max="6924" width="17" style="3957" bestFit="1" customWidth="1"/>
    <col min="6925" max="6925" width="12.6640625" style="3957" customWidth="1"/>
    <col min="6926" max="6926" width="13.6640625" style="3957" customWidth="1"/>
    <col min="6927" max="6927" width="13.88671875" style="3957" bestFit="1" customWidth="1"/>
    <col min="6928" max="6928" width="19.6640625" style="3957" bestFit="1" customWidth="1"/>
    <col min="6929" max="6929" width="16.109375" style="3957" customWidth="1"/>
    <col min="6930" max="6930" width="16.6640625" style="3957" bestFit="1" customWidth="1"/>
    <col min="6931" max="6931" width="15.5546875" style="3957" bestFit="1" customWidth="1"/>
    <col min="6932" max="6932" width="20.5546875" style="3957" bestFit="1" customWidth="1"/>
    <col min="6933" max="6933" width="16.44140625" style="3957" bestFit="1" customWidth="1"/>
    <col min="6934" max="6934" width="14.33203125" style="3957" customWidth="1"/>
    <col min="6935" max="6935" width="12.88671875" style="3957" bestFit="1" customWidth="1"/>
    <col min="6936" max="6936" width="11.33203125" style="3957" bestFit="1" customWidth="1"/>
    <col min="6937" max="6937" width="12.5546875" style="3957" bestFit="1" customWidth="1"/>
    <col min="6938" max="6938" width="14" style="3957" bestFit="1" customWidth="1"/>
    <col min="6939" max="6939" width="6" style="3957" bestFit="1" customWidth="1"/>
    <col min="6940" max="6940" width="15" style="3957" customWidth="1"/>
    <col min="6941" max="6941" width="14.88671875" style="3957" bestFit="1" customWidth="1"/>
    <col min="6942" max="6942" width="16.109375" style="3957" bestFit="1" customWidth="1"/>
    <col min="6943" max="7169" width="9.109375" style="3957"/>
    <col min="7170" max="7170" width="24" style="3957" bestFit="1" customWidth="1"/>
    <col min="7171" max="7171" width="43.88671875" style="3957" customWidth="1"/>
    <col min="7172" max="7172" width="19.6640625" style="3957" bestFit="1" customWidth="1"/>
    <col min="7173" max="7173" width="12.44140625" style="3957" bestFit="1" customWidth="1"/>
    <col min="7174" max="7174" width="16.33203125" style="3957" bestFit="1" customWidth="1"/>
    <col min="7175" max="7175" width="13.44140625" style="3957" customWidth="1"/>
    <col min="7176" max="7176" width="15.33203125" style="3957" bestFit="1" customWidth="1"/>
    <col min="7177" max="7177" width="14.109375" style="3957" bestFit="1" customWidth="1"/>
    <col min="7178" max="7178" width="15.33203125" style="3957" customWidth="1"/>
    <col min="7179" max="7179" width="17.6640625" style="3957" customWidth="1"/>
    <col min="7180" max="7180" width="17" style="3957" bestFit="1" customWidth="1"/>
    <col min="7181" max="7181" width="12.6640625" style="3957" customWidth="1"/>
    <col min="7182" max="7182" width="13.6640625" style="3957" customWidth="1"/>
    <col min="7183" max="7183" width="13.88671875" style="3957" bestFit="1" customWidth="1"/>
    <col min="7184" max="7184" width="19.6640625" style="3957" bestFit="1" customWidth="1"/>
    <col min="7185" max="7185" width="16.109375" style="3957" customWidth="1"/>
    <col min="7186" max="7186" width="16.6640625" style="3957" bestFit="1" customWidth="1"/>
    <col min="7187" max="7187" width="15.5546875" style="3957" bestFit="1" customWidth="1"/>
    <col min="7188" max="7188" width="20.5546875" style="3957" bestFit="1" customWidth="1"/>
    <col min="7189" max="7189" width="16.44140625" style="3957" bestFit="1" customWidth="1"/>
    <col min="7190" max="7190" width="14.33203125" style="3957" customWidth="1"/>
    <col min="7191" max="7191" width="12.88671875" style="3957" bestFit="1" customWidth="1"/>
    <col min="7192" max="7192" width="11.33203125" style="3957" bestFit="1" customWidth="1"/>
    <col min="7193" max="7193" width="12.5546875" style="3957" bestFit="1" customWidth="1"/>
    <col min="7194" max="7194" width="14" style="3957" bestFit="1" customWidth="1"/>
    <col min="7195" max="7195" width="6" style="3957" bestFit="1" customWidth="1"/>
    <col min="7196" max="7196" width="15" style="3957" customWidth="1"/>
    <col min="7197" max="7197" width="14.88671875" style="3957" bestFit="1" customWidth="1"/>
    <col min="7198" max="7198" width="16.109375" style="3957" bestFit="1" customWidth="1"/>
    <col min="7199" max="7425" width="9.109375" style="3957"/>
    <col min="7426" max="7426" width="24" style="3957" bestFit="1" customWidth="1"/>
    <col min="7427" max="7427" width="43.88671875" style="3957" customWidth="1"/>
    <col min="7428" max="7428" width="19.6640625" style="3957" bestFit="1" customWidth="1"/>
    <col min="7429" max="7429" width="12.44140625" style="3957" bestFit="1" customWidth="1"/>
    <col min="7430" max="7430" width="16.33203125" style="3957" bestFit="1" customWidth="1"/>
    <col min="7431" max="7431" width="13.44140625" style="3957" customWidth="1"/>
    <col min="7432" max="7432" width="15.33203125" style="3957" bestFit="1" customWidth="1"/>
    <col min="7433" max="7433" width="14.109375" style="3957" bestFit="1" customWidth="1"/>
    <col min="7434" max="7434" width="15.33203125" style="3957" customWidth="1"/>
    <col min="7435" max="7435" width="17.6640625" style="3957" customWidth="1"/>
    <col min="7436" max="7436" width="17" style="3957" bestFit="1" customWidth="1"/>
    <col min="7437" max="7437" width="12.6640625" style="3957" customWidth="1"/>
    <col min="7438" max="7438" width="13.6640625" style="3957" customWidth="1"/>
    <col min="7439" max="7439" width="13.88671875" style="3957" bestFit="1" customWidth="1"/>
    <col min="7440" max="7440" width="19.6640625" style="3957" bestFit="1" customWidth="1"/>
    <col min="7441" max="7441" width="16.109375" style="3957" customWidth="1"/>
    <col min="7442" max="7442" width="16.6640625" style="3957" bestFit="1" customWidth="1"/>
    <col min="7443" max="7443" width="15.5546875" style="3957" bestFit="1" customWidth="1"/>
    <col min="7444" max="7444" width="20.5546875" style="3957" bestFit="1" customWidth="1"/>
    <col min="7445" max="7445" width="16.44140625" style="3957" bestFit="1" customWidth="1"/>
    <col min="7446" max="7446" width="14.33203125" style="3957" customWidth="1"/>
    <col min="7447" max="7447" width="12.88671875" style="3957" bestFit="1" customWidth="1"/>
    <col min="7448" max="7448" width="11.33203125" style="3957" bestFit="1" customWidth="1"/>
    <col min="7449" max="7449" width="12.5546875" style="3957" bestFit="1" customWidth="1"/>
    <col min="7450" max="7450" width="14" style="3957" bestFit="1" customWidth="1"/>
    <col min="7451" max="7451" width="6" style="3957" bestFit="1" customWidth="1"/>
    <col min="7452" max="7452" width="15" style="3957" customWidth="1"/>
    <col min="7453" max="7453" width="14.88671875" style="3957" bestFit="1" customWidth="1"/>
    <col min="7454" max="7454" width="16.109375" style="3957" bestFit="1" customWidth="1"/>
    <col min="7455" max="7681" width="9.109375" style="3957"/>
    <col min="7682" max="7682" width="24" style="3957" bestFit="1" customWidth="1"/>
    <col min="7683" max="7683" width="43.88671875" style="3957" customWidth="1"/>
    <col min="7684" max="7684" width="19.6640625" style="3957" bestFit="1" customWidth="1"/>
    <col min="7685" max="7685" width="12.44140625" style="3957" bestFit="1" customWidth="1"/>
    <col min="7686" max="7686" width="16.33203125" style="3957" bestFit="1" customWidth="1"/>
    <col min="7687" max="7687" width="13.44140625" style="3957" customWidth="1"/>
    <col min="7688" max="7688" width="15.33203125" style="3957" bestFit="1" customWidth="1"/>
    <col min="7689" max="7689" width="14.109375" style="3957" bestFit="1" customWidth="1"/>
    <col min="7690" max="7690" width="15.33203125" style="3957" customWidth="1"/>
    <col min="7691" max="7691" width="17.6640625" style="3957" customWidth="1"/>
    <col min="7692" max="7692" width="17" style="3957" bestFit="1" customWidth="1"/>
    <col min="7693" max="7693" width="12.6640625" style="3957" customWidth="1"/>
    <col min="7694" max="7694" width="13.6640625" style="3957" customWidth="1"/>
    <col min="7695" max="7695" width="13.88671875" style="3957" bestFit="1" customWidth="1"/>
    <col min="7696" max="7696" width="19.6640625" style="3957" bestFit="1" customWidth="1"/>
    <col min="7697" max="7697" width="16.109375" style="3957" customWidth="1"/>
    <col min="7698" max="7698" width="16.6640625" style="3957" bestFit="1" customWidth="1"/>
    <col min="7699" max="7699" width="15.5546875" style="3957" bestFit="1" customWidth="1"/>
    <col min="7700" max="7700" width="20.5546875" style="3957" bestFit="1" customWidth="1"/>
    <col min="7701" max="7701" width="16.44140625" style="3957" bestFit="1" customWidth="1"/>
    <col min="7702" max="7702" width="14.33203125" style="3957" customWidth="1"/>
    <col min="7703" max="7703" width="12.88671875" style="3957" bestFit="1" customWidth="1"/>
    <col min="7704" max="7704" width="11.33203125" style="3957" bestFit="1" customWidth="1"/>
    <col min="7705" max="7705" width="12.5546875" style="3957" bestFit="1" customWidth="1"/>
    <col min="7706" max="7706" width="14" style="3957" bestFit="1" customWidth="1"/>
    <col min="7707" max="7707" width="6" style="3957" bestFit="1" customWidth="1"/>
    <col min="7708" max="7708" width="15" style="3957" customWidth="1"/>
    <col min="7709" max="7709" width="14.88671875" style="3957" bestFit="1" customWidth="1"/>
    <col min="7710" max="7710" width="16.109375" style="3957" bestFit="1" customWidth="1"/>
    <col min="7711" max="7937" width="9.109375" style="3957"/>
    <col min="7938" max="7938" width="24" style="3957" bestFit="1" customWidth="1"/>
    <col min="7939" max="7939" width="43.88671875" style="3957" customWidth="1"/>
    <col min="7940" max="7940" width="19.6640625" style="3957" bestFit="1" customWidth="1"/>
    <col min="7941" max="7941" width="12.44140625" style="3957" bestFit="1" customWidth="1"/>
    <col min="7942" max="7942" width="16.33203125" style="3957" bestFit="1" customWidth="1"/>
    <col min="7943" max="7943" width="13.44140625" style="3957" customWidth="1"/>
    <col min="7944" max="7944" width="15.33203125" style="3957" bestFit="1" customWidth="1"/>
    <col min="7945" max="7945" width="14.109375" style="3957" bestFit="1" customWidth="1"/>
    <col min="7946" max="7946" width="15.33203125" style="3957" customWidth="1"/>
    <col min="7947" max="7947" width="17.6640625" style="3957" customWidth="1"/>
    <col min="7948" max="7948" width="17" style="3957" bestFit="1" customWidth="1"/>
    <col min="7949" max="7949" width="12.6640625" style="3957" customWidth="1"/>
    <col min="7950" max="7950" width="13.6640625" style="3957" customWidth="1"/>
    <col min="7951" max="7951" width="13.88671875" style="3957" bestFit="1" customWidth="1"/>
    <col min="7952" max="7952" width="19.6640625" style="3957" bestFit="1" customWidth="1"/>
    <col min="7953" max="7953" width="16.109375" style="3957" customWidth="1"/>
    <col min="7954" max="7954" width="16.6640625" style="3957" bestFit="1" customWidth="1"/>
    <col min="7955" max="7955" width="15.5546875" style="3957" bestFit="1" customWidth="1"/>
    <col min="7956" max="7956" width="20.5546875" style="3957" bestFit="1" customWidth="1"/>
    <col min="7957" max="7957" width="16.44140625" style="3957" bestFit="1" customWidth="1"/>
    <col min="7958" max="7958" width="14.33203125" style="3957" customWidth="1"/>
    <col min="7959" max="7959" width="12.88671875" style="3957" bestFit="1" customWidth="1"/>
    <col min="7960" max="7960" width="11.33203125" style="3957" bestFit="1" customWidth="1"/>
    <col min="7961" max="7961" width="12.5546875" style="3957" bestFit="1" customWidth="1"/>
    <col min="7962" max="7962" width="14" style="3957" bestFit="1" customWidth="1"/>
    <col min="7963" max="7963" width="6" style="3957" bestFit="1" customWidth="1"/>
    <col min="7964" max="7964" width="15" style="3957" customWidth="1"/>
    <col min="7965" max="7965" width="14.88671875" style="3957" bestFit="1" customWidth="1"/>
    <col min="7966" max="7966" width="16.109375" style="3957" bestFit="1" customWidth="1"/>
    <col min="7967" max="8193" width="9.109375" style="3957"/>
    <col min="8194" max="8194" width="24" style="3957" bestFit="1" customWidth="1"/>
    <col min="8195" max="8195" width="43.88671875" style="3957" customWidth="1"/>
    <col min="8196" max="8196" width="19.6640625" style="3957" bestFit="1" customWidth="1"/>
    <col min="8197" max="8197" width="12.44140625" style="3957" bestFit="1" customWidth="1"/>
    <col min="8198" max="8198" width="16.33203125" style="3957" bestFit="1" customWidth="1"/>
    <col min="8199" max="8199" width="13.44140625" style="3957" customWidth="1"/>
    <col min="8200" max="8200" width="15.33203125" style="3957" bestFit="1" customWidth="1"/>
    <col min="8201" max="8201" width="14.109375" style="3957" bestFit="1" customWidth="1"/>
    <col min="8202" max="8202" width="15.33203125" style="3957" customWidth="1"/>
    <col min="8203" max="8203" width="17.6640625" style="3957" customWidth="1"/>
    <col min="8204" max="8204" width="17" style="3957" bestFit="1" customWidth="1"/>
    <col min="8205" max="8205" width="12.6640625" style="3957" customWidth="1"/>
    <col min="8206" max="8206" width="13.6640625" style="3957" customWidth="1"/>
    <col min="8207" max="8207" width="13.88671875" style="3957" bestFit="1" customWidth="1"/>
    <col min="8208" max="8208" width="19.6640625" style="3957" bestFit="1" customWidth="1"/>
    <col min="8209" max="8209" width="16.109375" style="3957" customWidth="1"/>
    <col min="8210" max="8210" width="16.6640625" style="3957" bestFit="1" customWidth="1"/>
    <col min="8211" max="8211" width="15.5546875" style="3957" bestFit="1" customWidth="1"/>
    <col min="8212" max="8212" width="20.5546875" style="3957" bestFit="1" customWidth="1"/>
    <col min="8213" max="8213" width="16.44140625" style="3957" bestFit="1" customWidth="1"/>
    <col min="8214" max="8214" width="14.33203125" style="3957" customWidth="1"/>
    <col min="8215" max="8215" width="12.88671875" style="3957" bestFit="1" customWidth="1"/>
    <col min="8216" max="8216" width="11.33203125" style="3957" bestFit="1" customWidth="1"/>
    <col min="8217" max="8217" width="12.5546875" style="3957" bestFit="1" customWidth="1"/>
    <col min="8218" max="8218" width="14" style="3957" bestFit="1" customWidth="1"/>
    <col min="8219" max="8219" width="6" style="3957" bestFit="1" customWidth="1"/>
    <col min="8220" max="8220" width="15" style="3957" customWidth="1"/>
    <col min="8221" max="8221" width="14.88671875" style="3957" bestFit="1" customWidth="1"/>
    <col min="8222" max="8222" width="16.109375" style="3957" bestFit="1" customWidth="1"/>
    <col min="8223" max="8449" width="9.109375" style="3957"/>
    <col min="8450" max="8450" width="24" style="3957" bestFit="1" customWidth="1"/>
    <col min="8451" max="8451" width="43.88671875" style="3957" customWidth="1"/>
    <col min="8452" max="8452" width="19.6640625" style="3957" bestFit="1" customWidth="1"/>
    <col min="8453" max="8453" width="12.44140625" style="3957" bestFit="1" customWidth="1"/>
    <col min="8454" max="8454" width="16.33203125" style="3957" bestFit="1" customWidth="1"/>
    <col min="8455" max="8455" width="13.44140625" style="3957" customWidth="1"/>
    <col min="8456" max="8456" width="15.33203125" style="3957" bestFit="1" customWidth="1"/>
    <col min="8457" max="8457" width="14.109375" style="3957" bestFit="1" customWidth="1"/>
    <col min="8458" max="8458" width="15.33203125" style="3957" customWidth="1"/>
    <col min="8459" max="8459" width="17.6640625" style="3957" customWidth="1"/>
    <col min="8460" max="8460" width="17" style="3957" bestFit="1" customWidth="1"/>
    <col min="8461" max="8461" width="12.6640625" style="3957" customWidth="1"/>
    <col min="8462" max="8462" width="13.6640625" style="3957" customWidth="1"/>
    <col min="8463" max="8463" width="13.88671875" style="3957" bestFit="1" customWidth="1"/>
    <col min="8464" max="8464" width="19.6640625" style="3957" bestFit="1" customWidth="1"/>
    <col min="8465" max="8465" width="16.109375" style="3957" customWidth="1"/>
    <col min="8466" max="8466" width="16.6640625" style="3957" bestFit="1" customWidth="1"/>
    <col min="8467" max="8467" width="15.5546875" style="3957" bestFit="1" customWidth="1"/>
    <col min="8468" max="8468" width="20.5546875" style="3957" bestFit="1" customWidth="1"/>
    <col min="8469" max="8469" width="16.44140625" style="3957" bestFit="1" customWidth="1"/>
    <col min="8470" max="8470" width="14.33203125" style="3957" customWidth="1"/>
    <col min="8471" max="8471" width="12.88671875" style="3957" bestFit="1" customWidth="1"/>
    <col min="8472" max="8472" width="11.33203125" style="3957" bestFit="1" customWidth="1"/>
    <col min="8473" max="8473" width="12.5546875" style="3957" bestFit="1" customWidth="1"/>
    <col min="8474" max="8474" width="14" style="3957" bestFit="1" customWidth="1"/>
    <col min="8475" max="8475" width="6" style="3957" bestFit="1" customWidth="1"/>
    <col min="8476" max="8476" width="15" style="3957" customWidth="1"/>
    <col min="8477" max="8477" width="14.88671875" style="3957" bestFit="1" customWidth="1"/>
    <col min="8478" max="8478" width="16.109375" style="3957" bestFit="1" customWidth="1"/>
    <col min="8479" max="8705" width="9.109375" style="3957"/>
    <col min="8706" max="8706" width="24" style="3957" bestFit="1" customWidth="1"/>
    <col min="8707" max="8707" width="43.88671875" style="3957" customWidth="1"/>
    <col min="8708" max="8708" width="19.6640625" style="3957" bestFit="1" customWidth="1"/>
    <col min="8709" max="8709" width="12.44140625" style="3957" bestFit="1" customWidth="1"/>
    <col min="8710" max="8710" width="16.33203125" style="3957" bestFit="1" customWidth="1"/>
    <col min="8711" max="8711" width="13.44140625" style="3957" customWidth="1"/>
    <col min="8712" max="8712" width="15.33203125" style="3957" bestFit="1" customWidth="1"/>
    <col min="8713" max="8713" width="14.109375" style="3957" bestFit="1" customWidth="1"/>
    <col min="8714" max="8714" width="15.33203125" style="3957" customWidth="1"/>
    <col min="8715" max="8715" width="17.6640625" style="3957" customWidth="1"/>
    <col min="8716" max="8716" width="17" style="3957" bestFit="1" customWidth="1"/>
    <col min="8717" max="8717" width="12.6640625" style="3957" customWidth="1"/>
    <col min="8718" max="8718" width="13.6640625" style="3957" customWidth="1"/>
    <col min="8719" max="8719" width="13.88671875" style="3957" bestFit="1" customWidth="1"/>
    <col min="8720" max="8720" width="19.6640625" style="3957" bestFit="1" customWidth="1"/>
    <col min="8721" max="8721" width="16.109375" style="3957" customWidth="1"/>
    <col min="8722" max="8722" width="16.6640625" style="3957" bestFit="1" customWidth="1"/>
    <col min="8723" max="8723" width="15.5546875" style="3957" bestFit="1" customWidth="1"/>
    <col min="8724" max="8724" width="20.5546875" style="3957" bestFit="1" customWidth="1"/>
    <col min="8725" max="8725" width="16.44140625" style="3957" bestFit="1" customWidth="1"/>
    <col min="8726" max="8726" width="14.33203125" style="3957" customWidth="1"/>
    <col min="8727" max="8727" width="12.88671875" style="3957" bestFit="1" customWidth="1"/>
    <col min="8728" max="8728" width="11.33203125" style="3957" bestFit="1" customWidth="1"/>
    <col min="8729" max="8729" width="12.5546875" style="3957" bestFit="1" customWidth="1"/>
    <col min="8730" max="8730" width="14" style="3957" bestFit="1" customWidth="1"/>
    <col min="8731" max="8731" width="6" style="3957" bestFit="1" customWidth="1"/>
    <col min="8732" max="8732" width="15" style="3957" customWidth="1"/>
    <col min="8733" max="8733" width="14.88671875" style="3957" bestFit="1" customWidth="1"/>
    <col min="8734" max="8734" width="16.109375" style="3957" bestFit="1" customWidth="1"/>
    <col min="8735" max="8961" width="9.109375" style="3957"/>
    <col min="8962" max="8962" width="24" style="3957" bestFit="1" customWidth="1"/>
    <col min="8963" max="8963" width="43.88671875" style="3957" customWidth="1"/>
    <col min="8964" max="8964" width="19.6640625" style="3957" bestFit="1" customWidth="1"/>
    <col min="8965" max="8965" width="12.44140625" style="3957" bestFit="1" customWidth="1"/>
    <col min="8966" max="8966" width="16.33203125" style="3957" bestFit="1" customWidth="1"/>
    <col min="8967" max="8967" width="13.44140625" style="3957" customWidth="1"/>
    <col min="8968" max="8968" width="15.33203125" style="3957" bestFit="1" customWidth="1"/>
    <col min="8969" max="8969" width="14.109375" style="3957" bestFit="1" customWidth="1"/>
    <col min="8970" max="8970" width="15.33203125" style="3957" customWidth="1"/>
    <col min="8971" max="8971" width="17.6640625" style="3957" customWidth="1"/>
    <col min="8972" max="8972" width="17" style="3957" bestFit="1" customWidth="1"/>
    <col min="8973" max="8973" width="12.6640625" style="3957" customWidth="1"/>
    <col min="8974" max="8974" width="13.6640625" style="3957" customWidth="1"/>
    <col min="8975" max="8975" width="13.88671875" style="3957" bestFit="1" customWidth="1"/>
    <col min="8976" max="8976" width="19.6640625" style="3957" bestFit="1" customWidth="1"/>
    <col min="8977" max="8977" width="16.109375" style="3957" customWidth="1"/>
    <col min="8978" max="8978" width="16.6640625" style="3957" bestFit="1" customWidth="1"/>
    <col min="8979" max="8979" width="15.5546875" style="3957" bestFit="1" customWidth="1"/>
    <col min="8980" max="8980" width="20.5546875" style="3957" bestFit="1" customWidth="1"/>
    <col min="8981" max="8981" width="16.44140625" style="3957" bestFit="1" customWidth="1"/>
    <col min="8982" max="8982" width="14.33203125" style="3957" customWidth="1"/>
    <col min="8983" max="8983" width="12.88671875" style="3957" bestFit="1" customWidth="1"/>
    <col min="8984" max="8984" width="11.33203125" style="3957" bestFit="1" customWidth="1"/>
    <col min="8985" max="8985" width="12.5546875" style="3957" bestFit="1" customWidth="1"/>
    <col min="8986" max="8986" width="14" style="3957" bestFit="1" customWidth="1"/>
    <col min="8987" max="8987" width="6" style="3957" bestFit="1" customWidth="1"/>
    <col min="8988" max="8988" width="15" style="3957" customWidth="1"/>
    <col min="8989" max="8989" width="14.88671875" style="3957" bestFit="1" customWidth="1"/>
    <col min="8990" max="8990" width="16.109375" style="3957" bestFit="1" customWidth="1"/>
    <col min="8991" max="9217" width="9.109375" style="3957"/>
    <col min="9218" max="9218" width="24" style="3957" bestFit="1" customWidth="1"/>
    <col min="9219" max="9219" width="43.88671875" style="3957" customWidth="1"/>
    <col min="9220" max="9220" width="19.6640625" style="3957" bestFit="1" customWidth="1"/>
    <col min="9221" max="9221" width="12.44140625" style="3957" bestFit="1" customWidth="1"/>
    <col min="9222" max="9222" width="16.33203125" style="3957" bestFit="1" customWidth="1"/>
    <col min="9223" max="9223" width="13.44140625" style="3957" customWidth="1"/>
    <col min="9224" max="9224" width="15.33203125" style="3957" bestFit="1" customWidth="1"/>
    <col min="9225" max="9225" width="14.109375" style="3957" bestFit="1" customWidth="1"/>
    <col min="9226" max="9226" width="15.33203125" style="3957" customWidth="1"/>
    <col min="9227" max="9227" width="17.6640625" style="3957" customWidth="1"/>
    <col min="9228" max="9228" width="17" style="3957" bestFit="1" customWidth="1"/>
    <col min="9229" max="9229" width="12.6640625" style="3957" customWidth="1"/>
    <col min="9230" max="9230" width="13.6640625" style="3957" customWidth="1"/>
    <col min="9231" max="9231" width="13.88671875" style="3957" bestFit="1" customWidth="1"/>
    <col min="9232" max="9232" width="19.6640625" style="3957" bestFit="1" customWidth="1"/>
    <col min="9233" max="9233" width="16.109375" style="3957" customWidth="1"/>
    <col min="9234" max="9234" width="16.6640625" style="3957" bestFit="1" customWidth="1"/>
    <col min="9235" max="9235" width="15.5546875" style="3957" bestFit="1" customWidth="1"/>
    <col min="9236" max="9236" width="20.5546875" style="3957" bestFit="1" customWidth="1"/>
    <col min="9237" max="9237" width="16.44140625" style="3957" bestFit="1" customWidth="1"/>
    <col min="9238" max="9238" width="14.33203125" style="3957" customWidth="1"/>
    <col min="9239" max="9239" width="12.88671875" style="3957" bestFit="1" customWidth="1"/>
    <col min="9240" max="9240" width="11.33203125" style="3957" bestFit="1" customWidth="1"/>
    <col min="9241" max="9241" width="12.5546875" style="3957" bestFit="1" customWidth="1"/>
    <col min="9242" max="9242" width="14" style="3957" bestFit="1" customWidth="1"/>
    <col min="9243" max="9243" width="6" style="3957" bestFit="1" customWidth="1"/>
    <col min="9244" max="9244" width="15" style="3957" customWidth="1"/>
    <col min="9245" max="9245" width="14.88671875" style="3957" bestFit="1" customWidth="1"/>
    <col min="9246" max="9246" width="16.109375" style="3957" bestFit="1" customWidth="1"/>
    <col min="9247" max="9473" width="9.109375" style="3957"/>
    <col min="9474" max="9474" width="24" style="3957" bestFit="1" customWidth="1"/>
    <col min="9475" max="9475" width="43.88671875" style="3957" customWidth="1"/>
    <col min="9476" max="9476" width="19.6640625" style="3957" bestFit="1" customWidth="1"/>
    <col min="9477" max="9477" width="12.44140625" style="3957" bestFit="1" customWidth="1"/>
    <col min="9478" max="9478" width="16.33203125" style="3957" bestFit="1" customWidth="1"/>
    <col min="9479" max="9479" width="13.44140625" style="3957" customWidth="1"/>
    <col min="9480" max="9480" width="15.33203125" style="3957" bestFit="1" customWidth="1"/>
    <col min="9481" max="9481" width="14.109375" style="3957" bestFit="1" customWidth="1"/>
    <col min="9482" max="9482" width="15.33203125" style="3957" customWidth="1"/>
    <col min="9483" max="9483" width="17.6640625" style="3957" customWidth="1"/>
    <col min="9484" max="9484" width="17" style="3957" bestFit="1" customWidth="1"/>
    <col min="9485" max="9485" width="12.6640625" style="3957" customWidth="1"/>
    <col min="9486" max="9486" width="13.6640625" style="3957" customWidth="1"/>
    <col min="9487" max="9487" width="13.88671875" style="3957" bestFit="1" customWidth="1"/>
    <col min="9488" max="9488" width="19.6640625" style="3957" bestFit="1" customWidth="1"/>
    <col min="9489" max="9489" width="16.109375" style="3957" customWidth="1"/>
    <col min="9490" max="9490" width="16.6640625" style="3957" bestFit="1" customWidth="1"/>
    <col min="9491" max="9491" width="15.5546875" style="3957" bestFit="1" customWidth="1"/>
    <col min="9492" max="9492" width="20.5546875" style="3957" bestFit="1" customWidth="1"/>
    <col min="9493" max="9493" width="16.44140625" style="3957" bestFit="1" customWidth="1"/>
    <col min="9494" max="9494" width="14.33203125" style="3957" customWidth="1"/>
    <col min="9495" max="9495" width="12.88671875" style="3957" bestFit="1" customWidth="1"/>
    <col min="9496" max="9496" width="11.33203125" style="3957" bestFit="1" customWidth="1"/>
    <col min="9497" max="9497" width="12.5546875" style="3957" bestFit="1" customWidth="1"/>
    <col min="9498" max="9498" width="14" style="3957" bestFit="1" customWidth="1"/>
    <col min="9499" max="9499" width="6" style="3957" bestFit="1" customWidth="1"/>
    <col min="9500" max="9500" width="15" style="3957" customWidth="1"/>
    <col min="9501" max="9501" width="14.88671875" style="3957" bestFit="1" customWidth="1"/>
    <col min="9502" max="9502" width="16.109375" style="3957" bestFit="1" customWidth="1"/>
    <col min="9503" max="9729" width="9.109375" style="3957"/>
    <col min="9730" max="9730" width="24" style="3957" bestFit="1" customWidth="1"/>
    <col min="9731" max="9731" width="43.88671875" style="3957" customWidth="1"/>
    <col min="9732" max="9732" width="19.6640625" style="3957" bestFit="1" customWidth="1"/>
    <col min="9733" max="9733" width="12.44140625" style="3957" bestFit="1" customWidth="1"/>
    <col min="9734" max="9734" width="16.33203125" style="3957" bestFit="1" customWidth="1"/>
    <col min="9735" max="9735" width="13.44140625" style="3957" customWidth="1"/>
    <col min="9736" max="9736" width="15.33203125" style="3957" bestFit="1" customWidth="1"/>
    <col min="9737" max="9737" width="14.109375" style="3957" bestFit="1" customWidth="1"/>
    <col min="9738" max="9738" width="15.33203125" style="3957" customWidth="1"/>
    <col min="9739" max="9739" width="17.6640625" style="3957" customWidth="1"/>
    <col min="9740" max="9740" width="17" style="3957" bestFit="1" customWidth="1"/>
    <col min="9741" max="9741" width="12.6640625" style="3957" customWidth="1"/>
    <col min="9742" max="9742" width="13.6640625" style="3957" customWidth="1"/>
    <col min="9743" max="9743" width="13.88671875" style="3957" bestFit="1" customWidth="1"/>
    <col min="9744" max="9744" width="19.6640625" style="3957" bestFit="1" customWidth="1"/>
    <col min="9745" max="9745" width="16.109375" style="3957" customWidth="1"/>
    <col min="9746" max="9746" width="16.6640625" style="3957" bestFit="1" customWidth="1"/>
    <col min="9747" max="9747" width="15.5546875" style="3957" bestFit="1" customWidth="1"/>
    <col min="9748" max="9748" width="20.5546875" style="3957" bestFit="1" customWidth="1"/>
    <col min="9749" max="9749" width="16.44140625" style="3957" bestFit="1" customWidth="1"/>
    <col min="9750" max="9750" width="14.33203125" style="3957" customWidth="1"/>
    <col min="9751" max="9751" width="12.88671875" style="3957" bestFit="1" customWidth="1"/>
    <col min="9752" max="9752" width="11.33203125" style="3957" bestFit="1" customWidth="1"/>
    <col min="9753" max="9753" width="12.5546875" style="3957" bestFit="1" customWidth="1"/>
    <col min="9754" max="9754" width="14" style="3957" bestFit="1" customWidth="1"/>
    <col min="9755" max="9755" width="6" style="3957" bestFit="1" customWidth="1"/>
    <col min="9756" max="9756" width="15" style="3957" customWidth="1"/>
    <col min="9757" max="9757" width="14.88671875" style="3957" bestFit="1" customWidth="1"/>
    <col min="9758" max="9758" width="16.109375" style="3957" bestFit="1" customWidth="1"/>
    <col min="9759" max="9985" width="9.109375" style="3957"/>
    <col min="9986" max="9986" width="24" style="3957" bestFit="1" customWidth="1"/>
    <col min="9987" max="9987" width="43.88671875" style="3957" customWidth="1"/>
    <col min="9988" max="9988" width="19.6640625" style="3957" bestFit="1" customWidth="1"/>
    <col min="9989" max="9989" width="12.44140625" style="3957" bestFit="1" customWidth="1"/>
    <col min="9990" max="9990" width="16.33203125" style="3957" bestFit="1" customWidth="1"/>
    <col min="9991" max="9991" width="13.44140625" style="3957" customWidth="1"/>
    <col min="9992" max="9992" width="15.33203125" style="3957" bestFit="1" customWidth="1"/>
    <col min="9993" max="9993" width="14.109375" style="3957" bestFit="1" customWidth="1"/>
    <col min="9994" max="9994" width="15.33203125" style="3957" customWidth="1"/>
    <col min="9995" max="9995" width="17.6640625" style="3957" customWidth="1"/>
    <col min="9996" max="9996" width="17" style="3957" bestFit="1" customWidth="1"/>
    <col min="9997" max="9997" width="12.6640625" style="3957" customWidth="1"/>
    <col min="9998" max="9998" width="13.6640625" style="3957" customWidth="1"/>
    <col min="9999" max="9999" width="13.88671875" style="3957" bestFit="1" customWidth="1"/>
    <col min="10000" max="10000" width="19.6640625" style="3957" bestFit="1" customWidth="1"/>
    <col min="10001" max="10001" width="16.109375" style="3957" customWidth="1"/>
    <col min="10002" max="10002" width="16.6640625" style="3957" bestFit="1" customWidth="1"/>
    <col min="10003" max="10003" width="15.5546875" style="3957" bestFit="1" customWidth="1"/>
    <col min="10004" max="10004" width="20.5546875" style="3957" bestFit="1" customWidth="1"/>
    <col min="10005" max="10005" width="16.44140625" style="3957" bestFit="1" customWidth="1"/>
    <col min="10006" max="10006" width="14.33203125" style="3957" customWidth="1"/>
    <col min="10007" max="10007" width="12.88671875" style="3957" bestFit="1" customWidth="1"/>
    <col min="10008" max="10008" width="11.33203125" style="3957" bestFit="1" customWidth="1"/>
    <col min="10009" max="10009" width="12.5546875" style="3957" bestFit="1" customWidth="1"/>
    <col min="10010" max="10010" width="14" style="3957" bestFit="1" customWidth="1"/>
    <col min="10011" max="10011" width="6" style="3957" bestFit="1" customWidth="1"/>
    <col min="10012" max="10012" width="15" style="3957" customWidth="1"/>
    <col min="10013" max="10013" width="14.88671875" style="3957" bestFit="1" customWidth="1"/>
    <col min="10014" max="10014" width="16.109375" style="3957" bestFit="1" customWidth="1"/>
    <col min="10015" max="10241" width="9.109375" style="3957"/>
    <col min="10242" max="10242" width="24" style="3957" bestFit="1" customWidth="1"/>
    <col min="10243" max="10243" width="43.88671875" style="3957" customWidth="1"/>
    <col min="10244" max="10244" width="19.6640625" style="3957" bestFit="1" customWidth="1"/>
    <col min="10245" max="10245" width="12.44140625" style="3957" bestFit="1" customWidth="1"/>
    <col min="10246" max="10246" width="16.33203125" style="3957" bestFit="1" customWidth="1"/>
    <col min="10247" max="10247" width="13.44140625" style="3957" customWidth="1"/>
    <col min="10248" max="10248" width="15.33203125" style="3957" bestFit="1" customWidth="1"/>
    <col min="10249" max="10249" width="14.109375" style="3957" bestFit="1" customWidth="1"/>
    <col min="10250" max="10250" width="15.33203125" style="3957" customWidth="1"/>
    <col min="10251" max="10251" width="17.6640625" style="3957" customWidth="1"/>
    <col min="10252" max="10252" width="17" style="3957" bestFit="1" customWidth="1"/>
    <col min="10253" max="10253" width="12.6640625" style="3957" customWidth="1"/>
    <col min="10254" max="10254" width="13.6640625" style="3957" customWidth="1"/>
    <col min="10255" max="10255" width="13.88671875" style="3957" bestFit="1" customWidth="1"/>
    <col min="10256" max="10256" width="19.6640625" style="3957" bestFit="1" customWidth="1"/>
    <col min="10257" max="10257" width="16.109375" style="3957" customWidth="1"/>
    <col min="10258" max="10258" width="16.6640625" style="3957" bestFit="1" customWidth="1"/>
    <col min="10259" max="10259" width="15.5546875" style="3957" bestFit="1" customWidth="1"/>
    <col min="10260" max="10260" width="20.5546875" style="3957" bestFit="1" customWidth="1"/>
    <col min="10261" max="10261" width="16.44140625" style="3957" bestFit="1" customWidth="1"/>
    <col min="10262" max="10262" width="14.33203125" style="3957" customWidth="1"/>
    <col min="10263" max="10263" width="12.88671875" style="3957" bestFit="1" customWidth="1"/>
    <col min="10264" max="10264" width="11.33203125" style="3957" bestFit="1" customWidth="1"/>
    <col min="10265" max="10265" width="12.5546875" style="3957" bestFit="1" customWidth="1"/>
    <col min="10266" max="10266" width="14" style="3957" bestFit="1" customWidth="1"/>
    <col min="10267" max="10267" width="6" style="3957" bestFit="1" customWidth="1"/>
    <col min="10268" max="10268" width="15" style="3957" customWidth="1"/>
    <col min="10269" max="10269" width="14.88671875" style="3957" bestFit="1" customWidth="1"/>
    <col min="10270" max="10270" width="16.109375" style="3957" bestFit="1" customWidth="1"/>
    <col min="10271" max="10497" width="9.109375" style="3957"/>
    <col min="10498" max="10498" width="24" style="3957" bestFit="1" customWidth="1"/>
    <col min="10499" max="10499" width="43.88671875" style="3957" customWidth="1"/>
    <col min="10500" max="10500" width="19.6640625" style="3957" bestFit="1" customWidth="1"/>
    <col min="10501" max="10501" width="12.44140625" style="3957" bestFit="1" customWidth="1"/>
    <col min="10502" max="10502" width="16.33203125" style="3957" bestFit="1" customWidth="1"/>
    <col min="10503" max="10503" width="13.44140625" style="3957" customWidth="1"/>
    <col min="10504" max="10504" width="15.33203125" style="3957" bestFit="1" customWidth="1"/>
    <col min="10505" max="10505" width="14.109375" style="3957" bestFit="1" customWidth="1"/>
    <col min="10506" max="10506" width="15.33203125" style="3957" customWidth="1"/>
    <col min="10507" max="10507" width="17.6640625" style="3957" customWidth="1"/>
    <col min="10508" max="10508" width="17" style="3957" bestFit="1" customWidth="1"/>
    <col min="10509" max="10509" width="12.6640625" style="3957" customWidth="1"/>
    <col min="10510" max="10510" width="13.6640625" style="3957" customWidth="1"/>
    <col min="10511" max="10511" width="13.88671875" style="3957" bestFit="1" customWidth="1"/>
    <col min="10512" max="10512" width="19.6640625" style="3957" bestFit="1" customWidth="1"/>
    <col min="10513" max="10513" width="16.109375" style="3957" customWidth="1"/>
    <col min="10514" max="10514" width="16.6640625" style="3957" bestFit="1" customWidth="1"/>
    <col min="10515" max="10515" width="15.5546875" style="3957" bestFit="1" customWidth="1"/>
    <col min="10516" max="10516" width="20.5546875" style="3957" bestFit="1" customWidth="1"/>
    <col min="10517" max="10517" width="16.44140625" style="3957" bestFit="1" customWidth="1"/>
    <col min="10518" max="10518" width="14.33203125" style="3957" customWidth="1"/>
    <col min="10519" max="10519" width="12.88671875" style="3957" bestFit="1" customWidth="1"/>
    <col min="10520" max="10520" width="11.33203125" style="3957" bestFit="1" customWidth="1"/>
    <col min="10521" max="10521" width="12.5546875" style="3957" bestFit="1" customWidth="1"/>
    <col min="10522" max="10522" width="14" style="3957" bestFit="1" customWidth="1"/>
    <col min="10523" max="10523" width="6" style="3957" bestFit="1" customWidth="1"/>
    <col min="10524" max="10524" width="15" style="3957" customWidth="1"/>
    <col min="10525" max="10525" width="14.88671875" style="3957" bestFit="1" customWidth="1"/>
    <col min="10526" max="10526" width="16.109375" style="3957" bestFit="1" customWidth="1"/>
    <col min="10527" max="10753" width="9.109375" style="3957"/>
    <col min="10754" max="10754" width="24" style="3957" bestFit="1" customWidth="1"/>
    <col min="10755" max="10755" width="43.88671875" style="3957" customWidth="1"/>
    <col min="10756" max="10756" width="19.6640625" style="3957" bestFit="1" customWidth="1"/>
    <col min="10757" max="10757" width="12.44140625" style="3957" bestFit="1" customWidth="1"/>
    <col min="10758" max="10758" width="16.33203125" style="3957" bestFit="1" customWidth="1"/>
    <col min="10759" max="10759" width="13.44140625" style="3957" customWidth="1"/>
    <col min="10760" max="10760" width="15.33203125" style="3957" bestFit="1" customWidth="1"/>
    <col min="10761" max="10761" width="14.109375" style="3957" bestFit="1" customWidth="1"/>
    <col min="10762" max="10762" width="15.33203125" style="3957" customWidth="1"/>
    <col min="10763" max="10763" width="17.6640625" style="3957" customWidth="1"/>
    <col min="10764" max="10764" width="17" style="3957" bestFit="1" customWidth="1"/>
    <col min="10765" max="10765" width="12.6640625" style="3957" customWidth="1"/>
    <col min="10766" max="10766" width="13.6640625" style="3957" customWidth="1"/>
    <col min="10767" max="10767" width="13.88671875" style="3957" bestFit="1" customWidth="1"/>
    <col min="10768" max="10768" width="19.6640625" style="3957" bestFit="1" customWidth="1"/>
    <col min="10769" max="10769" width="16.109375" style="3957" customWidth="1"/>
    <col min="10770" max="10770" width="16.6640625" style="3957" bestFit="1" customWidth="1"/>
    <col min="10771" max="10771" width="15.5546875" style="3957" bestFit="1" customWidth="1"/>
    <col min="10772" max="10772" width="20.5546875" style="3957" bestFit="1" customWidth="1"/>
    <col min="10773" max="10773" width="16.44140625" style="3957" bestFit="1" customWidth="1"/>
    <col min="10774" max="10774" width="14.33203125" style="3957" customWidth="1"/>
    <col min="10775" max="10775" width="12.88671875" style="3957" bestFit="1" customWidth="1"/>
    <col min="10776" max="10776" width="11.33203125" style="3957" bestFit="1" customWidth="1"/>
    <col min="10777" max="10777" width="12.5546875" style="3957" bestFit="1" customWidth="1"/>
    <col min="10778" max="10778" width="14" style="3957" bestFit="1" customWidth="1"/>
    <col min="10779" max="10779" width="6" style="3957" bestFit="1" customWidth="1"/>
    <col min="10780" max="10780" width="15" style="3957" customWidth="1"/>
    <col min="10781" max="10781" width="14.88671875" style="3957" bestFit="1" customWidth="1"/>
    <col min="10782" max="10782" width="16.109375" style="3957" bestFit="1" customWidth="1"/>
    <col min="10783" max="11009" width="9.109375" style="3957"/>
    <col min="11010" max="11010" width="24" style="3957" bestFit="1" customWidth="1"/>
    <col min="11011" max="11011" width="43.88671875" style="3957" customWidth="1"/>
    <col min="11012" max="11012" width="19.6640625" style="3957" bestFit="1" customWidth="1"/>
    <col min="11013" max="11013" width="12.44140625" style="3957" bestFit="1" customWidth="1"/>
    <col min="11014" max="11014" width="16.33203125" style="3957" bestFit="1" customWidth="1"/>
    <col min="11015" max="11015" width="13.44140625" style="3957" customWidth="1"/>
    <col min="11016" max="11016" width="15.33203125" style="3957" bestFit="1" customWidth="1"/>
    <col min="11017" max="11017" width="14.109375" style="3957" bestFit="1" customWidth="1"/>
    <col min="11018" max="11018" width="15.33203125" style="3957" customWidth="1"/>
    <col min="11019" max="11019" width="17.6640625" style="3957" customWidth="1"/>
    <col min="11020" max="11020" width="17" style="3957" bestFit="1" customWidth="1"/>
    <col min="11021" max="11021" width="12.6640625" style="3957" customWidth="1"/>
    <col min="11022" max="11022" width="13.6640625" style="3957" customWidth="1"/>
    <col min="11023" max="11023" width="13.88671875" style="3957" bestFit="1" customWidth="1"/>
    <col min="11024" max="11024" width="19.6640625" style="3957" bestFit="1" customWidth="1"/>
    <col min="11025" max="11025" width="16.109375" style="3957" customWidth="1"/>
    <col min="11026" max="11026" width="16.6640625" style="3957" bestFit="1" customWidth="1"/>
    <col min="11027" max="11027" width="15.5546875" style="3957" bestFit="1" customWidth="1"/>
    <col min="11028" max="11028" width="20.5546875" style="3957" bestFit="1" customWidth="1"/>
    <col min="11029" max="11029" width="16.44140625" style="3957" bestFit="1" customWidth="1"/>
    <col min="11030" max="11030" width="14.33203125" style="3957" customWidth="1"/>
    <col min="11031" max="11031" width="12.88671875" style="3957" bestFit="1" customWidth="1"/>
    <col min="11032" max="11032" width="11.33203125" style="3957" bestFit="1" customWidth="1"/>
    <col min="11033" max="11033" width="12.5546875" style="3957" bestFit="1" customWidth="1"/>
    <col min="11034" max="11034" width="14" style="3957" bestFit="1" customWidth="1"/>
    <col min="11035" max="11035" width="6" style="3957" bestFit="1" customWidth="1"/>
    <col min="11036" max="11036" width="15" style="3957" customWidth="1"/>
    <col min="11037" max="11037" width="14.88671875" style="3957" bestFit="1" customWidth="1"/>
    <col min="11038" max="11038" width="16.109375" style="3957" bestFit="1" customWidth="1"/>
    <col min="11039" max="11265" width="9.109375" style="3957"/>
    <col min="11266" max="11266" width="24" style="3957" bestFit="1" customWidth="1"/>
    <col min="11267" max="11267" width="43.88671875" style="3957" customWidth="1"/>
    <col min="11268" max="11268" width="19.6640625" style="3957" bestFit="1" customWidth="1"/>
    <col min="11269" max="11269" width="12.44140625" style="3957" bestFit="1" customWidth="1"/>
    <col min="11270" max="11270" width="16.33203125" style="3957" bestFit="1" customWidth="1"/>
    <col min="11271" max="11271" width="13.44140625" style="3957" customWidth="1"/>
    <col min="11272" max="11272" width="15.33203125" style="3957" bestFit="1" customWidth="1"/>
    <col min="11273" max="11273" width="14.109375" style="3957" bestFit="1" customWidth="1"/>
    <col min="11274" max="11274" width="15.33203125" style="3957" customWidth="1"/>
    <col min="11275" max="11275" width="17.6640625" style="3957" customWidth="1"/>
    <col min="11276" max="11276" width="17" style="3957" bestFit="1" customWidth="1"/>
    <col min="11277" max="11277" width="12.6640625" style="3957" customWidth="1"/>
    <col min="11278" max="11278" width="13.6640625" style="3957" customWidth="1"/>
    <col min="11279" max="11279" width="13.88671875" style="3957" bestFit="1" customWidth="1"/>
    <col min="11280" max="11280" width="19.6640625" style="3957" bestFit="1" customWidth="1"/>
    <col min="11281" max="11281" width="16.109375" style="3957" customWidth="1"/>
    <col min="11282" max="11282" width="16.6640625" style="3957" bestFit="1" customWidth="1"/>
    <col min="11283" max="11283" width="15.5546875" style="3957" bestFit="1" customWidth="1"/>
    <col min="11284" max="11284" width="20.5546875" style="3957" bestFit="1" customWidth="1"/>
    <col min="11285" max="11285" width="16.44140625" style="3957" bestFit="1" customWidth="1"/>
    <col min="11286" max="11286" width="14.33203125" style="3957" customWidth="1"/>
    <col min="11287" max="11287" width="12.88671875" style="3957" bestFit="1" customWidth="1"/>
    <col min="11288" max="11288" width="11.33203125" style="3957" bestFit="1" customWidth="1"/>
    <col min="11289" max="11289" width="12.5546875" style="3957" bestFit="1" customWidth="1"/>
    <col min="11290" max="11290" width="14" style="3957" bestFit="1" customWidth="1"/>
    <col min="11291" max="11291" width="6" style="3957" bestFit="1" customWidth="1"/>
    <col min="11292" max="11292" width="15" style="3957" customWidth="1"/>
    <col min="11293" max="11293" width="14.88671875" style="3957" bestFit="1" customWidth="1"/>
    <col min="11294" max="11294" width="16.109375" style="3957" bestFit="1" customWidth="1"/>
    <col min="11295" max="11521" width="9.109375" style="3957"/>
    <col min="11522" max="11522" width="24" style="3957" bestFit="1" customWidth="1"/>
    <col min="11523" max="11523" width="43.88671875" style="3957" customWidth="1"/>
    <col min="11524" max="11524" width="19.6640625" style="3957" bestFit="1" customWidth="1"/>
    <col min="11525" max="11525" width="12.44140625" style="3957" bestFit="1" customWidth="1"/>
    <col min="11526" max="11526" width="16.33203125" style="3957" bestFit="1" customWidth="1"/>
    <col min="11527" max="11527" width="13.44140625" style="3957" customWidth="1"/>
    <col min="11528" max="11528" width="15.33203125" style="3957" bestFit="1" customWidth="1"/>
    <col min="11529" max="11529" width="14.109375" style="3957" bestFit="1" customWidth="1"/>
    <col min="11530" max="11530" width="15.33203125" style="3957" customWidth="1"/>
    <col min="11531" max="11531" width="17.6640625" style="3957" customWidth="1"/>
    <col min="11532" max="11532" width="17" style="3957" bestFit="1" customWidth="1"/>
    <col min="11533" max="11533" width="12.6640625" style="3957" customWidth="1"/>
    <col min="11534" max="11534" width="13.6640625" style="3957" customWidth="1"/>
    <col min="11535" max="11535" width="13.88671875" style="3957" bestFit="1" customWidth="1"/>
    <col min="11536" max="11536" width="19.6640625" style="3957" bestFit="1" customWidth="1"/>
    <col min="11537" max="11537" width="16.109375" style="3957" customWidth="1"/>
    <col min="11538" max="11538" width="16.6640625" style="3957" bestFit="1" customWidth="1"/>
    <col min="11539" max="11539" width="15.5546875" style="3957" bestFit="1" customWidth="1"/>
    <col min="11540" max="11540" width="20.5546875" style="3957" bestFit="1" customWidth="1"/>
    <col min="11541" max="11541" width="16.44140625" style="3957" bestFit="1" customWidth="1"/>
    <col min="11542" max="11542" width="14.33203125" style="3957" customWidth="1"/>
    <col min="11543" max="11543" width="12.88671875" style="3957" bestFit="1" customWidth="1"/>
    <col min="11544" max="11544" width="11.33203125" style="3957" bestFit="1" customWidth="1"/>
    <col min="11545" max="11545" width="12.5546875" style="3957" bestFit="1" customWidth="1"/>
    <col min="11546" max="11546" width="14" style="3957" bestFit="1" customWidth="1"/>
    <col min="11547" max="11547" width="6" style="3957" bestFit="1" customWidth="1"/>
    <col min="11548" max="11548" width="15" style="3957" customWidth="1"/>
    <col min="11549" max="11549" width="14.88671875" style="3957" bestFit="1" customWidth="1"/>
    <col min="11550" max="11550" width="16.109375" style="3957" bestFit="1" customWidth="1"/>
    <col min="11551" max="11777" width="9.109375" style="3957"/>
    <col min="11778" max="11778" width="24" style="3957" bestFit="1" customWidth="1"/>
    <col min="11779" max="11779" width="43.88671875" style="3957" customWidth="1"/>
    <col min="11780" max="11780" width="19.6640625" style="3957" bestFit="1" customWidth="1"/>
    <col min="11781" max="11781" width="12.44140625" style="3957" bestFit="1" customWidth="1"/>
    <col min="11782" max="11782" width="16.33203125" style="3957" bestFit="1" customWidth="1"/>
    <col min="11783" max="11783" width="13.44140625" style="3957" customWidth="1"/>
    <col min="11784" max="11784" width="15.33203125" style="3957" bestFit="1" customWidth="1"/>
    <col min="11785" max="11785" width="14.109375" style="3957" bestFit="1" customWidth="1"/>
    <col min="11786" max="11786" width="15.33203125" style="3957" customWidth="1"/>
    <col min="11787" max="11787" width="17.6640625" style="3957" customWidth="1"/>
    <col min="11788" max="11788" width="17" style="3957" bestFit="1" customWidth="1"/>
    <col min="11789" max="11789" width="12.6640625" style="3957" customWidth="1"/>
    <col min="11790" max="11790" width="13.6640625" style="3957" customWidth="1"/>
    <col min="11791" max="11791" width="13.88671875" style="3957" bestFit="1" customWidth="1"/>
    <col min="11792" max="11792" width="19.6640625" style="3957" bestFit="1" customWidth="1"/>
    <col min="11793" max="11793" width="16.109375" style="3957" customWidth="1"/>
    <col min="11794" max="11794" width="16.6640625" style="3957" bestFit="1" customWidth="1"/>
    <col min="11795" max="11795" width="15.5546875" style="3957" bestFit="1" customWidth="1"/>
    <col min="11796" max="11796" width="20.5546875" style="3957" bestFit="1" customWidth="1"/>
    <col min="11797" max="11797" width="16.44140625" style="3957" bestFit="1" customWidth="1"/>
    <col min="11798" max="11798" width="14.33203125" style="3957" customWidth="1"/>
    <col min="11799" max="11799" width="12.88671875" style="3957" bestFit="1" customWidth="1"/>
    <col min="11800" max="11800" width="11.33203125" style="3957" bestFit="1" customWidth="1"/>
    <col min="11801" max="11801" width="12.5546875" style="3957" bestFit="1" customWidth="1"/>
    <col min="11802" max="11802" width="14" style="3957" bestFit="1" customWidth="1"/>
    <col min="11803" max="11803" width="6" style="3957" bestFit="1" customWidth="1"/>
    <col min="11804" max="11804" width="15" style="3957" customWidth="1"/>
    <col min="11805" max="11805" width="14.88671875" style="3957" bestFit="1" customWidth="1"/>
    <col min="11806" max="11806" width="16.109375" style="3957" bestFit="1" customWidth="1"/>
    <col min="11807" max="12033" width="9.109375" style="3957"/>
    <col min="12034" max="12034" width="24" style="3957" bestFit="1" customWidth="1"/>
    <col min="12035" max="12035" width="43.88671875" style="3957" customWidth="1"/>
    <col min="12036" max="12036" width="19.6640625" style="3957" bestFit="1" customWidth="1"/>
    <col min="12037" max="12037" width="12.44140625" style="3957" bestFit="1" customWidth="1"/>
    <col min="12038" max="12038" width="16.33203125" style="3957" bestFit="1" customWidth="1"/>
    <col min="12039" max="12039" width="13.44140625" style="3957" customWidth="1"/>
    <col min="12040" max="12040" width="15.33203125" style="3957" bestFit="1" customWidth="1"/>
    <col min="12041" max="12041" width="14.109375" style="3957" bestFit="1" customWidth="1"/>
    <col min="12042" max="12042" width="15.33203125" style="3957" customWidth="1"/>
    <col min="12043" max="12043" width="17.6640625" style="3957" customWidth="1"/>
    <col min="12044" max="12044" width="17" style="3957" bestFit="1" customWidth="1"/>
    <col min="12045" max="12045" width="12.6640625" style="3957" customWidth="1"/>
    <col min="12046" max="12046" width="13.6640625" style="3957" customWidth="1"/>
    <col min="12047" max="12047" width="13.88671875" style="3957" bestFit="1" customWidth="1"/>
    <col min="12048" max="12048" width="19.6640625" style="3957" bestFit="1" customWidth="1"/>
    <col min="12049" max="12049" width="16.109375" style="3957" customWidth="1"/>
    <col min="12050" max="12050" width="16.6640625" style="3957" bestFit="1" customWidth="1"/>
    <col min="12051" max="12051" width="15.5546875" style="3957" bestFit="1" customWidth="1"/>
    <col min="12052" max="12052" width="20.5546875" style="3957" bestFit="1" customWidth="1"/>
    <col min="12053" max="12053" width="16.44140625" style="3957" bestFit="1" customWidth="1"/>
    <col min="12054" max="12054" width="14.33203125" style="3957" customWidth="1"/>
    <col min="12055" max="12055" width="12.88671875" style="3957" bestFit="1" customWidth="1"/>
    <col min="12056" max="12056" width="11.33203125" style="3957" bestFit="1" customWidth="1"/>
    <col min="12057" max="12057" width="12.5546875" style="3957" bestFit="1" customWidth="1"/>
    <col min="12058" max="12058" width="14" style="3957" bestFit="1" customWidth="1"/>
    <col min="12059" max="12059" width="6" style="3957" bestFit="1" customWidth="1"/>
    <col min="12060" max="12060" width="15" style="3957" customWidth="1"/>
    <col min="12061" max="12061" width="14.88671875" style="3957" bestFit="1" customWidth="1"/>
    <col min="12062" max="12062" width="16.109375" style="3957" bestFit="1" customWidth="1"/>
    <col min="12063" max="12289" width="9.109375" style="3957"/>
    <col min="12290" max="12290" width="24" style="3957" bestFit="1" customWidth="1"/>
    <col min="12291" max="12291" width="43.88671875" style="3957" customWidth="1"/>
    <col min="12292" max="12292" width="19.6640625" style="3957" bestFit="1" customWidth="1"/>
    <col min="12293" max="12293" width="12.44140625" style="3957" bestFit="1" customWidth="1"/>
    <col min="12294" max="12294" width="16.33203125" style="3957" bestFit="1" customWidth="1"/>
    <col min="12295" max="12295" width="13.44140625" style="3957" customWidth="1"/>
    <col min="12296" max="12296" width="15.33203125" style="3957" bestFit="1" customWidth="1"/>
    <col min="12297" max="12297" width="14.109375" style="3957" bestFit="1" customWidth="1"/>
    <col min="12298" max="12298" width="15.33203125" style="3957" customWidth="1"/>
    <col min="12299" max="12299" width="17.6640625" style="3957" customWidth="1"/>
    <col min="12300" max="12300" width="17" style="3957" bestFit="1" customWidth="1"/>
    <col min="12301" max="12301" width="12.6640625" style="3957" customWidth="1"/>
    <col min="12302" max="12302" width="13.6640625" style="3957" customWidth="1"/>
    <col min="12303" max="12303" width="13.88671875" style="3957" bestFit="1" customWidth="1"/>
    <col min="12304" max="12304" width="19.6640625" style="3957" bestFit="1" customWidth="1"/>
    <col min="12305" max="12305" width="16.109375" style="3957" customWidth="1"/>
    <col min="12306" max="12306" width="16.6640625" style="3957" bestFit="1" customWidth="1"/>
    <col min="12307" max="12307" width="15.5546875" style="3957" bestFit="1" customWidth="1"/>
    <col min="12308" max="12308" width="20.5546875" style="3957" bestFit="1" customWidth="1"/>
    <col min="12309" max="12309" width="16.44140625" style="3957" bestFit="1" customWidth="1"/>
    <col min="12310" max="12310" width="14.33203125" style="3957" customWidth="1"/>
    <col min="12311" max="12311" width="12.88671875" style="3957" bestFit="1" customWidth="1"/>
    <col min="12312" max="12312" width="11.33203125" style="3957" bestFit="1" customWidth="1"/>
    <col min="12313" max="12313" width="12.5546875" style="3957" bestFit="1" customWidth="1"/>
    <col min="12314" max="12314" width="14" style="3957" bestFit="1" customWidth="1"/>
    <col min="12315" max="12315" width="6" style="3957" bestFit="1" customWidth="1"/>
    <col min="12316" max="12316" width="15" style="3957" customWidth="1"/>
    <col min="12317" max="12317" width="14.88671875" style="3957" bestFit="1" customWidth="1"/>
    <col min="12318" max="12318" width="16.109375" style="3957" bestFit="1" customWidth="1"/>
    <col min="12319" max="12545" width="9.109375" style="3957"/>
    <col min="12546" max="12546" width="24" style="3957" bestFit="1" customWidth="1"/>
    <col min="12547" max="12547" width="43.88671875" style="3957" customWidth="1"/>
    <col min="12548" max="12548" width="19.6640625" style="3957" bestFit="1" customWidth="1"/>
    <col min="12549" max="12549" width="12.44140625" style="3957" bestFit="1" customWidth="1"/>
    <col min="12550" max="12550" width="16.33203125" style="3957" bestFit="1" customWidth="1"/>
    <col min="12551" max="12551" width="13.44140625" style="3957" customWidth="1"/>
    <col min="12552" max="12552" width="15.33203125" style="3957" bestFit="1" customWidth="1"/>
    <col min="12553" max="12553" width="14.109375" style="3957" bestFit="1" customWidth="1"/>
    <col min="12554" max="12554" width="15.33203125" style="3957" customWidth="1"/>
    <col min="12555" max="12555" width="17.6640625" style="3957" customWidth="1"/>
    <col min="12556" max="12556" width="17" style="3957" bestFit="1" customWidth="1"/>
    <col min="12557" max="12557" width="12.6640625" style="3957" customWidth="1"/>
    <col min="12558" max="12558" width="13.6640625" style="3957" customWidth="1"/>
    <col min="12559" max="12559" width="13.88671875" style="3957" bestFit="1" customWidth="1"/>
    <col min="12560" max="12560" width="19.6640625" style="3957" bestFit="1" customWidth="1"/>
    <col min="12561" max="12561" width="16.109375" style="3957" customWidth="1"/>
    <col min="12562" max="12562" width="16.6640625" style="3957" bestFit="1" customWidth="1"/>
    <col min="12563" max="12563" width="15.5546875" style="3957" bestFit="1" customWidth="1"/>
    <col min="12564" max="12564" width="20.5546875" style="3957" bestFit="1" customWidth="1"/>
    <col min="12565" max="12565" width="16.44140625" style="3957" bestFit="1" customWidth="1"/>
    <col min="12566" max="12566" width="14.33203125" style="3957" customWidth="1"/>
    <col min="12567" max="12567" width="12.88671875" style="3957" bestFit="1" customWidth="1"/>
    <col min="12568" max="12568" width="11.33203125" style="3957" bestFit="1" customWidth="1"/>
    <col min="12569" max="12569" width="12.5546875" style="3957" bestFit="1" customWidth="1"/>
    <col min="12570" max="12570" width="14" style="3957" bestFit="1" customWidth="1"/>
    <col min="12571" max="12571" width="6" style="3957" bestFit="1" customWidth="1"/>
    <col min="12572" max="12572" width="15" style="3957" customWidth="1"/>
    <col min="12573" max="12573" width="14.88671875" style="3957" bestFit="1" customWidth="1"/>
    <col min="12574" max="12574" width="16.109375" style="3957" bestFit="1" customWidth="1"/>
    <col min="12575" max="12801" width="9.109375" style="3957"/>
    <col min="12802" max="12802" width="24" style="3957" bestFit="1" customWidth="1"/>
    <col min="12803" max="12803" width="43.88671875" style="3957" customWidth="1"/>
    <col min="12804" max="12804" width="19.6640625" style="3957" bestFit="1" customWidth="1"/>
    <col min="12805" max="12805" width="12.44140625" style="3957" bestFit="1" customWidth="1"/>
    <col min="12806" max="12806" width="16.33203125" style="3957" bestFit="1" customWidth="1"/>
    <col min="12807" max="12807" width="13.44140625" style="3957" customWidth="1"/>
    <col min="12808" max="12808" width="15.33203125" style="3957" bestFit="1" customWidth="1"/>
    <col min="12809" max="12809" width="14.109375" style="3957" bestFit="1" customWidth="1"/>
    <col min="12810" max="12810" width="15.33203125" style="3957" customWidth="1"/>
    <col min="12811" max="12811" width="17.6640625" style="3957" customWidth="1"/>
    <col min="12812" max="12812" width="17" style="3957" bestFit="1" customWidth="1"/>
    <col min="12813" max="12813" width="12.6640625" style="3957" customWidth="1"/>
    <col min="12814" max="12814" width="13.6640625" style="3957" customWidth="1"/>
    <col min="12815" max="12815" width="13.88671875" style="3957" bestFit="1" customWidth="1"/>
    <col min="12816" max="12816" width="19.6640625" style="3957" bestFit="1" customWidth="1"/>
    <col min="12817" max="12817" width="16.109375" style="3957" customWidth="1"/>
    <col min="12818" max="12818" width="16.6640625" style="3957" bestFit="1" customWidth="1"/>
    <col min="12819" max="12819" width="15.5546875" style="3957" bestFit="1" customWidth="1"/>
    <col min="12820" max="12820" width="20.5546875" style="3957" bestFit="1" customWidth="1"/>
    <col min="12821" max="12821" width="16.44140625" style="3957" bestFit="1" customWidth="1"/>
    <col min="12822" max="12822" width="14.33203125" style="3957" customWidth="1"/>
    <col min="12823" max="12823" width="12.88671875" style="3957" bestFit="1" customWidth="1"/>
    <col min="12824" max="12824" width="11.33203125" style="3957" bestFit="1" customWidth="1"/>
    <col min="12825" max="12825" width="12.5546875" style="3957" bestFit="1" customWidth="1"/>
    <col min="12826" max="12826" width="14" style="3957" bestFit="1" customWidth="1"/>
    <col min="12827" max="12827" width="6" style="3957" bestFit="1" customWidth="1"/>
    <col min="12828" max="12828" width="15" style="3957" customWidth="1"/>
    <col min="12829" max="12829" width="14.88671875" style="3957" bestFit="1" customWidth="1"/>
    <col min="12830" max="12830" width="16.109375" style="3957" bestFit="1" customWidth="1"/>
    <col min="12831" max="13057" width="9.109375" style="3957"/>
    <col min="13058" max="13058" width="24" style="3957" bestFit="1" customWidth="1"/>
    <col min="13059" max="13059" width="43.88671875" style="3957" customWidth="1"/>
    <col min="13060" max="13060" width="19.6640625" style="3957" bestFit="1" customWidth="1"/>
    <col min="13061" max="13061" width="12.44140625" style="3957" bestFit="1" customWidth="1"/>
    <col min="13062" max="13062" width="16.33203125" style="3957" bestFit="1" customWidth="1"/>
    <col min="13063" max="13063" width="13.44140625" style="3957" customWidth="1"/>
    <col min="13064" max="13064" width="15.33203125" style="3957" bestFit="1" customWidth="1"/>
    <col min="13065" max="13065" width="14.109375" style="3957" bestFit="1" customWidth="1"/>
    <col min="13066" max="13066" width="15.33203125" style="3957" customWidth="1"/>
    <col min="13067" max="13067" width="17.6640625" style="3957" customWidth="1"/>
    <col min="13068" max="13068" width="17" style="3957" bestFit="1" customWidth="1"/>
    <col min="13069" max="13069" width="12.6640625" style="3957" customWidth="1"/>
    <col min="13070" max="13070" width="13.6640625" style="3957" customWidth="1"/>
    <col min="13071" max="13071" width="13.88671875" style="3957" bestFit="1" customWidth="1"/>
    <col min="13072" max="13072" width="19.6640625" style="3957" bestFit="1" customWidth="1"/>
    <col min="13073" max="13073" width="16.109375" style="3957" customWidth="1"/>
    <col min="13074" max="13074" width="16.6640625" style="3957" bestFit="1" customWidth="1"/>
    <col min="13075" max="13075" width="15.5546875" style="3957" bestFit="1" customWidth="1"/>
    <col min="13076" max="13076" width="20.5546875" style="3957" bestFit="1" customWidth="1"/>
    <col min="13077" max="13077" width="16.44140625" style="3957" bestFit="1" customWidth="1"/>
    <col min="13078" max="13078" width="14.33203125" style="3957" customWidth="1"/>
    <col min="13079" max="13079" width="12.88671875" style="3957" bestFit="1" customWidth="1"/>
    <col min="13080" max="13080" width="11.33203125" style="3957" bestFit="1" customWidth="1"/>
    <col min="13081" max="13081" width="12.5546875" style="3957" bestFit="1" customWidth="1"/>
    <col min="13082" max="13082" width="14" style="3957" bestFit="1" customWidth="1"/>
    <col min="13083" max="13083" width="6" style="3957" bestFit="1" customWidth="1"/>
    <col min="13084" max="13084" width="15" style="3957" customWidth="1"/>
    <col min="13085" max="13085" width="14.88671875" style="3957" bestFit="1" customWidth="1"/>
    <col min="13086" max="13086" width="16.109375" style="3957" bestFit="1" customWidth="1"/>
    <col min="13087" max="13313" width="9.109375" style="3957"/>
    <col min="13314" max="13314" width="24" style="3957" bestFit="1" customWidth="1"/>
    <col min="13315" max="13315" width="43.88671875" style="3957" customWidth="1"/>
    <col min="13316" max="13316" width="19.6640625" style="3957" bestFit="1" customWidth="1"/>
    <col min="13317" max="13317" width="12.44140625" style="3957" bestFit="1" customWidth="1"/>
    <col min="13318" max="13318" width="16.33203125" style="3957" bestFit="1" customWidth="1"/>
    <col min="13319" max="13319" width="13.44140625" style="3957" customWidth="1"/>
    <col min="13320" max="13320" width="15.33203125" style="3957" bestFit="1" customWidth="1"/>
    <col min="13321" max="13321" width="14.109375" style="3957" bestFit="1" customWidth="1"/>
    <col min="13322" max="13322" width="15.33203125" style="3957" customWidth="1"/>
    <col min="13323" max="13323" width="17.6640625" style="3957" customWidth="1"/>
    <col min="13324" max="13324" width="17" style="3957" bestFit="1" customWidth="1"/>
    <col min="13325" max="13325" width="12.6640625" style="3957" customWidth="1"/>
    <col min="13326" max="13326" width="13.6640625" style="3957" customWidth="1"/>
    <col min="13327" max="13327" width="13.88671875" style="3957" bestFit="1" customWidth="1"/>
    <col min="13328" max="13328" width="19.6640625" style="3957" bestFit="1" customWidth="1"/>
    <col min="13329" max="13329" width="16.109375" style="3957" customWidth="1"/>
    <col min="13330" max="13330" width="16.6640625" style="3957" bestFit="1" customWidth="1"/>
    <col min="13331" max="13331" width="15.5546875" style="3957" bestFit="1" customWidth="1"/>
    <col min="13332" max="13332" width="20.5546875" style="3957" bestFit="1" customWidth="1"/>
    <col min="13333" max="13333" width="16.44140625" style="3957" bestFit="1" customWidth="1"/>
    <col min="13334" max="13334" width="14.33203125" style="3957" customWidth="1"/>
    <col min="13335" max="13335" width="12.88671875" style="3957" bestFit="1" customWidth="1"/>
    <col min="13336" max="13336" width="11.33203125" style="3957" bestFit="1" customWidth="1"/>
    <col min="13337" max="13337" width="12.5546875" style="3957" bestFit="1" customWidth="1"/>
    <col min="13338" max="13338" width="14" style="3957" bestFit="1" customWidth="1"/>
    <col min="13339" max="13339" width="6" style="3957" bestFit="1" customWidth="1"/>
    <col min="13340" max="13340" width="15" style="3957" customWidth="1"/>
    <col min="13341" max="13341" width="14.88671875" style="3957" bestFit="1" customWidth="1"/>
    <col min="13342" max="13342" width="16.109375" style="3957" bestFit="1" customWidth="1"/>
    <col min="13343" max="13569" width="9.109375" style="3957"/>
    <col min="13570" max="13570" width="24" style="3957" bestFit="1" customWidth="1"/>
    <col min="13571" max="13571" width="43.88671875" style="3957" customWidth="1"/>
    <col min="13572" max="13572" width="19.6640625" style="3957" bestFit="1" customWidth="1"/>
    <col min="13573" max="13573" width="12.44140625" style="3957" bestFit="1" customWidth="1"/>
    <col min="13574" max="13574" width="16.33203125" style="3957" bestFit="1" customWidth="1"/>
    <col min="13575" max="13575" width="13.44140625" style="3957" customWidth="1"/>
    <col min="13576" max="13576" width="15.33203125" style="3957" bestFit="1" customWidth="1"/>
    <col min="13577" max="13577" width="14.109375" style="3957" bestFit="1" customWidth="1"/>
    <col min="13578" max="13578" width="15.33203125" style="3957" customWidth="1"/>
    <col min="13579" max="13579" width="17.6640625" style="3957" customWidth="1"/>
    <col min="13580" max="13580" width="17" style="3957" bestFit="1" customWidth="1"/>
    <col min="13581" max="13581" width="12.6640625" style="3957" customWidth="1"/>
    <col min="13582" max="13582" width="13.6640625" style="3957" customWidth="1"/>
    <col min="13583" max="13583" width="13.88671875" style="3957" bestFit="1" customWidth="1"/>
    <col min="13584" max="13584" width="19.6640625" style="3957" bestFit="1" customWidth="1"/>
    <col min="13585" max="13585" width="16.109375" style="3957" customWidth="1"/>
    <col min="13586" max="13586" width="16.6640625" style="3957" bestFit="1" customWidth="1"/>
    <col min="13587" max="13587" width="15.5546875" style="3957" bestFit="1" customWidth="1"/>
    <col min="13588" max="13588" width="20.5546875" style="3957" bestFit="1" customWidth="1"/>
    <col min="13589" max="13589" width="16.44140625" style="3957" bestFit="1" customWidth="1"/>
    <col min="13590" max="13590" width="14.33203125" style="3957" customWidth="1"/>
    <col min="13591" max="13591" width="12.88671875" style="3957" bestFit="1" customWidth="1"/>
    <col min="13592" max="13592" width="11.33203125" style="3957" bestFit="1" customWidth="1"/>
    <col min="13593" max="13593" width="12.5546875" style="3957" bestFit="1" customWidth="1"/>
    <col min="13594" max="13594" width="14" style="3957" bestFit="1" customWidth="1"/>
    <col min="13595" max="13595" width="6" style="3957" bestFit="1" customWidth="1"/>
    <col min="13596" max="13596" width="15" style="3957" customWidth="1"/>
    <col min="13597" max="13597" width="14.88671875" style="3957" bestFit="1" customWidth="1"/>
    <col min="13598" max="13598" width="16.109375" style="3957" bestFit="1" customWidth="1"/>
    <col min="13599" max="13825" width="9.109375" style="3957"/>
    <col min="13826" max="13826" width="24" style="3957" bestFit="1" customWidth="1"/>
    <col min="13827" max="13827" width="43.88671875" style="3957" customWidth="1"/>
    <col min="13828" max="13828" width="19.6640625" style="3957" bestFit="1" customWidth="1"/>
    <col min="13829" max="13829" width="12.44140625" style="3957" bestFit="1" customWidth="1"/>
    <col min="13830" max="13830" width="16.33203125" style="3957" bestFit="1" customWidth="1"/>
    <col min="13831" max="13831" width="13.44140625" style="3957" customWidth="1"/>
    <col min="13832" max="13832" width="15.33203125" style="3957" bestFit="1" customWidth="1"/>
    <col min="13833" max="13833" width="14.109375" style="3957" bestFit="1" customWidth="1"/>
    <col min="13834" max="13834" width="15.33203125" style="3957" customWidth="1"/>
    <col min="13835" max="13835" width="17.6640625" style="3957" customWidth="1"/>
    <col min="13836" max="13836" width="17" style="3957" bestFit="1" customWidth="1"/>
    <col min="13837" max="13837" width="12.6640625" style="3957" customWidth="1"/>
    <col min="13838" max="13838" width="13.6640625" style="3957" customWidth="1"/>
    <col min="13839" max="13839" width="13.88671875" style="3957" bestFit="1" customWidth="1"/>
    <col min="13840" max="13840" width="19.6640625" style="3957" bestFit="1" customWidth="1"/>
    <col min="13841" max="13841" width="16.109375" style="3957" customWidth="1"/>
    <col min="13842" max="13842" width="16.6640625" style="3957" bestFit="1" customWidth="1"/>
    <col min="13843" max="13843" width="15.5546875" style="3957" bestFit="1" customWidth="1"/>
    <col min="13844" max="13844" width="20.5546875" style="3957" bestFit="1" customWidth="1"/>
    <col min="13845" max="13845" width="16.44140625" style="3957" bestFit="1" customWidth="1"/>
    <col min="13846" max="13846" width="14.33203125" style="3957" customWidth="1"/>
    <col min="13847" max="13847" width="12.88671875" style="3957" bestFit="1" customWidth="1"/>
    <col min="13848" max="13848" width="11.33203125" style="3957" bestFit="1" customWidth="1"/>
    <col min="13849" max="13849" width="12.5546875" style="3957" bestFit="1" customWidth="1"/>
    <col min="13850" max="13850" width="14" style="3957" bestFit="1" customWidth="1"/>
    <col min="13851" max="13851" width="6" style="3957" bestFit="1" customWidth="1"/>
    <col min="13852" max="13852" width="15" style="3957" customWidth="1"/>
    <col min="13853" max="13853" width="14.88671875" style="3957" bestFit="1" customWidth="1"/>
    <col min="13854" max="13854" width="16.109375" style="3957" bestFit="1" customWidth="1"/>
    <col min="13855" max="14081" width="9.109375" style="3957"/>
    <col min="14082" max="14082" width="24" style="3957" bestFit="1" customWidth="1"/>
    <col min="14083" max="14083" width="43.88671875" style="3957" customWidth="1"/>
    <col min="14084" max="14084" width="19.6640625" style="3957" bestFit="1" customWidth="1"/>
    <col min="14085" max="14085" width="12.44140625" style="3957" bestFit="1" customWidth="1"/>
    <col min="14086" max="14086" width="16.33203125" style="3957" bestFit="1" customWidth="1"/>
    <col min="14087" max="14087" width="13.44140625" style="3957" customWidth="1"/>
    <col min="14088" max="14088" width="15.33203125" style="3957" bestFit="1" customWidth="1"/>
    <col min="14089" max="14089" width="14.109375" style="3957" bestFit="1" customWidth="1"/>
    <col min="14090" max="14090" width="15.33203125" style="3957" customWidth="1"/>
    <col min="14091" max="14091" width="17.6640625" style="3957" customWidth="1"/>
    <col min="14092" max="14092" width="17" style="3957" bestFit="1" customWidth="1"/>
    <col min="14093" max="14093" width="12.6640625" style="3957" customWidth="1"/>
    <col min="14094" max="14094" width="13.6640625" style="3957" customWidth="1"/>
    <col min="14095" max="14095" width="13.88671875" style="3957" bestFit="1" customWidth="1"/>
    <col min="14096" max="14096" width="19.6640625" style="3957" bestFit="1" customWidth="1"/>
    <col min="14097" max="14097" width="16.109375" style="3957" customWidth="1"/>
    <col min="14098" max="14098" width="16.6640625" style="3957" bestFit="1" customWidth="1"/>
    <col min="14099" max="14099" width="15.5546875" style="3957" bestFit="1" customWidth="1"/>
    <col min="14100" max="14100" width="20.5546875" style="3957" bestFit="1" customWidth="1"/>
    <col min="14101" max="14101" width="16.44140625" style="3957" bestFit="1" customWidth="1"/>
    <col min="14102" max="14102" width="14.33203125" style="3957" customWidth="1"/>
    <col min="14103" max="14103" width="12.88671875" style="3957" bestFit="1" customWidth="1"/>
    <col min="14104" max="14104" width="11.33203125" style="3957" bestFit="1" customWidth="1"/>
    <col min="14105" max="14105" width="12.5546875" style="3957" bestFit="1" customWidth="1"/>
    <col min="14106" max="14106" width="14" style="3957" bestFit="1" customWidth="1"/>
    <col min="14107" max="14107" width="6" style="3957" bestFit="1" customWidth="1"/>
    <col min="14108" max="14108" width="15" style="3957" customWidth="1"/>
    <col min="14109" max="14109" width="14.88671875" style="3957" bestFit="1" customWidth="1"/>
    <col min="14110" max="14110" width="16.109375" style="3957" bestFit="1" customWidth="1"/>
    <col min="14111" max="14337" width="9.109375" style="3957"/>
    <col min="14338" max="14338" width="24" style="3957" bestFit="1" customWidth="1"/>
    <col min="14339" max="14339" width="43.88671875" style="3957" customWidth="1"/>
    <col min="14340" max="14340" width="19.6640625" style="3957" bestFit="1" customWidth="1"/>
    <col min="14341" max="14341" width="12.44140625" style="3957" bestFit="1" customWidth="1"/>
    <col min="14342" max="14342" width="16.33203125" style="3957" bestFit="1" customWidth="1"/>
    <col min="14343" max="14343" width="13.44140625" style="3957" customWidth="1"/>
    <col min="14344" max="14344" width="15.33203125" style="3957" bestFit="1" customWidth="1"/>
    <col min="14345" max="14345" width="14.109375" style="3957" bestFit="1" customWidth="1"/>
    <col min="14346" max="14346" width="15.33203125" style="3957" customWidth="1"/>
    <col min="14347" max="14347" width="17.6640625" style="3957" customWidth="1"/>
    <col min="14348" max="14348" width="17" style="3957" bestFit="1" customWidth="1"/>
    <col min="14349" max="14349" width="12.6640625" style="3957" customWidth="1"/>
    <col min="14350" max="14350" width="13.6640625" style="3957" customWidth="1"/>
    <col min="14351" max="14351" width="13.88671875" style="3957" bestFit="1" customWidth="1"/>
    <col min="14352" max="14352" width="19.6640625" style="3957" bestFit="1" customWidth="1"/>
    <col min="14353" max="14353" width="16.109375" style="3957" customWidth="1"/>
    <col min="14354" max="14354" width="16.6640625" style="3957" bestFit="1" customWidth="1"/>
    <col min="14355" max="14355" width="15.5546875" style="3957" bestFit="1" customWidth="1"/>
    <col min="14356" max="14356" width="20.5546875" style="3957" bestFit="1" customWidth="1"/>
    <col min="14357" max="14357" width="16.44140625" style="3957" bestFit="1" customWidth="1"/>
    <col min="14358" max="14358" width="14.33203125" style="3957" customWidth="1"/>
    <col min="14359" max="14359" width="12.88671875" style="3957" bestFit="1" customWidth="1"/>
    <col min="14360" max="14360" width="11.33203125" style="3957" bestFit="1" customWidth="1"/>
    <col min="14361" max="14361" width="12.5546875" style="3957" bestFit="1" customWidth="1"/>
    <col min="14362" max="14362" width="14" style="3957" bestFit="1" customWidth="1"/>
    <col min="14363" max="14363" width="6" style="3957" bestFit="1" customWidth="1"/>
    <col min="14364" max="14364" width="15" style="3957" customWidth="1"/>
    <col min="14365" max="14365" width="14.88671875" style="3957" bestFit="1" customWidth="1"/>
    <col min="14366" max="14366" width="16.109375" style="3957" bestFit="1" customWidth="1"/>
    <col min="14367" max="14593" width="9.109375" style="3957"/>
    <col min="14594" max="14594" width="24" style="3957" bestFit="1" customWidth="1"/>
    <col min="14595" max="14595" width="43.88671875" style="3957" customWidth="1"/>
    <col min="14596" max="14596" width="19.6640625" style="3957" bestFit="1" customWidth="1"/>
    <col min="14597" max="14597" width="12.44140625" style="3957" bestFit="1" customWidth="1"/>
    <col min="14598" max="14598" width="16.33203125" style="3957" bestFit="1" customWidth="1"/>
    <col min="14599" max="14599" width="13.44140625" style="3957" customWidth="1"/>
    <col min="14600" max="14600" width="15.33203125" style="3957" bestFit="1" customWidth="1"/>
    <col min="14601" max="14601" width="14.109375" style="3957" bestFit="1" customWidth="1"/>
    <col min="14602" max="14602" width="15.33203125" style="3957" customWidth="1"/>
    <col min="14603" max="14603" width="17.6640625" style="3957" customWidth="1"/>
    <col min="14604" max="14604" width="17" style="3957" bestFit="1" customWidth="1"/>
    <col min="14605" max="14605" width="12.6640625" style="3957" customWidth="1"/>
    <col min="14606" max="14606" width="13.6640625" style="3957" customWidth="1"/>
    <col min="14607" max="14607" width="13.88671875" style="3957" bestFit="1" customWidth="1"/>
    <col min="14608" max="14608" width="19.6640625" style="3957" bestFit="1" customWidth="1"/>
    <col min="14609" max="14609" width="16.109375" style="3957" customWidth="1"/>
    <col min="14610" max="14610" width="16.6640625" style="3957" bestFit="1" customWidth="1"/>
    <col min="14611" max="14611" width="15.5546875" style="3957" bestFit="1" customWidth="1"/>
    <col min="14612" max="14612" width="20.5546875" style="3957" bestFit="1" customWidth="1"/>
    <col min="14613" max="14613" width="16.44140625" style="3957" bestFit="1" customWidth="1"/>
    <col min="14614" max="14614" width="14.33203125" style="3957" customWidth="1"/>
    <col min="14615" max="14615" width="12.88671875" style="3957" bestFit="1" customWidth="1"/>
    <col min="14616" max="14616" width="11.33203125" style="3957" bestFit="1" customWidth="1"/>
    <col min="14617" max="14617" width="12.5546875" style="3957" bestFit="1" customWidth="1"/>
    <col min="14618" max="14618" width="14" style="3957" bestFit="1" customWidth="1"/>
    <col min="14619" max="14619" width="6" style="3957" bestFit="1" customWidth="1"/>
    <col min="14620" max="14620" width="15" style="3957" customWidth="1"/>
    <col min="14621" max="14621" width="14.88671875" style="3957" bestFit="1" customWidth="1"/>
    <col min="14622" max="14622" width="16.109375" style="3957" bestFit="1" customWidth="1"/>
    <col min="14623" max="14849" width="9.109375" style="3957"/>
    <col min="14850" max="14850" width="24" style="3957" bestFit="1" customWidth="1"/>
    <col min="14851" max="14851" width="43.88671875" style="3957" customWidth="1"/>
    <col min="14852" max="14852" width="19.6640625" style="3957" bestFit="1" customWidth="1"/>
    <col min="14853" max="14853" width="12.44140625" style="3957" bestFit="1" customWidth="1"/>
    <col min="14854" max="14854" width="16.33203125" style="3957" bestFit="1" customWidth="1"/>
    <col min="14855" max="14855" width="13.44140625" style="3957" customWidth="1"/>
    <col min="14856" max="14856" width="15.33203125" style="3957" bestFit="1" customWidth="1"/>
    <col min="14857" max="14857" width="14.109375" style="3957" bestFit="1" customWidth="1"/>
    <col min="14858" max="14858" width="15.33203125" style="3957" customWidth="1"/>
    <col min="14859" max="14859" width="17.6640625" style="3957" customWidth="1"/>
    <col min="14860" max="14860" width="17" style="3957" bestFit="1" customWidth="1"/>
    <col min="14861" max="14861" width="12.6640625" style="3957" customWidth="1"/>
    <col min="14862" max="14862" width="13.6640625" style="3957" customWidth="1"/>
    <col min="14863" max="14863" width="13.88671875" style="3957" bestFit="1" customWidth="1"/>
    <col min="14864" max="14864" width="19.6640625" style="3957" bestFit="1" customWidth="1"/>
    <col min="14865" max="14865" width="16.109375" style="3957" customWidth="1"/>
    <col min="14866" max="14866" width="16.6640625" style="3957" bestFit="1" customWidth="1"/>
    <col min="14867" max="14867" width="15.5546875" style="3957" bestFit="1" customWidth="1"/>
    <col min="14868" max="14868" width="20.5546875" style="3957" bestFit="1" customWidth="1"/>
    <col min="14869" max="14869" width="16.44140625" style="3957" bestFit="1" customWidth="1"/>
    <col min="14870" max="14870" width="14.33203125" style="3957" customWidth="1"/>
    <col min="14871" max="14871" width="12.88671875" style="3957" bestFit="1" customWidth="1"/>
    <col min="14872" max="14872" width="11.33203125" style="3957" bestFit="1" customWidth="1"/>
    <col min="14873" max="14873" width="12.5546875" style="3957" bestFit="1" customWidth="1"/>
    <col min="14874" max="14874" width="14" style="3957" bestFit="1" customWidth="1"/>
    <col min="14875" max="14875" width="6" style="3957" bestFit="1" customWidth="1"/>
    <col min="14876" max="14876" width="15" style="3957" customWidth="1"/>
    <col min="14877" max="14877" width="14.88671875" style="3957" bestFit="1" customWidth="1"/>
    <col min="14878" max="14878" width="16.109375" style="3957" bestFit="1" customWidth="1"/>
    <col min="14879" max="15105" width="9.109375" style="3957"/>
    <col min="15106" max="15106" width="24" style="3957" bestFit="1" customWidth="1"/>
    <col min="15107" max="15107" width="43.88671875" style="3957" customWidth="1"/>
    <col min="15108" max="15108" width="19.6640625" style="3957" bestFit="1" customWidth="1"/>
    <col min="15109" max="15109" width="12.44140625" style="3957" bestFit="1" customWidth="1"/>
    <col min="15110" max="15110" width="16.33203125" style="3957" bestFit="1" customWidth="1"/>
    <col min="15111" max="15111" width="13.44140625" style="3957" customWidth="1"/>
    <col min="15112" max="15112" width="15.33203125" style="3957" bestFit="1" customWidth="1"/>
    <col min="15113" max="15113" width="14.109375" style="3957" bestFit="1" customWidth="1"/>
    <col min="15114" max="15114" width="15.33203125" style="3957" customWidth="1"/>
    <col min="15115" max="15115" width="17.6640625" style="3957" customWidth="1"/>
    <col min="15116" max="15116" width="17" style="3957" bestFit="1" customWidth="1"/>
    <col min="15117" max="15117" width="12.6640625" style="3957" customWidth="1"/>
    <col min="15118" max="15118" width="13.6640625" style="3957" customWidth="1"/>
    <col min="15119" max="15119" width="13.88671875" style="3957" bestFit="1" customWidth="1"/>
    <col min="15120" max="15120" width="19.6640625" style="3957" bestFit="1" customWidth="1"/>
    <col min="15121" max="15121" width="16.109375" style="3957" customWidth="1"/>
    <col min="15122" max="15122" width="16.6640625" style="3957" bestFit="1" customWidth="1"/>
    <col min="15123" max="15123" width="15.5546875" style="3957" bestFit="1" customWidth="1"/>
    <col min="15124" max="15124" width="20.5546875" style="3957" bestFit="1" customWidth="1"/>
    <col min="15125" max="15125" width="16.44140625" style="3957" bestFit="1" customWidth="1"/>
    <col min="15126" max="15126" width="14.33203125" style="3957" customWidth="1"/>
    <col min="15127" max="15127" width="12.88671875" style="3957" bestFit="1" customWidth="1"/>
    <col min="15128" max="15128" width="11.33203125" style="3957" bestFit="1" customWidth="1"/>
    <col min="15129" max="15129" width="12.5546875" style="3957" bestFit="1" customWidth="1"/>
    <col min="15130" max="15130" width="14" style="3957" bestFit="1" customWidth="1"/>
    <col min="15131" max="15131" width="6" style="3957" bestFit="1" customWidth="1"/>
    <col min="15132" max="15132" width="15" style="3957" customWidth="1"/>
    <col min="15133" max="15133" width="14.88671875" style="3957" bestFit="1" customWidth="1"/>
    <col min="15134" max="15134" width="16.109375" style="3957" bestFit="1" customWidth="1"/>
    <col min="15135" max="15361" width="9.109375" style="3957"/>
    <col min="15362" max="15362" width="24" style="3957" bestFit="1" customWidth="1"/>
    <col min="15363" max="15363" width="43.88671875" style="3957" customWidth="1"/>
    <col min="15364" max="15364" width="19.6640625" style="3957" bestFit="1" customWidth="1"/>
    <col min="15365" max="15365" width="12.44140625" style="3957" bestFit="1" customWidth="1"/>
    <col min="15366" max="15366" width="16.33203125" style="3957" bestFit="1" customWidth="1"/>
    <col min="15367" max="15367" width="13.44140625" style="3957" customWidth="1"/>
    <col min="15368" max="15368" width="15.33203125" style="3957" bestFit="1" customWidth="1"/>
    <col min="15369" max="15369" width="14.109375" style="3957" bestFit="1" customWidth="1"/>
    <col min="15370" max="15370" width="15.33203125" style="3957" customWidth="1"/>
    <col min="15371" max="15371" width="17.6640625" style="3957" customWidth="1"/>
    <col min="15372" max="15372" width="17" style="3957" bestFit="1" customWidth="1"/>
    <col min="15373" max="15373" width="12.6640625" style="3957" customWidth="1"/>
    <col min="15374" max="15374" width="13.6640625" style="3957" customWidth="1"/>
    <col min="15375" max="15375" width="13.88671875" style="3957" bestFit="1" customWidth="1"/>
    <col min="15376" max="15376" width="19.6640625" style="3957" bestFit="1" customWidth="1"/>
    <col min="15377" max="15377" width="16.109375" style="3957" customWidth="1"/>
    <col min="15378" max="15378" width="16.6640625" style="3957" bestFit="1" customWidth="1"/>
    <col min="15379" max="15379" width="15.5546875" style="3957" bestFit="1" customWidth="1"/>
    <col min="15380" max="15380" width="20.5546875" style="3957" bestFit="1" customWidth="1"/>
    <col min="15381" max="15381" width="16.44140625" style="3957" bestFit="1" customWidth="1"/>
    <col min="15382" max="15382" width="14.33203125" style="3957" customWidth="1"/>
    <col min="15383" max="15383" width="12.88671875" style="3957" bestFit="1" customWidth="1"/>
    <col min="15384" max="15384" width="11.33203125" style="3957" bestFit="1" customWidth="1"/>
    <col min="15385" max="15385" width="12.5546875" style="3957" bestFit="1" customWidth="1"/>
    <col min="15386" max="15386" width="14" style="3957" bestFit="1" customWidth="1"/>
    <col min="15387" max="15387" width="6" style="3957" bestFit="1" customWidth="1"/>
    <col min="15388" max="15388" width="15" style="3957" customWidth="1"/>
    <col min="15389" max="15389" width="14.88671875" style="3957" bestFit="1" customWidth="1"/>
    <col min="15390" max="15390" width="16.109375" style="3957" bestFit="1" customWidth="1"/>
    <col min="15391" max="15617" width="9.109375" style="3957"/>
    <col min="15618" max="15618" width="24" style="3957" bestFit="1" customWidth="1"/>
    <col min="15619" max="15619" width="43.88671875" style="3957" customWidth="1"/>
    <col min="15620" max="15620" width="19.6640625" style="3957" bestFit="1" customWidth="1"/>
    <col min="15621" max="15621" width="12.44140625" style="3957" bestFit="1" customWidth="1"/>
    <col min="15622" max="15622" width="16.33203125" style="3957" bestFit="1" customWidth="1"/>
    <col min="15623" max="15623" width="13.44140625" style="3957" customWidth="1"/>
    <col min="15624" max="15624" width="15.33203125" style="3957" bestFit="1" customWidth="1"/>
    <col min="15625" max="15625" width="14.109375" style="3957" bestFit="1" customWidth="1"/>
    <col min="15626" max="15626" width="15.33203125" style="3957" customWidth="1"/>
    <col min="15627" max="15627" width="17.6640625" style="3957" customWidth="1"/>
    <col min="15628" max="15628" width="17" style="3957" bestFit="1" customWidth="1"/>
    <col min="15629" max="15629" width="12.6640625" style="3957" customWidth="1"/>
    <col min="15630" max="15630" width="13.6640625" style="3957" customWidth="1"/>
    <col min="15631" max="15631" width="13.88671875" style="3957" bestFit="1" customWidth="1"/>
    <col min="15632" max="15632" width="19.6640625" style="3957" bestFit="1" customWidth="1"/>
    <col min="15633" max="15633" width="16.109375" style="3957" customWidth="1"/>
    <col min="15634" max="15634" width="16.6640625" style="3957" bestFit="1" customWidth="1"/>
    <col min="15635" max="15635" width="15.5546875" style="3957" bestFit="1" customWidth="1"/>
    <col min="15636" max="15636" width="20.5546875" style="3957" bestFit="1" customWidth="1"/>
    <col min="15637" max="15637" width="16.44140625" style="3957" bestFit="1" customWidth="1"/>
    <col min="15638" max="15638" width="14.33203125" style="3957" customWidth="1"/>
    <col min="15639" max="15639" width="12.88671875" style="3957" bestFit="1" customWidth="1"/>
    <col min="15640" max="15640" width="11.33203125" style="3957" bestFit="1" customWidth="1"/>
    <col min="15641" max="15641" width="12.5546875" style="3957" bestFit="1" customWidth="1"/>
    <col min="15642" max="15642" width="14" style="3957" bestFit="1" customWidth="1"/>
    <col min="15643" max="15643" width="6" style="3957" bestFit="1" customWidth="1"/>
    <col min="15644" max="15644" width="15" style="3957" customWidth="1"/>
    <col min="15645" max="15645" width="14.88671875" style="3957" bestFit="1" customWidth="1"/>
    <col min="15646" max="15646" width="16.109375" style="3957" bestFit="1" customWidth="1"/>
    <col min="15647" max="15873" width="9.109375" style="3957"/>
    <col min="15874" max="15874" width="24" style="3957" bestFit="1" customWidth="1"/>
    <col min="15875" max="15875" width="43.88671875" style="3957" customWidth="1"/>
    <col min="15876" max="15876" width="19.6640625" style="3957" bestFit="1" customWidth="1"/>
    <col min="15877" max="15877" width="12.44140625" style="3957" bestFit="1" customWidth="1"/>
    <col min="15878" max="15878" width="16.33203125" style="3957" bestFit="1" customWidth="1"/>
    <col min="15879" max="15879" width="13.44140625" style="3957" customWidth="1"/>
    <col min="15880" max="15880" width="15.33203125" style="3957" bestFit="1" customWidth="1"/>
    <col min="15881" max="15881" width="14.109375" style="3957" bestFit="1" customWidth="1"/>
    <col min="15882" max="15882" width="15.33203125" style="3957" customWidth="1"/>
    <col min="15883" max="15883" width="17.6640625" style="3957" customWidth="1"/>
    <col min="15884" max="15884" width="17" style="3957" bestFit="1" customWidth="1"/>
    <col min="15885" max="15885" width="12.6640625" style="3957" customWidth="1"/>
    <col min="15886" max="15886" width="13.6640625" style="3957" customWidth="1"/>
    <col min="15887" max="15887" width="13.88671875" style="3957" bestFit="1" customWidth="1"/>
    <col min="15888" max="15888" width="19.6640625" style="3957" bestFit="1" customWidth="1"/>
    <col min="15889" max="15889" width="16.109375" style="3957" customWidth="1"/>
    <col min="15890" max="15890" width="16.6640625" style="3957" bestFit="1" customWidth="1"/>
    <col min="15891" max="15891" width="15.5546875" style="3957" bestFit="1" customWidth="1"/>
    <col min="15892" max="15892" width="20.5546875" style="3957" bestFit="1" customWidth="1"/>
    <col min="15893" max="15893" width="16.44140625" style="3957" bestFit="1" customWidth="1"/>
    <col min="15894" max="15894" width="14.33203125" style="3957" customWidth="1"/>
    <col min="15895" max="15895" width="12.88671875" style="3957" bestFit="1" customWidth="1"/>
    <col min="15896" max="15896" width="11.33203125" style="3957" bestFit="1" customWidth="1"/>
    <col min="15897" max="15897" width="12.5546875" style="3957" bestFit="1" customWidth="1"/>
    <col min="15898" max="15898" width="14" style="3957" bestFit="1" customWidth="1"/>
    <col min="15899" max="15899" width="6" style="3957" bestFit="1" customWidth="1"/>
    <col min="15900" max="15900" width="15" style="3957" customWidth="1"/>
    <col min="15901" max="15901" width="14.88671875" style="3957" bestFit="1" customWidth="1"/>
    <col min="15902" max="15902" width="16.109375" style="3957" bestFit="1" customWidth="1"/>
    <col min="15903" max="16129" width="9.109375" style="3957"/>
    <col min="16130" max="16130" width="24" style="3957" bestFit="1" customWidth="1"/>
    <col min="16131" max="16131" width="43.88671875" style="3957" customWidth="1"/>
    <col min="16132" max="16132" width="19.6640625" style="3957" bestFit="1" customWidth="1"/>
    <col min="16133" max="16133" width="12.44140625" style="3957" bestFit="1" customWidth="1"/>
    <col min="16134" max="16134" width="16.33203125" style="3957" bestFit="1" customWidth="1"/>
    <col min="16135" max="16135" width="13.44140625" style="3957" customWidth="1"/>
    <col min="16136" max="16136" width="15.33203125" style="3957" bestFit="1" customWidth="1"/>
    <col min="16137" max="16137" width="14.109375" style="3957" bestFit="1" customWidth="1"/>
    <col min="16138" max="16138" width="15.33203125" style="3957" customWidth="1"/>
    <col min="16139" max="16139" width="17.6640625" style="3957" customWidth="1"/>
    <col min="16140" max="16140" width="17" style="3957" bestFit="1" customWidth="1"/>
    <col min="16141" max="16141" width="12.6640625" style="3957" customWidth="1"/>
    <col min="16142" max="16142" width="13.6640625" style="3957" customWidth="1"/>
    <col min="16143" max="16143" width="13.88671875" style="3957" bestFit="1" customWidth="1"/>
    <col min="16144" max="16144" width="19.6640625" style="3957" bestFit="1" customWidth="1"/>
    <col min="16145" max="16145" width="16.109375" style="3957" customWidth="1"/>
    <col min="16146" max="16146" width="16.6640625" style="3957" bestFit="1" customWidth="1"/>
    <col min="16147" max="16147" width="15.5546875" style="3957" bestFit="1" customWidth="1"/>
    <col min="16148" max="16148" width="20.5546875" style="3957" bestFit="1" customWidth="1"/>
    <col min="16149" max="16149" width="16.44140625" style="3957" bestFit="1" customWidth="1"/>
    <col min="16150" max="16150" width="14.33203125" style="3957" customWidth="1"/>
    <col min="16151" max="16151" width="12.88671875" style="3957" bestFit="1" customWidth="1"/>
    <col min="16152" max="16152" width="11.33203125" style="3957" bestFit="1" customWidth="1"/>
    <col min="16153" max="16153" width="12.5546875" style="3957" bestFit="1" customWidth="1"/>
    <col min="16154" max="16154" width="14" style="3957" bestFit="1" customWidth="1"/>
    <col min="16155" max="16155" width="6" style="3957" bestFit="1" customWidth="1"/>
    <col min="16156" max="16156" width="15" style="3957" customWidth="1"/>
    <col min="16157" max="16157" width="14.88671875" style="3957" bestFit="1" customWidth="1"/>
    <col min="16158" max="16158" width="16.109375" style="3957" bestFit="1" customWidth="1"/>
    <col min="16159" max="16384" width="9.109375" style="3957"/>
  </cols>
  <sheetData>
    <row r="1" spans="2:22" ht="42.75" customHeight="1" thickBot="1" x14ac:dyDescent="0.35">
      <c r="B1" s="3936"/>
      <c r="F1" s="3961"/>
      <c r="G1" s="3961" t="str">
        <f>C3</f>
        <v>18230432--Gas</v>
      </c>
      <c r="H1" s="3961" t="str">
        <f>C4</f>
        <v>Residential Home Appliances--Gas Savings</v>
      </c>
      <c r="I1" s="3961"/>
    </row>
    <row r="2" spans="2:22" ht="16.2" thickBot="1" x14ac:dyDescent="0.35">
      <c r="B2" s="3961" t="s">
        <v>131</v>
      </c>
      <c r="C2" s="3962" t="s">
        <v>632</v>
      </c>
      <c r="G2" s="3963" t="s">
        <v>8</v>
      </c>
      <c r="Q2" s="4765" t="s">
        <v>612</v>
      </c>
      <c r="R2" s="4765"/>
      <c r="S2" s="4762" t="s">
        <v>132</v>
      </c>
      <c r="T2" s="4763"/>
      <c r="U2" s="4764"/>
      <c r="V2" s="4766" t="s">
        <v>133</v>
      </c>
    </row>
    <row r="3" spans="2:22" ht="16.2" thickBot="1" x14ac:dyDescent="0.35">
      <c r="B3" s="3962" t="s">
        <v>6</v>
      </c>
      <c r="C3" s="3962" t="s">
        <v>1222</v>
      </c>
      <c r="D3" s="4773" t="s">
        <v>1223</v>
      </c>
      <c r="G3" s="3964" t="s">
        <v>9</v>
      </c>
      <c r="H3" s="3965" t="s">
        <v>10</v>
      </c>
      <c r="I3" s="3965" t="s">
        <v>11</v>
      </c>
      <c r="J3" s="3965" t="s">
        <v>12</v>
      </c>
      <c r="K3" s="3965" t="s">
        <v>13</v>
      </c>
      <c r="L3" s="3965" t="s">
        <v>14</v>
      </c>
      <c r="M3" s="3965" t="s">
        <v>15</v>
      </c>
      <c r="N3" s="3965" t="s">
        <v>16</v>
      </c>
      <c r="O3" s="3965" t="s">
        <v>134</v>
      </c>
      <c r="P3" s="3965" t="s">
        <v>135</v>
      </c>
      <c r="Q3" s="3966" t="s">
        <v>18</v>
      </c>
      <c r="R3" s="3966" t="s">
        <v>136</v>
      </c>
      <c r="S3" s="3967" t="s">
        <v>137</v>
      </c>
      <c r="T3" s="3967" t="s">
        <v>12</v>
      </c>
      <c r="U3" s="3968" t="s">
        <v>138</v>
      </c>
      <c r="V3" s="4767"/>
    </row>
    <row r="4" spans="2:22" ht="16.2" thickBot="1" x14ac:dyDescent="0.35">
      <c r="B4" s="3962" t="s">
        <v>139</v>
      </c>
      <c r="C4" s="3962" t="s">
        <v>1221</v>
      </c>
      <c r="D4" s="4774"/>
      <c r="F4" s="3961">
        <v>2011</v>
      </c>
      <c r="G4" s="3969">
        <f>B12</f>
        <v>13836</v>
      </c>
      <c r="H4" s="3970">
        <f>B17</f>
        <v>5250</v>
      </c>
      <c r="I4" s="3970">
        <f>B22</f>
        <v>12024</v>
      </c>
      <c r="J4" s="3970">
        <f>B27</f>
        <v>30000</v>
      </c>
      <c r="K4" s="3970">
        <f>B32</f>
        <v>1500</v>
      </c>
      <c r="L4" s="3970">
        <f>B37</f>
        <v>74400</v>
      </c>
      <c r="M4" s="3970">
        <f>B42</f>
        <v>500</v>
      </c>
      <c r="N4" s="3970">
        <f>B47</f>
        <v>500</v>
      </c>
      <c r="O4" s="3970">
        <f>B52</f>
        <v>116400</v>
      </c>
      <c r="P4" s="3970">
        <v>0</v>
      </c>
      <c r="Q4" s="3971">
        <f>SUM(G4:P4)</f>
        <v>254410</v>
      </c>
      <c r="R4" s="4035"/>
      <c r="S4" s="4078">
        <f>O4/Q4</f>
        <v>0.4575291851735388</v>
      </c>
      <c r="T4" s="4078">
        <f>(J4+(H4*1.63))/Q4</f>
        <v>0.15155654258873472</v>
      </c>
      <c r="U4" s="4078">
        <f>L4/Q4</f>
        <v>0.29244133485318974</v>
      </c>
      <c r="V4" s="3921" t="e">
        <f>Q4/R4</f>
        <v>#DIV/0!</v>
      </c>
    </row>
    <row r="5" spans="2:22" ht="16.2" thickBot="1" x14ac:dyDescent="0.35">
      <c r="B5" s="3961" t="s">
        <v>34</v>
      </c>
      <c r="D5" s="4775"/>
      <c r="F5" s="3961">
        <v>2012</v>
      </c>
      <c r="G5" s="3972">
        <f>D12</f>
        <v>0</v>
      </c>
      <c r="H5" s="3973">
        <f>D17</f>
        <v>0</v>
      </c>
      <c r="I5" s="3973">
        <f>D22</f>
        <v>0</v>
      </c>
      <c r="J5" s="3973">
        <f>D27</f>
        <v>0</v>
      </c>
      <c r="K5" s="3973">
        <f>D32</f>
        <v>0</v>
      </c>
      <c r="L5" s="3973">
        <f>D37</f>
        <v>0</v>
      </c>
      <c r="M5" s="3973">
        <f>D42</f>
        <v>0</v>
      </c>
      <c r="N5" s="3973">
        <f>D47</f>
        <v>0</v>
      </c>
      <c r="O5" s="3973">
        <f>D52</f>
        <v>0</v>
      </c>
      <c r="P5" s="3973">
        <f>D53</f>
        <v>0</v>
      </c>
      <c r="Q5" s="3974">
        <f>SUM(G5:P5)</f>
        <v>0</v>
      </c>
      <c r="R5" s="4036">
        <f>P54</f>
        <v>40914.649999999994</v>
      </c>
      <c r="S5" s="4079" t="e">
        <f>O5/Q5</f>
        <v>#DIV/0!</v>
      </c>
      <c r="T5" s="4079" t="e">
        <f>(J5+(H5*1.63))/Q5</f>
        <v>#DIV/0!</v>
      </c>
      <c r="U5" s="4079" t="e">
        <f>L5/Q5</f>
        <v>#DIV/0!</v>
      </c>
      <c r="V5" s="3922">
        <f>Q5/R5</f>
        <v>0</v>
      </c>
    </row>
    <row r="6" spans="2:22" ht="16.2" thickBot="1" x14ac:dyDescent="0.35">
      <c r="C6" s="3961" t="s">
        <v>414</v>
      </c>
      <c r="F6" s="3961">
        <v>2013</v>
      </c>
      <c r="G6" s="4037">
        <f>E12</f>
        <v>0</v>
      </c>
      <c r="H6" s="4038">
        <f>E17</f>
        <v>0</v>
      </c>
      <c r="I6" s="4038">
        <f>E22</f>
        <v>0</v>
      </c>
      <c r="J6" s="4038">
        <f>E27</f>
        <v>0</v>
      </c>
      <c r="K6" s="4038">
        <f>E32</f>
        <v>0</v>
      </c>
      <c r="L6" s="4038">
        <f>E37</f>
        <v>0</v>
      </c>
      <c r="M6" s="4038">
        <f>E42</f>
        <v>0</v>
      </c>
      <c r="N6" s="4038">
        <f>E47</f>
        <v>0</v>
      </c>
      <c r="O6" s="4038">
        <f>E52</f>
        <v>0</v>
      </c>
      <c r="P6" s="4038">
        <f>E53</f>
        <v>0</v>
      </c>
      <c r="Q6" s="3974">
        <f>SUM(G6:P6)</f>
        <v>0</v>
      </c>
      <c r="R6" s="4036">
        <f>Q54</f>
        <v>38920</v>
      </c>
      <c r="S6" s="4079" t="e">
        <f>O6/Q6</f>
        <v>#DIV/0!</v>
      </c>
      <c r="T6" s="4079" t="e">
        <f>(J6+(H6*1.63))/Q6</f>
        <v>#DIV/0!</v>
      </c>
      <c r="U6" s="4079" t="e">
        <f>L6/Q6</f>
        <v>#DIV/0!</v>
      </c>
      <c r="V6" s="3922">
        <f>Q6/R6</f>
        <v>0</v>
      </c>
    </row>
    <row r="7" spans="2:22" ht="16.2" thickBot="1" x14ac:dyDescent="0.35">
      <c r="C7" s="3975" t="s">
        <v>415</v>
      </c>
      <c r="F7" s="4039" t="s">
        <v>178</v>
      </c>
      <c r="G7" s="4040">
        <f>SUM(G5:G6)</f>
        <v>0</v>
      </c>
      <c r="H7" s="4040">
        <f t="shared" ref="H7:P7" si="0">SUM(H5:H6)</f>
        <v>0</v>
      </c>
      <c r="I7" s="4040">
        <f t="shared" si="0"/>
        <v>0</v>
      </c>
      <c r="J7" s="4040">
        <f t="shared" si="0"/>
        <v>0</v>
      </c>
      <c r="K7" s="4040">
        <f t="shared" si="0"/>
        <v>0</v>
      </c>
      <c r="L7" s="4040">
        <f t="shared" si="0"/>
        <v>0</v>
      </c>
      <c r="M7" s="4040">
        <f t="shared" si="0"/>
        <v>0</v>
      </c>
      <c r="N7" s="4040">
        <f t="shared" si="0"/>
        <v>0</v>
      </c>
      <c r="O7" s="4040">
        <f t="shared" si="0"/>
        <v>0</v>
      </c>
      <c r="P7" s="4040">
        <f t="shared" si="0"/>
        <v>0</v>
      </c>
      <c r="Q7" s="4041">
        <f>SUM(G7:P7)</f>
        <v>0</v>
      </c>
      <c r="R7" s="4042">
        <f>R54</f>
        <v>79834.649999999994</v>
      </c>
      <c r="S7" s="4079" t="e">
        <f>O7/Q7</f>
        <v>#DIV/0!</v>
      </c>
      <c r="T7" s="4079" t="e">
        <f>(J7+(H7*1.63))/Q7</f>
        <v>#DIV/0!</v>
      </c>
      <c r="U7" s="4079" t="e">
        <f>L7/Q7</f>
        <v>#DIV/0!</v>
      </c>
      <c r="V7" s="3922">
        <f>Q7/R7</f>
        <v>0</v>
      </c>
    </row>
    <row r="9" spans="2:22" ht="14.4" thickBot="1" x14ac:dyDescent="0.35">
      <c r="C9" s="3976" t="s">
        <v>141</v>
      </c>
      <c r="D9" s="4768" t="s">
        <v>142</v>
      </c>
      <c r="E9" s="4768"/>
      <c r="I9" s="4769" t="s">
        <v>143</v>
      </c>
      <c r="J9" s="4769"/>
      <c r="K9" s="4769"/>
      <c r="L9" s="4769"/>
      <c r="M9" s="4761" t="s">
        <v>142</v>
      </c>
      <c r="N9" s="4761"/>
    </row>
    <row r="10" spans="2:22" ht="16.2" thickBot="1" x14ac:dyDescent="0.35">
      <c r="B10" s="3977" t="s">
        <v>144</v>
      </c>
      <c r="C10" s="4770" t="s">
        <v>145</v>
      </c>
      <c r="D10" s="4770"/>
      <c r="E10" s="4770"/>
      <c r="F10" s="4771"/>
      <c r="I10" s="4762" t="s">
        <v>146</v>
      </c>
      <c r="J10" s="4763"/>
      <c r="K10" s="4763"/>
      <c r="L10" s="4764"/>
      <c r="M10" s="4762" t="s">
        <v>147</v>
      </c>
      <c r="N10" s="4763"/>
      <c r="O10" s="4764"/>
      <c r="P10" s="4762" t="s">
        <v>148</v>
      </c>
      <c r="Q10" s="4763"/>
      <c r="R10" s="4764"/>
      <c r="T10" s="3978" t="s">
        <v>149</v>
      </c>
    </row>
    <row r="11" spans="2:22" ht="16.2" thickBot="1" x14ac:dyDescent="0.35">
      <c r="B11" s="3979">
        <v>2011</v>
      </c>
      <c r="C11" s="3980" t="s">
        <v>150</v>
      </c>
      <c r="D11" s="3981">
        <v>2012</v>
      </c>
      <c r="E11" s="3981">
        <v>2013</v>
      </c>
      <c r="F11" s="3981" t="s">
        <v>151</v>
      </c>
      <c r="H11" s="3982"/>
      <c r="I11" s="4757" t="s">
        <v>152</v>
      </c>
      <c r="J11" s="4758"/>
      <c r="K11" s="4759"/>
      <c r="L11" s="3983" t="s">
        <v>153</v>
      </c>
      <c r="M11" s="3984" t="s">
        <v>154</v>
      </c>
      <c r="N11" s="3985" t="s">
        <v>155</v>
      </c>
      <c r="O11" s="3986" t="s">
        <v>156</v>
      </c>
      <c r="P11" s="3984" t="s">
        <v>157</v>
      </c>
      <c r="Q11" s="3984" t="s">
        <v>158</v>
      </c>
      <c r="R11" s="3986" t="s">
        <v>159</v>
      </c>
      <c r="T11" s="3977" t="s">
        <v>160</v>
      </c>
    </row>
    <row r="12" spans="2:22" ht="14.4" thickBot="1" x14ac:dyDescent="0.35">
      <c r="B12" s="4045">
        <v>13836</v>
      </c>
      <c r="C12" s="3987" t="s">
        <v>161</v>
      </c>
      <c r="D12" s="3988">
        <f>SUM(D13:D16)</f>
        <v>0</v>
      </c>
      <c r="E12" s="3988">
        <f>SUM(E13:E16)</f>
        <v>0</v>
      </c>
      <c r="F12" s="3989">
        <f>D12+E12</f>
        <v>0</v>
      </c>
      <c r="H12" s="3960"/>
      <c r="I12" s="4091" t="s">
        <v>431</v>
      </c>
      <c r="J12" s="4092"/>
      <c r="K12" s="4093"/>
      <c r="L12" s="4094">
        <v>1.6</v>
      </c>
      <c r="M12" s="4095">
        <v>0</v>
      </c>
      <c r="N12" s="4095">
        <v>5250</v>
      </c>
      <c r="O12" s="3990">
        <f>M12+N12</f>
        <v>5250</v>
      </c>
      <c r="P12" s="3924">
        <f t="shared" ref="P12:R27" si="1">M12*$D62</f>
        <v>0</v>
      </c>
      <c r="Q12" s="3924">
        <f t="shared" si="1"/>
        <v>8400</v>
      </c>
      <c r="R12" s="3925">
        <f t="shared" si="1"/>
        <v>8400</v>
      </c>
      <c r="T12" s="4000">
        <v>64800</v>
      </c>
    </row>
    <row r="13" spans="2:22" ht="13.8" x14ac:dyDescent="0.3">
      <c r="B13" s="3991"/>
      <c r="C13" s="3992" t="s">
        <v>265</v>
      </c>
      <c r="D13" s="3993"/>
      <c r="E13" s="3993"/>
      <c r="F13" s="3993">
        <f>SUM(D13:E13)</f>
        <v>0</v>
      </c>
      <c r="H13" s="3960"/>
      <c r="I13" s="4088" t="s">
        <v>432</v>
      </c>
      <c r="J13" s="4089"/>
      <c r="K13" s="4090"/>
      <c r="L13" s="4094">
        <v>2.2000000000000002</v>
      </c>
      <c r="M13" s="4095">
        <v>0</v>
      </c>
      <c r="N13" s="4095">
        <v>7000</v>
      </c>
      <c r="O13" s="3990">
        <f t="shared" ref="O13:O53" si="2">M13+N13</f>
        <v>7000</v>
      </c>
      <c r="P13" s="3924">
        <f t="shared" si="1"/>
        <v>0</v>
      </c>
      <c r="Q13" s="3924">
        <f t="shared" si="1"/>
        <v>15400.000000000002</v>
      </c>
      <c r="R13" s="3925">
        <f t="shared" si="1"/>
        <v>15400.000000000002</v>
      </c>
      <c r="T13" s="4019"/>
    </row>
    <row r="14" spans="2:22" ht="13.8" x14ac:dyDescent="0.3">
      <c r="B14" s="3997"/>
      <c r="C14" s="3992" t="s">
        <v>417</v>
      </c>
      <c r="D14" s="3993"/>
      <c r="E14" s="3993"/>
      <c r="F14" s="3993">
        <f t="shared" ref="F14:F24" si="3">SUM(D14:E14)</f>
        <v>0</v>
      </c>
      <c r="H14" s="3960"/>
      <c r="I14" s="4088" t="s">
        <v>433</v>
      </c>
      <c r="J14" s="4089"/>
      <c r="K14" s="4090"/>
      <c r="L14" s="4094">
        <v>2.4</v>
      </c>
      <c r="M14" s="4095">
        <v>0</v>
      </c>
      <c r="N14" s="4095">
        <v>6300</v>
      </c>
      <c r="O14" s="3990">
        <f t="shared" si="2"/>
        <v>6300</v>
      </c>
      <c r="P14" s="3924">
        <f t="shared" si="1"/>
        <v>0</v>
      </c>
      <c r="Q14" s="3924">
        <f t="shared" si="1"/>
        <v>15120</v>
      </c>
      <c r="R14" s="3925">
        <f t="shared" si="1"/>
        <v>15120</v>
      </c>
      <c r="T14" s="4019"/>
    </row>
    <row r="15" spans="2:22" ht="13.8" x14ac:dyDescent="0.3">
      <c r="B15" s="3997"/>
      <c r="C15" s="3998" t="s">
        <v>418</v>
      </c>
      <c r="D15" s="3993"/>
      <c r="E15" s="3993"/>
      <c r="F15" s="3993">
        <f t="shared" si="3"/>
        <v>0</v>
      </c>
      <c r="H15" s="3960"/>
      <c r="I15" s="4088" t="s">
        <v>434</v>
      </c>
      <c r="J15" s="4089"/>
      <c r="K15" s="4090"/>
      <c r="L15" s="4094">
        <v>0</v>
      </c>
      <c r="M15" s="4095">
        <v>1819.9999999999998</v>
      </c>
      <c r="N15" s="4095">
        <v>0</v>
      </c>
      <c r="O15" s="3990">
        <f t="shared" si="2"/>
        <v>1819.9999999999998</v>
      </c>
      <c r="P15" s="3924">
        <f t="shared" si="1"/>
        <v>0</v>
      </c>
      <c r="Q15" s="3924">
        <f t="shared" si="1"/>
        <v>0</v>
      </c>
      <c r="R15" s="3925">
        <f t="shared" si="1"/>
        <v>0</v>
      </c>
      <c r="T15" s="4019"/>
    </row>
    <row r="16" spans="2:22" ht="14.4" thickBot="1" x14ac:dyDescent="0.35">
      <c r="B16" s="3997"/>
      <c r="C16" s="3998" t="s">
        <v>419</v>
      </c>
      <c r="D16" s="3993"/>
      <c r="E16" s="3993"/>
      <c r="F16" s="3993">
        <f t="shared" si="3"/>
        <v>0</v>
      </c>
      <c r="H16" s="3960"/>
      <c r="I16" s="4088" t="s">
        <v>435</v>
      </c>
      <c r="J16" s="4089"/>
      <c r="K16" s="4090"/>
      <c r="L16" s="4094">
        <v>0</v>
      </c>
      <c r="M16" s="4095">
        <v>2450</v>
      </c>
      <c r="N16" s="4095">
        <v>0</v>
      </c>
      <c r="O16" s="3990">
        <f t="shared" si="2"/>
        <v>2450</v>
      </c>
      <c r="P16" s="3924">
        <f t="shared" si="1"/>
        <v>0</v>
      </c>
      <c r="Q16" s="3924">
        <f t="shared" si="1"/>
        <v>0</v>
      </c>
      <c r="R16" s="3925">
        <f t="shared" si="1"/>
        <v>0</v>
      </c>
      <c r="T16" s="4019"/>
    </row>
    <row r="17" spans="2:20" ht="14.4" thickBot="1" x14ac:dyDescent="0.35">
      <c r="B17" s="4004">
        <v>5250</v>
      </c>
      <c r="C17" s="3987" t="s">
        <v>166</v>
      </c>
      <c r="D17" s="3988">
        <f>SUM(D18:D21)</f>
        <v>0</v>
      </c>
      <c r="E17" s="3988">
        <f>SUM(E18:E21)</f>
        <v>0</v>
      </c>
      <c r="F17" s="3989">
        <f>D17+E17</f>
        <v>0</v>
      </c>
      <c r="H17" s="3960"/>
      <c r="I17" s="4088" t="s">
        <v>436</v>
      </c>
      <c r="J17" s="4089"/>
      <c r="K17" s="4090"/>
      <c r="L17" s="4094">
        <v>0</v>
      </c>
      <c r="M17" s="4095">
        <v>2334.5</v>
      </c>
      <c r="N17" s="4095">
        <v>0</v>
      </c>
      <c r="O17" s="3990">
        <f t="shared" si="2"/>
        <v>2334.5</v>
      </c>
      <c r="P17" s="3924">
        <f t="shared" si="1"/>
        <v>0</v>
      </c>
      <c r="Q17" s="3924">
        <f t="shared" si="1"/>
        <v>0</v>
      </c>
      <c r="R17" s="3925">
        <f t="shared" si="1"/>
        <v>0</v>
      </c>
      <c r="T17" s="4019"/>
    </row>
    <row r="18" spans="2:20" ht="13.8" x14ac:dyDescent="0.3">
      <c r="B18" s="3991"/>
      <c r="C18" s="4030" t="s">
        <v>420</v>
      </c>
      <c r="D18" s="4031"/>
      <c r="E18" s="4031"/>
      <c r="F18" s="3993">
        <f t="shared" si="3"/>
        <v>0</v>
      </c>
      <c r="H18" s="3960"/>
      <c r="I18" s="4088" t="s">
        <v>437</v>
      </c>
      <c r="J18" s="4089"/>
      <c r="K18" s="4090"/>
      <c r="L18" s="4094">
        <v>2.5</v>
      </c>
      <c r="M18" s="4095">
        <v>31.499999999999996</v>
      </c>
      <c r="N18" s="4095">
        <v>0</v>
      </c>
      <c r="O18" s="3990">
        <f t="shared" si="2"/>
        <v>31.499999999999996</v>
      </c>
      <c r="P18" s="3924">
        <f t="shared" si="1"/>
        <v>78.749999999999986</v>
      </c>
      <c r="Q18" s="3924">
        <f t="shared" si="1"/>
        <v>0</v>
      </c>
      <c r="R18" s="3925">
        <f t="shared" si="1"/>
        <v>78.749999999999986</v>
      </c>
      <c r="T18" s="4019"/>
    </row>
    <row r="19" spans="2:20" ht="13.8" x14ac:dyDescent="0.3">
      <c r="B19" s="3997"/>
      <c r="C19" s="4032" t="s">
        <v>421</v>
      </c>
      <c r="D19" s="4031"/>
      <c r="E19" s="4031"/>
      <c r="F19" s="3993">
        <f t="shared" si="3"/>
        <v>0</v>
      </c>
      <c r="H19" s="3960"/>
      <c r="I19" s="4088" t="s">
        <v>438</v>
      </c>
      <c r="J19" s="4089"/>
      <c r="K19" s="4090"/>
      <c r="L19" s="4094">
        <v>4.2</v>
      </c>
      <c r="M19" s="4095">
        <v>45.5</v>
      </c>
      <c r="N19" s="4095">
        <v>0</v>
      </c>
      <c r="O19" s="3990">
        <f t="shared" si="2"/>
        <v>45.5</v>
      </c>
      <c r="P19" s="3924">
        <f t="shared" si="1"/>
        <v>191.1</v>
      </c>
      <c r="Q19" s="3924">
        <f t="shared" si="1"/>
        <v>0</v>
      </c>
      <c r="R19" s="3925">
        <f t="shared" si="1"/>
        <v>191.1</v>
      </c>
      <c r="T19" s="4019"/>
    </row>
    <row r="20" spans="2:20" ht="13.8" x14ac:dyDescent="0.3">
      <c r="B20" s="3997"/>
      <c r="C20" s="3998" t="s">
        <v>164</v>
      </c>
      <c r="D20" s="4001">
        <v>0</v>
      </c>
      <c r="E20" s="4001"/>
      <c r="F20" s="3993">
        <f t="shared" si="3"/>
        <v>0</v>
      </c>
      <c r="H20" s="3960"/>
      <c r="I20" s="4088" t="s">
        <v>439</v>
      </c>
      <c r="J20" s="4089"/>
      <c r="K20" s="4090"/>
      <c r="L20" s="4094">
        <v>4.8</v>
      </c>
      <c r="M20" s="4095">
        <v>38.5</v>
      </c>
      <c r="N20" s="4095">
        <v>0</v>
      </c>
      <c r="O20" s="3990">
        <f t="shared" si="2"/>
        <v>38.5</v>
      </c>
      <c r="P20" s="3924">
        <f t="shared" si="1"/>
        <v>184.79999999999998</v>
      </c>
      <c r="Q20" s="3924">
        <f t="shared" si="1"/>
        <v>0</v>
      </c>
      <c r="R20" s="3925">
        <f t="shared" si="1"/>
        <v>184.79999999999998</v>
      </c>
      <c r="T20" s="4019"/>
    </row>
    <row r="21" spans="2:20" ht="14.4" thickBot="1" x14ac:dyDescent="0.35">
      <c r="B21" s="3997"/>
      <c r="C21" s="3998" t="s">
        <v>165</v>
      </c>
      <c r="D21" s="4001">
        <v>0</v>
      </c>
      <c r="E21" s="4001"/>
      <c r="F21" s="3993">
        <f t="shared" si="3"/>
        <v>0</v>
      </c>
      <c r="H21" s="3960"/>
      <c r="I21" s="4088" t="s">
        <v>440</v>
      </c>
      <c r="J21" s="4089"/>
      <c r="K21" s="4090"/>
      <c r="L21" s="4094">
        <v>3.1</v>
      </c>
      <c r="M21" s="4095">
        <v>1889.9999999999998</v>
      </c>
      <c r="N21" s="4095">
        <v>0</v>
      </c>
      <c r="O21" s="3990">
        <f t="shared" si="2"/>
        <v>1889.9999999999998</v>
      </c>
      <c r="P21" s="3924">
        <f t="shared" si="1"/>
        <v>5858.9999999999991</v>
      </c>
      <c r="Q21" s="3924">
        <f t="shared" si="1"/>
        <v>0</v>
      </c>
      <c r="R21" s="3925">
        <f t="shared" si="1"/>
        <v>5858.9999999999991</v>
      </c>
      <c r="T21" s="4019"/>
    </row>
    <row r="22" spans="2:20" ht="14.4" thickBot="1" x14ac:dyDescent="0.35">
      <c r="B22" s="4004">
        <v>12024</v>
      </c>
      <c r="C22" s="3987" t="s">
        <v>167</v>
      </c>
      <c r="D22" s="3988">
        <f>SUM(D23:D26)</f>
        <v>0</v>
      </c>
      <c r="E22" s="3988">
        <f>SUM(E23:E26)</f>
        <v>0</v>
      </c>
      <c r="F22" s="3989">
        <f>D22+E22</f>
        <v>0</v>
      </c>
      <c r="G22" s="3959"/>
      <c r="H22" s="3960"/>
      <c r="I22" s="4088" t="s">
        <v>441</v>
      </c>
      <c r="J22" s="4089"/>
      <c r="K22" s="4090"/>
      <c r="L22" s="4094">
        <v>4</v>
      </c>
      <c r="M22" s="4095">
        <v>2590</v>
      </c>
      <c r="N22" s="4095">
        <v>0</v>
      </c>
      <c r="O22" s="3990">
        <f t="shared" si="2"/>
        <v>2590</v>
      </c>
      <c r="P22" s="3924">
        <f t="shared" si="1"/>
        <v>10360</v>
      </c>
      <c r="Q22" s="3924">
        <f t="shared" si="1"/>
        <v>0</v>
      </c>
      <c r="R22" s="3925">
        <f t="shared" si="1"/>
        <v>10360</v>
      </c>
      <c r="T22" s="4019"/>
    </row>
    <row r="23" spans="2:20" ht="13.8" x14ac:dyDescent="0.3">
      <c r="B23" s="3991"/>
      <c r="C23" s="3992" t="s">
        <v>168</v>
      </c>
      <c r="D23" s="3993">
        <f>0.63*D12</f>
        <v>0</v>
      </c>
      <c r="E23" s="3993">
        <f>0.63*E12</f>
        <v>0</v>
      </c>
      <c r="F23" s="3993">
        <f t="shared" si="3"/>
        <v>0</v>
      </c>
      <c r="H23" s="3960"/>
      <c r="I23" s="4088" t="s">
        <v>442</v>
      </c>
      <c r="J23" s="4089"/>
      <c r="K23" s="4090"/>
      <c r="L23" s="4094">
        <v>4.3</v>
      </c>
      <c r="M23" s="4095">
        <v>2450</v>
      </c>
      <c r="N23" s="4095">
        <v>0</v>
      </c>
      <c r="O23" s="3990">
        <f t="shared" si="2"/>
        <v>2450</v>
      </c>
      <c r="P23" s="3924">
        <f t="shared" si="1"/>
        <v>10535</v>
      </c>
      <c r="Q23" s="3924">
        <f t="shared" si="1"/>
        <v>0</v>
      </c>
      <c r="R23" s="3925">
        <f t="shared" si="1"/>
        <v>10535</v>
      </c>
      <c r="T23" s="4019"/>
    </row>
    <row r="24" spans="2:20" ht="13.8" x14ac:dyDescent="0.3">
      <c r="B24" s="3991"/>
      <c r="C24" s="3992" t="s">
        <v>169</v>
      </c>
      <c r="D24" s="3999">
        <f>0.63*D17</f>
        <v>0</v>
      </c>
      <c r="E24" s="3999">
        <f>0.63*E17</f>
        <v>0</v>
      </c>
      <c r="F24" s="3993">
        <f t="shared" si="3"/>
        <v>0</v>
      </c>
      <c r="H24" s="3960"/>
      <c r="I24" s="4088" t="s">
        <v>443</v>
      </c>
      <c r="J24" s="4089"/>
      <c r="K24" s="4090"/>
      <c r="L24" s="4094">
        <v>5.6</v>
      </c>
      <c r="M24" s="4095">
        <v>489.99999999999994</v>
      </c>
      <c r="N24" s="4095">
        <v>0</v>
      </c>
      <c r="O24" s="3990">
        <f t="shared" si="2"/>
        <v>489.99999999999994</v>
      </c>
      <c r="P24" s="3924">
        <f t="shared" si="1"/>
        <v>2743.9999999999995</v>
      </c>
      <c r="Q24" s="3924">
        <f t="shared" si="1"/>
        <v>0</v>
      </c>
      <c r="R24" s="3925">
        <f t="shared" si="1"/>
        <v>2743.9999999999995</v>
      </c>
      <c r="T24" s="4019"/>
    </row>
    <row r="25" spans="2:20" ht="13.8" x14ac:dyDescent="0.3">
      <c r="B25" s="3997"/>
      <c r="C25" s="3998"/>
      <c r="D25" s="4001"/>
      <c r="E25" s="4001"/>
      <c r="F25" s="4001"/>
      <c r="H25" s="3960"/>
      <c r="I25" s="4088" t="s">
        <v>444</v>
      </c>
      <c r="J25" s="4089"/>
      <c r="K25" s="4090"/>
      <c r="L25" s="4094">
        <v>8.3000000000000007</v>
      </c>
      <c r="M25" s="4095">
        <v>630</v>
      </c>
      <c r="N25" s="4095">
        <v>0</v>
      </c>
      <c r="O25" s="3990">
        <f t="shared" si="2"/>
        <v>630</v>
      </c>
      <c r="P25" s="3924">
        <f t="shared" si="1"/>
        <v>5229</v>
      </c>
      <c r="Q25" s="3924">
        <f t="shared" si="1"/>
        <v>0</v>
      </c>
      <c r="R25" s="3925">
        <f t="shared" si="1"/>
        <v>5229</v>
      </c>
      <c r="T25" s="4019"/>
    </row>
    <row r="26" spans="2:20" ht="14.4" thickBot="1" x14ac:dyDescent="0.35">
      <c r="B26" s="3997"/>
      <c r="C26" s="3998"/>
      <c r="D26" s="4001"/>
      <c r="E26" s="4001"/>
      <c r="F26" s="4001"/>
      <c r="H26" s="3960"/>
      <c r="I26" s="4088" t="s">
        <v>445</v>
      </c>
      <c r="J26" s="4089"/>
      <c r="K26" s="4090"/>
      <c r="L26" s="4094">
        <v>9.1</v>
      </c>
      <c r="M26" s="4095">
        <v>630</v>
      </c>
      <c r="N26" s="4095">
        <v>0</v>
      </c>
      <c r="O26" s="3990">
        <f t="shared" si="2"/>
        <v>630</v>
      </c>
      <c r="P26" s="3924">
        <f t="shared" si="1"/>
        <v>5733</v>
      </c>
      <c r="Q26" s="3924">
        <f t="shared" si="1"/>
        <v>0</v>
      </c>
      <c r="R26" s="3925">
        <f t="shared" si="1"/>
        <v>5733</v>
      </c>
      <c r="T26" s="4019"/>
    </row>
    <row r="27" spans="2:20" ht="14.4" thickBot="1" x14ac:dyDescent="0.35">
      <c r="B27" s="4004">
        <v>30000</v>
      </c>
      <c r="C27" s="3987" t="s">
        <v>170</v>
      </c>
      <c r="D27" s="3988">
        <f>SUM(D28:D31)</f>
        <v>0</v>
      </c>
      <c r="E27" s="3988">
        <f>SUM(E28:E31)</f>
        <v>0</v>
      </c>
      <c r="F27" s="3989">
        <f>D27+E27</f>
        <v>0</v>
      </c>
      <c r="H27" s="3960"/>
      <c r="I27" s="3994" t="str">
        <f t="shared" ref="I27:I53" si="4">C77</f>
        <v>Measure 16</v>
      </c>
      <c r="J27" s="3995"/>
      <c r="K27" s="3996"/>
      <c r="L27" s="4043">
        <f t="shared" ref="L27:L53" si="5">D77</f>
        <v>0</v>
      </c>
      <c r="M27" s="4000">
        <v>0</v>
      </c>
      <c r="N27" s="4000">
        <v>0</v>
      </c>
      <c r="O27" s="3990">
        <f t="shared" si="2"/>
        <v>0</v>
      </c>
      <c r="P27" s="3924">
        <f t="shared" si="1"/>
        <v>0</v>
      </c>
      <c r="Q27" s="3924">
        <f t="shared" si="1"/>
        <v>0</v>
      </c>
      <c r="R27" s="3925">
        <f t="shared" si="1"/>
        <v>0</v>
      </c>
      <c r="T27" s="4019"/>
    </row>
    <row r="28" spans="2:20" ht="13.8" x14ac:dyDescent="0.3">
      <c r="B28" s="3991"/>
      <c r="C28" s="3992" t="s">
        <v>650</v>
      </c>
      <c r="D28" s="3993"/>
      <c r="E28" s="3993"/>
      <c r="F28" s="3993">
        <f t="shared" ref="F28:F36" si="6">SUM(D28:E28)</f>
        <v>0</v>
      </c>
      <c r="H28" s="3960"/>
      <c r="I28" s="3994" t="str">
        <f t="shared" si="4"/>
        <v>Measure 17</v>
      </c>
      <c r="J28" s="3995"/>
      <c r="K28" s="3996"/>
      <c r="L28" s="4043">
        <f t="shared" si="5"/>
        <v>0</v>
      </c>
      <c r="M28" s="4000">
        <v>0</v>
      </c>
      <c r="N28" s="4000">
        <v>0</v>
      </c>
      <c r="O28" s="3990">
        <f t="shared" si="2"/>
        <v>0</v>
      </c>
      <c r="P28" s="3924">
        <f t="shared" ref="P28:R43" si="7">M28*$D78</f>
        <v>0</v>
      </c>
      <c r="Q28" s="3924">
        <f t="shared" si="7"/>
        <v>0</v>
      </c>
      <c r="R28" s="3925">
        <f t="shared" si="7"/>
        <v>0</v>
      </c>
      <c r="T28" s="4019"/>
    </row>
    <row r="29" spans="2:20" ht="13.8" x14ac:dyDescent="0.3">
      <c r="B29" s="3997"/>
      <c r="C29" s="3998" t="s">
        <v>163</v>
      </c>
      <c r="D29" s="3999">
        <v>0</v>
      </c>
      <c r="E29" s="3999"/>
      <c r="F29" s="3993">
        <f t="shared" si="6"/>
        <v>0</v>
      </c>
      <c r="H29" s="3960"/>
      <c r="I29" s="3994" t="str">
        <f t="shared" si="4"/>
        <v>Measure 18</v>
      </c>
      <c r="J29" s="3995"/>
      <c r="K29" s="3996"/>
      <c r="L29" s="4043">
        <f t="shared" si="5"/>
        <v>0</v>
      </c>
      <c r="M29" s="4000">
        <v>0</v>
      </c>
      <c r="N29" s="4000">
        <v>0</v>
      </c>
      <c r="O29" s="3990">
        <f t="shared" si="2"/>
        <v>0</v>
      </c>
      <c r="P29" s="3924">
        <f t="shared" si="7"/>
        <v>0</v>
      </c>
      <c r="Q29" s="3924">
        <f t="shared" si="7"/>
        <v>0</v>
      </c>
      <c r="R29" s="3925">
        <f t="shared" si="7"/>
        <v>0</v>
      </c>
      <c r="T29" s="4019"/>
    </row>
    <row r="30" spans="2:20" ht="13.8" x14ac:dyDescent="0.3">
      <c r="B30" s="3997"/>
      <c r="C30" s="3998" t="s">
        <v>164</v>
      </c>
      <c r="D30" s="3999">
        <v>0</v>
      </c>
      <c r="E30" s="3999"/>
      <c r="F30" s="3993">
        <f t="shared" si="6"/>
        <v>0</v>
      </c>
      <c r="H30" s="3960"/>
      <c r="I30" s="3994" t="str">
        <f t="shared" si="4"/>
        <v>Measure 19</v>
      </c>
      <c r="J30" s="3995"/>
      <c r="K30" s="3996"/>
      <c r="L30" s="4043">
        <f t="shared" si="5"/>
        <v>0</v>
      </c>
      <c r="M30" s="4000">
        <v>0</v>
      </c>
      <c r="N30" s="4000">
        <v>0</v>
      </c>
      <c r="O30" s="3990">
        <f t="shared" si="2"/>
        <v>0</v>
      </c>
      <c r="P30" s="3924">
        <f t="shared" si="7"/>
        <v>0</v>
      </c>
      <c r="Q30" s="3924">
        <f t="shared" si="7"/>
        <v>0</v>
      </c>
      <c r="R30" s="3925">
        <f t="shared" si="7"/>
        <v>0</v>
      </c>
      <c r="T30" s="4019"/>
    </row>
    <row r="31" spans="2:20" ht="14.4" thickBot="1" x14ac:dyDescent="0.35">
      <c r="B31" s="3997"/>
      <c r="C31" s="3998" t="s">
        <v>165</v>
      </c>
      <c r="D31" s="3999">
        <v>0</v>
      </c>
      <c r="E31" s="3999"/>
      <c r="F31" s="3993">
        <f t="shared" si="6"/>
        <v>0</v>
      </c>
      <c r="H31" s="3960"/>
      <c r="I31" s="3994" t="str">
        <f t="shared" si="4"/>
        <v>Measure 20</v>
      </c>
      <c r="J31" s="3995"/>
      <c r="K31" s="3996"/>
      <c r="L31" s="4043">
        <f t="shared" si="5"/>
        <v>0</v>
      </c>
      <c r="M31" s="4000">
        <v>0</v>
      </c>
      <c r="N31" s="4000">
        <v>0</v>
      </c>
      <c r="O31" s="3990">
        <f t="shared" si="2"/>
        <v>0</v>
      </c>
      <c r="P31" s="3924">
        <f t="shared" si="7"/>
        <v>0</v>
      </c>
      <c r="Q31" s="3924">
        <f t="shared" si="7"/>
        <v>0</v>
      </c>
      <c r="R31" s="3925">
        <f t="shared" si="7"/>
        <v>0</v>
      </c>
      <c r="T31" s="4019"/>
    </row>
    <row r="32" spans="2:20" ht="14.4" thickBot="1" x14ac:dyDescent="0.35">
      <c r="B32" s="4004">
        <v>1500</v>
      </c>
      <c r="C32" s="3987" t="s">
        <v>171</v>
      </c>
      <c r="D32" s="3988">
        <f>SUM(D33:D36)</f>
        <v>0</v>
      </c>
      <c r="E32" s="3988">
        <f>SUM(E33:E36)</f>
        <v>0</v>
      </c>
      <c r="F32" s="3989">
        <f>D32+E32</f>
        <v>0</v>
      </c>
      <c r="H32" s="3960"/>
      <c r="I32" s="3994" t="str">
        <f t="shared" si="4"/>
        <v>Measure 21</v>
      </c>
      <c r="J32" s="3995"/>
      <c r="K32" s="3996"/>
      <c r="L32" s="4043">
        <f t="shared" si="5"/>
        <v>0</v>
      </c>
      <c r="M32" s="4000">
        <v>0</v>
      </c>
      <c r="N32" s="4000">
        <v>0</v>
      </c>
      <c r="O32" s="3990">
        <f t="shared" si="2"/>
        <v>0</v>
      </c>
      <c r="P32" s="3924">
        <f t="shared" si="7"/>
        <v>0</v>
      </c>
      <c r="Q32" s="3924">
        <f t="shared" si="7"/>
        <v>0</v>
      </c>
      <c r="R32" s="3925">
        <f t="shared" si="7"/>
        <v>0</v>
      </c>
      <c r="T32" s="4019"/>
    </row>
    <row r="33" spans="2:20" ht="13.8" x14ac:dyDescent="0.3">
      <c r="B33" s="3997"/>
      <c r="C33" s="3998" t="s">
        <v>162</v>
      </c>
      <c r="D33" s="3999">
        <v>0</v>
      </c>
      <c r="E33" s="3999">
        <v>0</v>
      </c>
      <c r="F33" s="3993">
        <f t="shared" si="6"/>
        <v>0</v>
      </c>
      <c r="H33" s="3960"/>
      <c r="I33" s="3994" t="str">
        <f t="shared" si="4"/>
        <v>Measure 22</v>
      </c>
      <c r="J33" s="3995"/>
      <c r="K33" s="3996"/>
      <c r="L33" s="4043">
        <f t="shared" si="5"/>
        <v>0</v>
      </c>
      <c r="M33" s="4000">
        <v>0</v>
      </c>
      <c r="N33" s="4000">
        <v>0</v>
      </c>
      <c r="O33" s="3990">
        <f t="shared" si="2"/>
        <v>0</v>
      </c>
      <c r="P33" s="3924">
        <f t="shared" si="7"/>
        <v>0</v>
      </c>
      <c r="Q33" s="3924">
        <f t="shared" si="7"/>
        <v>0</v>
      </c>
      <c r="R33" s="3925">
        <f t="shared" si="7"/>
        <v>0</v>
      </c>
      <c r="T33" s="4019"/>
    </row>
    <row r="34" spans="2:20" ht="13.8" x14ac:dyDescent="0.3">
      <c r="B34" s="3997"/>
      <c r="C34" s="3998" t="s">
        <v>163</v>
      </c>
      <c r="D34" s="3999">
        <v>0</v>
      </c>
      <c r="E34" s="3999"/>
      <c r="F34" s="3993">
        <f t="shared" si="6"/>
        <v>0</v>
      </c>
      <c r="H34" s="3960"/>
      <c r="I34" s="3994" t="str">
        <f t="shared" si="4"/>
        <v>Measure 23</v>
      </c>
      <c r="J34" s="3995"/>
      <c r="K34" s="3996"/>
      <c r="L34" s="4043">
        <f t="shared" si="5"/>
        <v>0</v>
      </c>
      <c r="M34" s="4000">
        <v>0</v>
      </c>
      <c r="N34" s="4000">
        <v>0</v>
      </c>
      <c r="O34" s="3990">
        <f t="shared" si="2"/>
        <v>0</v>
      </c>
      <c r="P34" s="3924">
        <f t="shared" si="7"/>
        <v>0</v>
      </c>
      <c r="Q34" s="3924">
        <f t="shared" si="7"/>
        <v>0</v>
      </c>
      <c r="R34" s="3925">
        <f t="shared" si="7"/>
        <v>0</v>
      </c>
      <c r="T34" s="4019"/>
    </row>
    <row r="35" spans="2:20" ht="13.8" x14ac:dyDescent="0.3">
      <c r="B35" s="3997"/>
      <c r="C35" s="3998" t="s">
        <v>164</v>
      </c>
      <c r="D35" s="3999">
        <v>0</v>
      </c>
      <c r="E35" s="3999"/>
      <c r="F35" s="3993">
        <f t="shared" si="6"/>
        <v>0</v>
      </c>
      <c r="H35" s="3960"/>
      <c r="I35" s="3994" t="str">
        <f t="shared" si="4"/>
        <v>Measure 24</v>
      </c>
      <c r="J35" s="3995"/>
      <c r="K35" s="3996"/>
      <c r="L35" s="4043">
        <f t="shared" si="5"/>
        <v>0</v>
      </c>
      <c r="M35" s="4000">
        <v>0</v>
      </c>
      <c r="N35" s="4000">
        <v>0</v>
      </c>
      <c r="O35" s="3990">
        <f t="shared" si="2"/>
        <v>0</v>
      </c>
      <c r="P35" s="3924">
        <f t="shared" si="7"/>
        <v>0</v>
      </c>
      <c r="Q35" s="3924">
        <f t="shared" si="7"/>
        <v>0</v>
      </c>
      <c r="R35" s="3925">
        <f t="shared" si="7"/>
        <v>0</v>
      </c>
      <c r="T35" s="4019"/>
    </row>
    <row r="36" spans="2:20" ht="14.4" thickBot="1" x14ac:dyDescent="0.35">
      <c r="B36" s="3997"/>
      <c r="C36" s="3998" t="s">
        <v>165</v>
      </c>
      <c r="D36" s="3999">
        <v>0</v>
      </c>
      <c r="E36" s="3999"/>
      <c r="F36" s="3993">
        <f t="shared" si="6"/>
        <v>0</v>
      </c>
      <c r="H36" s="3960"/>
      <c r="I36" s="3994" t="str">
        <f t="shared" si="4"/>
        <v>Measure 25</v>
      </c>
      <c r="J36" s="3995"/>
      <c r="K36" s="3996"/>
      <c r="L36" s="4043">
        <f t="shared" si="5"/>
        <v>0</v>
      </c>
      <c r="M36" s="4000">
        <v>0</v>
      </c>
      <c r="N36" s="4000">
        <v>0</v>
      </c>
      <c r="O36" s="3990">
        <f t="shared" si="2"/>
        <v>0</v>
      </c>
      <c r="P36" s="3924">
        <f t="shared" si="7"/>
        <v>0</v>
      </c>
      <c r="Q36" s="3924">
        <f t="shared" si="7"/>
        <v>0</v>
      </c>
      <c r="R36" s="3925">
        <f t="shared" si="7"/>
        <v>0</v>
      </c>
      <c r="T36" s="4019"/>
    </row>
    <row r="37" spans="2:20" ht="14.4" thickBot="1" x14ac:dyDescent="0.35">
      <c r="B37" s="4004">
        <v>74400</v>
      </c>
      <c r="C37" s="3987" t="s">
        <v>172</v>
      </c>
      <c r="D37" s="3988">
        <f>SUM(D38:D41)</f>
        <v>0</v>
      </c>
      <c r="E37" s="3988">
        <f>SUM(E38:E41)</f>
        <v>0</v>
      </c>
      <c r="F37" s="3989">
        <f>D37+E37</f>
        <v>0</v>
      </c>
      <c r="H37" s="3960"/>
      <c r="I37" s="3994" t="str">
        <f t="shared" si="4"/>
        <v>Measure 26</v>
      </c>
      <c r="J37" s="3995"/>
      <c r="K37" s="4002"/>
      <c r="L37" s="4043">
        <f t="shared" si="5"/>
        <v>0</v>
      </c>
      <c r="M37" s="4000">
        <v>0</v>
      </c>
      <c r="N37" s="4000">
        <v>0</v>
      </c>
      <c r="O37" s="3990">
        <f t="shared" si="2"/>
        <v>0</v>
      </c>
      <c r="P37" s="3924">
        <f t="shared" si="7"/>
        <v>0</v>
      </c>
      <c r="Q37" s="3924">
        <f t="shared" si="7"/>
        <v>0</v>
      </c>
      <c r="R37" s="3925">
        <f t="shared" si="7"/>
        <v>0</v>
      </c>
      <c r="T37" s="4019"/>
    </row>
    <row r="38" spans="2:20" ht="13.8" x14ac:dyDescent="0.3">
      <c r="B38" s="3997"/>
      <c r="C38" s="3998" t="s">
        <v>423</v>
      </c>
      <c r="D38" s="3999">
        <v>0</v>
      </c>
      <c r="E38" s="3999">
        <v>0</v>
      </c>
      <c r="F38" s="3993">
        <f t="shared" ref="F38:F51" si="8">SUM(D38:E38)</f>
        <v>0</v>
      </c>
      <c r="H38" s="3960"/>
      <c r="I38" s="3994" t="str">
        <f t="shared" si="4"/>
        <v>Measure 27</v>
      </c>
      <c r="J38" s="3995"/>
      <c r="K38" s="4002"/>
      <c r="L38" s="4043">
        <f t="shared" si="5"/>
        <v>0</v>
      </c>
      <c r="M38" s="4000">
        <v>0</v>
      </c>
      <c r="N38" s="4000">
        <v>0</v>
      </c>
      <c r="O38" s="3990">
        <f t="shared" si="2"/>
        <v>0</v>
      </c>
      <c r="P38" s="3924">
        <f t="shared" si="7"/>
        <v>0</v>
      </c>
      <c r="Q38" s="3924">
        <f t="shared" si="7"/>
        <v>0</v>
      </c>
      <c r="R38" s="3925">
        <f t="shared" si="7"/>
        <v>0</v>
      </c>
      <c r="T38" s="4019"/>
    </row>
    <row r="39" spans="2:20" ht="13.8" x14ac:dyDescent="0.3">
      <c r="B39" s="3997"/>
      <c r="C39" s="3998" t="s">
        <v>422</v>
      </c>
      <c r="D39" s="4033">
        <v>0</v>
      </c>
      <c r="E39" s="4034">
        <v>0</v>
      </c>
      <c r="F39" s="3993">
        <f t="shared" si="8"/>
        <v>0</v>
      </c>
      <c r="H39" s="3960"/>
      <c r="I39" s="3994" t="str">
        <f t="shared" si="4"/>
        <v>Measure 28</v>
      </c>
      <c r="J39" s="3995"/>
      <c r="K39" s="4002"/>
      <c r="L39" s="4043">
        <f t="shared" si="5"/>
        <v>0</v>
      </c>
      <c r="M39" s="4000">
        <v>0</v>
      </c>
      <c r="N39" s="4000">
        <v>0</v>
      </c>
      <c r="O39" s="3990">
        <f t="shared" si="2"/>
        <v>0</v>
      </c>
      <c r="P39" s="3924">
        <f t="shared" si="7"/>
        <v>0</v>
      </c>
      <c r="Q39" s="3924">
        <f t="shared" si="7"/>
        <v>0</v>
      </c>
      <c r="R39" s="3925">
        <f t="shared" si="7"/>
        <v>0</v>
      </c>
      <c r="T39" s="4019"/>
    </row>
    <row r="40" spans="2:20" ht="13.8" x14ac:dyDescent="0.3">
      <c r="B40" s="3997"/>
      <c r="C40" s="3998" t="s">
        <v>164</v>
      </c>
      <c r="D40" s="3999">
        <v>0</v>
      </c>
      <c r="E40" s="3999"/>
      <c r="F40" s="3993">
        <f t="shared" si="8"/>
        <v>0</v>
      </c>
      <c r="H40" s="3960"/>
      <c r="I40" s="3994" t="str">
        <f t="shared" si="4"/>
        <v>Measure 29</v>
      </c>
      <c r="J40" s="3995"/>
      <c r="K40" s="4002"/>
      <c r="L40" s="4043">
        <f t="shared" si="5"/>
        <v>0</v>
      </c>
      <c r="M40" s="4000">
        <v>0</v>
      </c>
      <c r="N40" s="4000">
        <v>0</v>
      </c>
      <c r="O40" s="3990">
        <f t="shared" si="2"/>
        <v>0</v>
      </c>
      <c r="P40" s="3924">
        <f t="shared" si="7"/>
        <v>0</v>
      </c>
      <c r="Q40" s="3924">
        <f t="shared" si="7"/>
        <v>0</v>
      </c>
      <c r="R40" s="3925">
        <f t="shared" si="7"/>
        <v>0</v>
      </c>
      <c r="T40" s="4019"/>
    </row>
    <row r="41" spans="2:20" ht="14.4" thickBot="1" x14ac:dyDescent="0.35">
      <c r="B41" s="3997"/>
      <c r="C41" s="3998" t="s">
        <v>165</v>
      </c>
      <c r="D41" s="3999">
        <v>0</v>
      </c>
      <c r="E41" s="3999"/>
      <c r="F41" s="3993">
        <f t="shared" si="8"/>
        <v>0</v>
      </c>
      <c r="H41" s="3960"/>
      <c r="I41" s="3994" t="str">
        <f t="shared" si="4"/>
        <v>Measure 30</v>
      </c>
      <c r="J41" s="3995"/>
      <c r="K41" s="4002"/>
      <c r="L41" s="4043">
        <f t="shared" si="5"/>
        <v>0</v>
      </c>
      <c r="M41" s="4000">
        <v>0</v>
      </c>
      <c r="N41" s="4000">
        <v>0</v>
      </c>
      <c r="O41" s="3990">
        <f t="shared" si="2"/>
        <v>0</v>
      </c>
      <c r="P41" s="3924">
        <f t="shared" si="7"/>
        <v>0</v>
      </c>
      <c r="Q41" s="3924">
        <f t="shared" si="7"/>
        <v>0</v>
      </c>
      <c r="R41" s="3925">
        <f t="shared" si="7"/>
        <v>0</v>
      </c>
      <c r="T41" s="4019"/>
    </row>
    <row r="42" spans="2:20" ht="14.4" thickBot="1" x14ac:dyDescent="0.35">
      <c r="B42" s="4004">
        <v>500</v>
      </c>
      <c r="C42" s="3987" t="s">
        <v>173</v>
      </c>
      <c r="D42" s="3988">
        <f>SUM(D43:D46)</f>
        <v>0</v>
      </c>
      <c r="E42" s="3988">
        <f>SUM(E43:E46)</f>
        <v>0</v>
      </c>
      <c r="F42" s="3989">
        <f>D42+E42</f>
        <v>0</v>
      </c>
      <c r="H42" s="3960"/>
      <c r="I42" s="3994" t="str">
        <f t="shared" si="4"/>
        <v>Measure 31</v>
      </c>
      <c r="J42" s="3995"/>
      <c r="K42" s="4002"/>
      <c r="L42" s="4043">
        <f t="shared" si="5"/>
        <v>0</v>
      </c>
      <c r="M42" s="4000">
        <v>0</v>
      </c>
      <c r="N42" s="4000">
        <v>0</v>
      </c>
      <c r="O42" s="3990">
        <f t="shared" si="2"/>
        <v>0</v>
      </c>
      <c r="P42" s="3924">
        <f t="shared" si="7"/>
        <v>0</v>
      </c>
      <c r="Q42" s="3924">
        <f t="shared" si="7"/>
        <v>0</v>
      </c>
      <c r="R42" s="3925">
        <f t="shared" si="7"/>
        <v>0</v>
      </c>
      <c r="T42" s="4019"/>
    </row>
    <row r="43" spans="2:20" ht="13.8" x14ac:dyDescent="0.3">
      <c r="B43" s="3997"/>
      <c r="C43" s="3998" t="s">
        <v>162</v>
      </c>
      <c r="D43" s="3999">
        <v>0</v>
      </c>
      <c r="E43" s="3999">
        <v>0</v>
      </c>
      <c r="F43" s="3993">
        <f t="shared" si="8"/>
        <v>0</v>
      </c>
      <c r="H43" s="3960"/>
      <c r="I43" s="3994" t="str">
        <f t="shared" si="4"/>
        <v>Measure 32</v>
      </c>
      <c r="J43" s="3995"/>
      <c r="K43" s="4002"/>
      <c r="L43" s="4043">
        <f t="shared" si="5"/>
        <v>0</v>
      </c>
      <c r="M43" s="4000">
        <v>0</v>
      </c>
      <c r="N43" s="4000">
        <v>0</v>
      </c>
      <c r="O43" s="3990">
        <f t="shared" si="2"/>
        <v>0</v>
      </c>
      <c r="P43" s="3924">
        <f t="shared" si="7"/>
        <v>0</v>
      </c>
      <c r="Q43" s="3924">
        <f t="shared" si="7"/>
        <v>0</v>
      </c>
      <c r="R43" s="3925">
        <f t="shared" si="7"/>
        <v>0</v>
      </c>
      <c r="T43" s="4019"/>
    </row>
    <row r="44" spans="2:20" ht="13.8" x14ac:dyDescent="0.3">
      <c r="B44" s="3997"/>
      <c r="C44" s="3998" t="s">
        <v>163</v>
      </c>
      <c r="D44" s="3999">
        <v>0</v>
      </c>
      <c r="E44" s="3999"/>
      <c r="F44" s="3993">
        <f t="shared" si="8"/>
        <v>0</v>
      </c>
      <c r="H44" s="3960"/>
      <c r="I44" s="3994" t="str">
        <f t="shared" si="4"/>
        <v>Measure 33</v>
      </c>
      <c r="J44" s="3995"/>
      <c r="K44" s="4002"/>
      <c r="L44" s="4043">
        <f t="shared" si="5"/>
        <v>0</v>
      </c>
      <c r="M44" s="4000">
        <v>0</v>
      </c>
      <c r="N44" s="4000">
        <v>0</v>
      </c>
      <c r="O44" s="3990">
        <f t="shared" si="2"/>
        <v>0</v>
      </c>
      <c r="P44" s="3924">
        <f t="shared" ref="P44:R53" si="9">M44*$D94</f>
        <v>0</v>
      </c>
      <c r="Q44" s="3924">
        <f t="shared" si="9"/>
        <v>0</v>
      </c>
      <c r="R44" s="3925">
        <f t="shared" si="9"/>
        <v>0</v>
      </c>
      <c r="T44" s="4019"/>
    </row>
    <row r="45" spans="2:20" ht="13.8" x14ac:dyDescent="0.3">
      <c r="B45" s="3997"/>
      <c r="C45" s="3998" t="s">
        <v>164</v>
      </c>
      <c r="D45" s="3999">
        <v>0</v>
      </c>
      <c r="E45" s="3999"/>
      <c r="F45" s="3993">
        <f t="shared" si="8"/>
        <v>0</v>
      </c>
      <c r="H45" s="3960"/>
      <c r="I45" s="3994" t="str">
        <f t="shared" si="4"/>
        <v>Measure 34</v>
      </c>
      <c r="J45" s="3995"/>
      <c r="K45" s="4002"/>
      <c r="L45" s="4043">
        <f t="shared" si="5"/>
        <v>0</v>
      </c>
      <c r="M45" s="4000">
        <v>0</v>
      </c>
      <c r="N45" s="4000">
        <v>0</v>
      </c>
      <c r="O45" s="3990">
        <f t="shared" si="2"/>
        <v>0</v>
      </c>
      <c r="P45" s="3924">
        <f t="shared" si="9"/>
        <v>0</v>
      </c>
      <c r="Q45" s="3924">
        <f t="shared" si="9"/>
        <v>0</v>
      </c>
      <c r="R45" s="3925">
        <f t="shared" si="9"/>
        <v>0</v>
      </c>
      <c r="T45" s="4019"/>
    </row>
    <row r="46" spans="2:20" ht="14.4" thickBot="1" x14ac:dyDescent="0.35">
      <c r="B46" s="3997"/>
      <c r="C46" s="3998" t="s">
        <v>165</v>
      </c>
      <c r="D46" s="3999">
        <v>0</v>
      </c>
      <c r="E46" s="3999"/>
      <c r="F46" s="3993">
        <f t="shared" si="8"/>
        <v>0</v>
      </c>
      <c r="H46" s="3960"/>
      <c r="I46" s="3994" t="str">
        <f t="shared" si="4"/>
        <v>Measure 35</v>
      </c>
      <c r="J46" s="3995"/>
      <c r="K46" s="4002"/>
      <c r="L46" s="4043">
        <f t="shared" si="5"/>
        <v>0</v>
      </c>
      <c r="M46" s="4000">
        <v>0</v>
      </c>
      <c r="N46" s="4000">
        <v>0</v>
      </c>
      <c r="O46" s="3990">
        <f t="shared" si="2"/>
        <v>0</v>
      </c>
      <c r="P46" s="3924">
        <f t="shared" si="9"/>
        <v>0</v>
      </c>
      <c r="Q46" s="3924">
        <f t="shared" si="9"/>
        <v>0</v>
      </c>
      <c r="R46" s="3925">
        <f t="shared" si="9"/>
        <v>0</v>
      </c>
      <c r="T46" s="4019"/>
    </row>
    <row r="47" spans="2:20" ht="14.4" thickBot="1" x14ac:dyDescent="0.35">
      <c r="B47" s="4004">
        <v>500</v>
      </c>
      <c r="C47" s="3987" t="s">
        <v>174</v>
      </c>
      <c r="D47" s="3988">
        <f>SUM(D48:D51)</f>
        <v>0</v>
      </c>
      <c r="E47" s="3988">
        <f>SUM(E48:E51)</f>
        <v>0</v>
      </c>
      <c r="F47" s="3989">
        <f>D47+E47</f>
        <v>0</v>
      </c>
      <c r="H47" s="3960"/>
      <c r="I47" s="3994" t="str">
        <f t="shared" si="4"/>
        <v>Measure 36</v>
      </c>
      <c r="J47" s="3995"/>
      <c r="K47" s="4002"/>
      <c r="L47" s="4043">
        <f t="shared" si="5"/>
        <v>0</v>
      </c>
      <c r="M47" s="4000">
        <v>0</v>
      </c>
      <c r="N47" s="4000">
        <v>0</v>
      </c>
      <c r="O47" s="3990">
        <f t="shared" si="2"/>
        <v>0</v>
      </c>
      <c r="P47" s="3924">
        <f t="shared" si="9"/>
        <v>0</v>
      </c>
      <c r="Q47" s="3924">
        <f t="shared" si="9"/>
        <v>0</v>
      </c>
      <c r="R47" s="3925">
        <f t="shared" si="9"/>
        <v>0</v>
      </c>
      <c r="T47" s="4019"/>
    </row>
    <row r="48" spans="2:20" ht="13.8" x14ac:dyDescent="0.3">
      <c r="B48" s="3997"/>
      <c r="C48" s="3998" t="s">
        <v>162</v>
      </c>
      <c r="D48" s="3999">
        <v>0</v>
      </c>
      <c r="E48" s="3999">
        <v>0</v>
      </c>
      <c r="F48" s="3993">
        <f t="shared" si="8"/>
        <v>0</v>
      </c>
      <c r="H48" s="3960"/>
      <c r="I48" s="3994" t="str">
        <f t="shared" si="4"/>
        <v>Measure 37</v>
      </c>
      <c r="J48" s="3995"/>
      <c r="K48" s="4002"/>
      <c r="L48" s="4043">
        <f t="shared" si="5"/>
        <v>0</v>
      </c>
      <c r="M48" s="4000">
        <v>0</v>
      </c>
      <c r="N48" s="4000">
        <v>0</v>
      </c>
      <c r="O48" s="3990">
        <f t="shared" si="2"/>
        <v>0</v>
      </c>
      <c r="P48" s="3924">
        <f t="shared" si="9"/>
        <v>0</v>
      </c>
      <c r="Q48" s="3924">
        <f t="shared" si="9"/>
        <v>0</v>
      </c>
      <c r="R48" s="3925">
        <f t="shared" si="9"/>
        <v>0</v>
      </c>
      <c r="T48" s="4019"/>
    </row>
    <row r="49" spans="2:24" ht="13.8" x14ac:dyDescent="0.3">
      <c r="B49" s="3997"/>
      <c r="C49" s="3998" t="s">
        <v>163</v>
      </c>
      <c r="D49" s="3999">
        <v>0</v>
      </c>
      <c r="E49" s="3999"/>
      <c r="F49" s="3993">
        <f t="shared" si="8"/>
        <v>0</v>
      </c>
      <c r="I49" s="3994" t="str">
        <f t="shared" si="4"/>
        <v>Measure 38</v>
      </c>
      <c r="J49" s="3995"/>
      <c r="K49" s="3996"/>
      <c r="L49" s="4043">
        <f t="shared" si="5"/>
        <v>0</v>
      </c>
      <c r="M49" s="4000">
        <v>0</v>
      </c>
      <c r="N49" s="4000">
        <v>0</v>
      </c>
      <c r="O49" s="3990">
        <f t="shared" si="2"/>
        <v>0</v>
      </c>
      <c r="P49" s="3924">
        <f t="shared" si="9"/>
        <v>0</v>
      </c>
      <c r="Q49" s="3924">
        <f t="shared" si="9"/>
        <v>0</v>
      </c>
      <c r="R49" s="3925">
        <f t="shared" si="9"/>
        <v>0</v>
      </c>
      <c r="T49" s="4019"/>
    </row>
    <row r="50" spans="2:24" ht="13.8" x14ac:dyDescent="0.3">
      <c r="B50" s="3997"/>
      <c r="C50" s="3998" t="s">
        <v>164</v>
      </c>
      <c r="D50" s="3999">
        <v>0</v>
      </c>
      <c r="E50" s="3999"/>
      <c r="F50" s="3993">
        <f t="shared" si="8"/>
        <v>0</v>
      </c>
      <c r="I50" s="3994" t="str">
        <f t="shared" si="4"/>
        <v>Measure 39</v>
      </c>
      <c r="J50" s="3995"/>
      <c r="K50" s="3996"/>
      <c r="L50" s="4043">
        <f t="shared" si="5"/>
        <v>0</v>
      </c>
      <c r="M50" s="4000">
        <v>0</v>
      </c>
      <c r="N50" s="4000">
        <v>0</v>
      </c>
      <c r="O50" s="3990">
        <f t="shared" si="2"/>
        <v>0</v>
      </c>
      <c r="P50" s="3924">
        <f t="shared" si="9"/>
        <v>0</v>
      </c>
      <c r="Q50" s="3924">
        <f t="shared" si="9"/>
        <v>0</v>
      </c>
      <c r="R50" s="3925">
        <f t="shared" si="9"/>
        <v>0</v>
      </c>
      <c r="T50" s="4019"/>
    </row>
    <row r="51" spans="2:24" ht="14.4" thickBot="1" x14ac:dyDescent="0.35">
      <c r="B51" s="3997"/>
      <c r="C51" s="3998" t="s">
        <v>165</v>
      </c>
      <c r="D51" s="3999">
        <v>0</v>
      </c>
      <c r="E51" s="3999"/>
      <c r="F51" s="3993">
        <f t="shared" si="8"/>
        <v>0</v>
      </c>
      <c r="I51" s="3994" t="str">
        <f t="shared" si="4"/>
        <v>Measure 40</v>
      </c>
      <c r="J51" s="3995"/>
      <c r="K51" s="3996"/>
      <c r="L51" s="4043">
        <f t="shared" si="5"/>
        <v>0</v>
      </c>
      <c r="M51" s="4000">
        <v>0</v>
      </c>
      <c r="N51" s="4000">
        <v>0</v>
      </c>
      <c r="O51" s="3990">
        <f t="shared" si="2"/>
        <v>0</v>
      </c>
      <c r="P51" s="3924">
        <f t="shared" si="9"/>
        <v>0</v>
      </c>
      <c r="Q51" s="3924">
        <f t="shared" si="9"/>
        <v>0</v>
      </c>
      <c r="R51" s="3925">
        <f t="shared" si="9"/>
        <v>0</v>
      </c>
      <c r="T51" s="4019"/>
    </row>
    <row r="52" spans="2:24" ht="14.4" thickBot="1" x14ac:dyDescent="0.35">
      <c r="B52" s="4004">
        <v>116400</v>
      </c>
      <c r="C52" s="3987" t="s">
        <v>175</v>
      </c>
      <c r="D52" s="3988">
        <f>S104</f>
        <v>0</v>
      </c>
      <c r="E52" s="3988">
        <f>T104</f>
        <v>0</v>
      </c>
      <c r="F52" s="3989">
        <f>U104</f>
        <v>0</v>
      </c>
      <c r="G52" s="4003" t="s">
        <v>176</v>
      </c>
      <c r="I52" s="3994" t="str">
        <f t="shared" si="4"/>
        <v>Measure 41</v>
      </c>
      <c r="J52" s="3995"/>
      <c r="K52" s="3996"/>
      <c r="L52" s="4043">
        <f t="shared" si="5"/>
        <v>0</v>
      </c>
      <c r="M52" s="4000">
        <v>0</v>
      </c>
      <c r="N52" s="4000">
        <v>0</v>
      </c>
      <c r="O52" s="3990">
        <f t="shared" si="2"/>
        <v>0</v>
      </c>
      <c r="P52" s="3924">
        <f t="shared" si="9"/>
        <v>0</v>
      </c>
      <c r="Q52" s="3924">
        <f t="shared" si="9"/>
        <v>0</v>
      </c>
      <c r="R52" s="3925">
        <f t="shared" si="9"/>
        <v>0</v>
      </c>
      <c r="T52" s="4019"/>
    </row>
    <row r="53" spans="2:24" ht="14.4" thickBot="1" x14ac:dyDescent="0.35">
      <c r="B53" s="4004">
        <v>0</v>
      </c>
      <c r="C53" s="3987" t="s">
        <v>177</v>
      </c>
      <c r="D53" s="3988">
        <v>0</v>
      </c>
      <c r="E53" s="3988">
        <v>0</v>
      </c>
      <c r="F53" s="3989">
        <v>0</v>
      </c>
      <c r="I53" s="3994" t="str">
        <f t="shared" si="4"/>
        <v>Measure 42</v>
      </c>
      <c r="J53" s="3995"/>
      <c r="K53" s="3996"/>
      <c r="L53" s="4043">
        <f t="shared" si="5"/>
        <v>0</v>
      </c>
      <c r="M53" s="4000">
        <v>0</v>
      </c>
      <c r="N53" s="4000">
        <v>0</v>
      </c>
      <c r="O53" s="3990">
        <f t="shared" si="2"/>
        <v>0</v>
      </c>
      <c r="P53" s="3924">
        <f t="shared" si="9"/>
        <v>0</v>
      </c>
      <c r="Q53" s="3924">
        <f t="shared" si="9"/>
        <v>0</v>
      </c>
      <c r="R53" s="3925">
        <f t="shared" si="9"/>
        <v>0</v>
      </c>
      <c r="T53" s="4019"/>
    </row>
    <row r="54" spans="2:24" ht="13.8" x14ac:dyDescent="0.3">
      <c r="B54" s="4005">
        <f>B12+B17+B22+B27+B32+B37+B42+B47+B52+B53</f>
        <v>254410</v>
      </c>
      <c r="C54" s="4006" t="s">
        <v>178</v>
      </c>
      <c r="D54" s="4005">
        <f>D12+D17+D22+D27+D32+D37+D42+D47+D52+D53</f>
        <v>0</v>
      </c>
      <c r="E54" s="4005">
        <f>E12+E17+E22+E27+E32+E37+E42+E47+E52+E53</f>
        <v>0</v>
      </c>
      <c r="F54" s="4005">
        <f>F12+F17+F22+F27+F32+F37+F42+F47+F52+F53</f>
        <v>0</v>
      </c>
      <c r="P54" s="4044">
        <f>SUM(P12:P53)</f>
        <v>40914.649999999994</v>
      </c>
      <c r="Q54" s="4044">
        <f>SUM(Q12:Q53)</f>
        <v>38920</v>
      </c>
      <c r="R54" s="4044">
        <f>SUM(R12:R53)</f>
        <v>79834.649999999994</v>
      </c>
      <c r="T54" s="4044">
        <f>SUM(T12:T53)</f>
        <v>64800</v>
      </c>
    </row>
    <row r="55" spans="2:24" ht="13.8" x14ac:dyDescent="0.3">
      <c r="C55" s="4006"/>
      <c r="D55" s="4005"/>
      <c r="E55" s="4005"/>
      <c r="F55" s="4005"/>
    </row>
    <row r="56" spans="2:24" ht="13.8" x14ac:dyDescent="0.3">
      <c r="C56" s="4006" t="s">
        <v>179</v>
      </c>
      <c r="D56" s="4005">
        <f>D54-D52</f>
        <v>0</v>
      </c>
      <c r="E56" s="4005">
        <f>E54-E52</f>
        <v>0</v>
      </c>
      <c r="F56" s="4005">
        <f>F54-F52</f>
        <v>0</v>
      </c>
    </row>
    <row r="57" spans="2:24" ht="13.8" x14ac:dyDescent="0.3">
      <c r="C57" s="4006" t="s">
        <v>180</v>
      </c>
      <c r="D57" s="4007">
        <f>D52</f>
        <v>0</v>
      </c>
      <c r="E57" s="4007">
        <f>E52</f>
        <v>0</v>
      </c>
      <c r="F57" s="4007">
        <f>F52</f>
        <v>0</v>
      </c>
      <c r="G57" s="4076" t="e">
        <f>F57/(F56+F57)</f>
        <v>#DIV/0!</v>
      </c>
      <c r="H57" s="4008" t="s">
        <v>181</v>
      </c>
    </row>
    <row r="58" spans="2:24" ht="13.8" thickBot="1" x14ac:dyDescent="0.3"/>
    <row r="59" spans="2:24" ht="16.2" thickBot="1" x14ac:dyDescent="0.35">
      <c r="B59" s="4009" t="s">
        <v>182</v>
      </c>
      <c r="C59" s="4010"/>
      <c r="D59" s="4760" t="s">
        <v>183</v>
      </c>
      <c r="E59" s="4761"/>
      <c r="F59" s="4761"/>
      <c r="G59" s="4761"/>
      <c r="H59" s="4761"/>
      <c r="K59" s="401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4012" t="s">
        <v>187</v>
      </c>
      <c r="C61" s="4013" t="s">
        <v>152</v>
      </c>
      <c r="D61" s="4013" t="s">
        <v>153</v>
      </c>
      <c r="E61" s="4013" t="s">
        <v>188</v>
      </c>
      <c r="F61" s="4013" t="s">
        <v>189</v>
      </c>
      <c r="G61" s="4013" t="s">
        <v>190</v>
      </c>
      <c r="H61" s="4013" t="s">
        <v>191</v>
      </c>
      <c r="I61" s="4013" t="s">
        <v>192</v>
      </c>
      <c r="J61" s="4013" t="s">
        <v>193</v>
      </c>
      <c r="K61" s="4014" t="s">
        <v>194</v>
      </c>
      <c r="L61" s="4015" t="s">
        <v>195</v>
      </c>
      <c r="M61" s="4016" t="s">
        <v>196</v>
      </c>
      <c r="N61" s="4016" t="s">
        <v>197</v>
      </c>
      <c r="O61" s="4016" t="s">
        <v>198</v>
      </c>
      <c r="P61" s="4017" t="s">
        <v>199</v>
      </c>
      <c r="Q61" s="4017" t="s">
        <v>200</v>
      </c>
      <c r="R61" s="4017" t="s">
        <v>201</v>
      </c>
      <c r="S61" s="3967" t="s">
        <v>202</v>
      </c>
      <c r="T61" s="3967" t="s">
        <v>203</v>
      </c>
      <c r="U61" s="3968" t="s">
        <v>204</v>
      </c>
      <c r="V61" s="3967" t="s">
        <v>137</v>
      </c>
      <c r="W61" s="3967" t="s">
        <v>12</v>
      </c>
      <c r="X61" s="3968" t="s">
        <v>138</v>
      </c>
    </row>
    <row r="62" spans="2:24" ht="13.8" x14ac:dyDescent="0.3">
      <c r="B62" s="4000"/>
      <c r="C62" s="4081" t="s">
        <v>431</v>
      </c>
      <c r="D62" s="4082">
        <v>1.6</v>
      </c>
      <c r="E62" s="4082" t="s">
        <v>804</v>
      </c>
      <c r="F62" s="4082" t="s">
        <v>211</v>
      </c>
      <c r="G62" s="4083">
        <v>0</v>
      </c>
      <c r="H62" s="4083">
        <v>0</v>
      </c>
      <c r="I62" s="4084">
        <v>0</v>
      </c>
      <c r="J62" s="4082">
        <v>14</v>
      </c>
      <c r="K62" s="4082" t="s">
        <v>259</v>
      </c>
      <c r="L62" s="4086" t="e">
        <v>#DIV/0!</v>
      </c>
      <c r="M62" s="4086" t="e">
        <v>#DIV/0!</v>
      </c>
      <c r="N62" s="4087">
        <v>0</v>
      </c>
      <c r="O62" s="4087">
        <v>0</v>
      </c>
      <c r="P62" s="4087">
        <v>7490.1735551779084</v>
      </c>
      <c r="Q62" s="4087">
        <v>8239.1909106956991</v>
      </c>
      <c r="R62" s="4085">
        <v>1.081</v>
      </c>
      <c r="S62" s="3923">
        <f t="shared" ref="S62:U77" si="10">M12*$H62</f>
        <v>0</v>
      </c>
      <c r="T62" s="3923">
        <f t="shared" si="10"/>
        <v>0</v>
      </c>
      <c r="U62" s="3923">
        <f t="shared" si="10"/>
        <v>0</v>
      </c>
      <c r="V62" s="4077" t="e">
        <f>U62/(U62+(I62*F$56))</f>
        <v>#DIV/0!</v>
      </c>
      <c r="W62" s="4077" t="e">
        <f t="shared" ref="W62:W80" si="11">(I62*((F$17*1.63)+F$27))/(U62+(I62*F$56))</f>
        <v>#DIV/0!</v>
      </c>
      <c r="X62" s="4077" t="e">
        <f>(I62*F$37)/(U62+(I62*F$56))</f>
        <v>#DIV/0!</v>
      </c>
    </row>
    <row r="63" spans="2:24" ht="13.8" x14ac:dyDescent="0.3">
      <c r="B63" s="4019"/>
      <c r="C63" s="4081" t="s">
        <v>432</v>
      </c>
      <c r="D63" s="4081">
        <v>2.2000000000000002</v>
      </c>
      <c r="E63" s="4082" t="s">
        <v>804</v>
      </c>
      <c r="F63" s="4082" t="s">
        <v>211</v>
      </c>
      <c r="G63" s="4083">
        <v>0</v>
      </c>
      <c r="H63" s="4083">
        <v>0</v>
      </c>
      <c r="I63" s="4084">
        <v>0</v>
      </c>
      <c r="J63" s="4082">
        <v>14</v>
      </c>
      <c r="K63" s="4082" t="s">
        <v>259</v>
      </c>
      <c r="L63" s="4086" t="e">
        <v>#DIV/0!</v>
      </c>
      <c r="M63" s="4086" t="e">
        <v>#DIV/0!</v>
      </c>
      <c r="N63" s="4087">
        <v>0</v>
      </c>
      <c r="O63" s="4087">
        <v>0</v>
      </c>
      <c r="P63" s="4087">
        <v>13731.984851159501</v>
      </c>
      <c r="Q63" s="4087">
        <v>15105.18333627545</v>
      </c>
      <c r="R63" s="4085">
        <v>1.081</v>
      </c>
      <c r="S63" s="3923">
        <f t="shared" si="10"/>
        <v>0</v>
      </c>
      <c r="T63" s="3923">
        <f t="shared" si="10"/>
        <v>0</v>
      </c>
      <c r="U63" s="3923">
        <f t="shared" si="10"/>
        <v>0</v>
      </c>
      <c r="V63" s="4077" t="e">
        <f t="shared" ref="V63:V80" si="12">U63/(U63+(I63*F$56))</f>
        <v>#DIV/0!</v>
      </c>
      <c r="W63" s="4077" t="e">
        <f t="shared" si="11"/>
        <v>#DIV/0!</v>
      </c>
      <c r="X63" s="4077" t="e">
        <f t="shared" ref="X63:X80" si="13">(I63*F$37)/(U63+(I63*F$56))</f>
        <v>#DIV/0!</v>
      </c>
    </row>
    <row r="64" spans="2:24" ht="13.8" x14ac:dyDescent="0.3">
      <c r="B64" s="4019"/>
      <c r="C64" s="4081" t="s">
        <v>433</v>
      </c>
      <c r="D64" s="4082">
        <v>2.4</v>
      </c>
      <c r="E64" s="4082" t="s">
        <v>804</v>
      </c>
      <c r="F64" s="4082" t="s">
        <v>211</v>
      </c>
      <c r="G64" s="4083">
        <v>0</v>
      </c>
      <c r="H64" s="4083">
        <v>0</v>
      </c>
      <c r="I64" s="4084">
        <v>0</v>
      </c>
      <c r="J64" s="4082">
        <v>14</v>
      </c>
      <c r="K64" s="4082" t="s">
        <v>259</v>
      </c>
      <c r="L64" s="4086" t="e">
        <v>#DIV/0!</v>
      </c>
      <c r="M64" s="4086" t="e">
        <v>#DIV/0!</v>
      </c>
      <c r="N64" s="4087">
        <v>0</v>
      </c>
      <c r="O64" s="4087">
        <v>0</v>
      </c>
      <c r="P64" s="4087">
        <v>13482.312399320235</v>
      </c>
      <c r="Q64" s="4087">
        <v>14830.543639252257</v>
      </c>
      <c r="R64" s="4085">
        <v>1.081</v>
      </c>
      <c r="S64" s="3923">
        <f t="shared" si="10"/>
        <v>0</v>
      </c>
      <c r="T64" s="3923">
        <f t="shared" si="10"/>
        <v>0</v>
      </c>
      <c r="U64" s="3923">
        <f t="shared" si="10"/>
        <v>0</v>
      </c>
      <c r="V64" s="4077" t="e">
        <f t="shared" si="12"/>
        <v>#DIV/0!</v>
      </c>
      <c r="W64" s="4077" t="e">
        <f t="shared" si="11"/>
        <v>#DIV/0!</v>
      </c>
      <c r="X64" s="4077" t="e">
        <f t="shared" si="13"/>
        <v>#DIV/0!</v>
      </c>
    </row>
    <row r="65" spans="2:24" ht="13.8" x14ac:dyDescent="0.3">
      <c r="B65" s="4019"/>
      <c r="C65" s="4081" t="s">
        <v>434</v>
      </c>
      <c r="D65" s="4081">
        <v>0</v>
      </c>
      <c r="E65" s="4082" t="s">
        <v>804</v>
      </c>
      <c r="F65" s="4082" t="s">
        <v>211</v>
      </c>
      <c r="G65" s="4083">
        <v>0</v>
      </c>
      <c r="H65" s="4083">
        <v>0</v>
      </c>
      <c r="I65" s="4084">
        <v>0</v>
      </c>
      <c r="J65" s="4082">
        <v>14</v>
      </c>
      <c r="K65" s="4082" t="s">
        <v>259</v>
      </c>
      <c r="L65" s="4086" t="e">
        <v>#DIV/0!</v>
      </c>
      <c r="M65" s="4086" t="e">
        <v>#DIV/0!</v>
      </c>
      <c r="N65" s="4087">
        <v>0</v>
      </c>
      <c r="O65" s="4087">
        <v>0</v>
      </c>
      <c r="P65" s="4087">
        <v>0</v>
      </c>
      <c r="Q65" s="4087">
        <v>0</v>
      </c>
      <c r="R65" s="4085">
        <v>1.081</v>
      </c>
      <c r="S65" s="3923">
        <f t="shared" si="10"/>
        <v>0</v>
      </c>
      <c r="T65" s="3923">
        <f t="shared" si="10"/>
        <v>0</v>
      </c>
      <c r="U65" s="3923">
        <f t="shared" si="10"/>
        <v>0</v>
      </c>
      <c r="V65" s="4077" t="e">
        <f t="shared" si="12"/>
        <v>#DIV/0!</v>
      </c>
      <c r="W65" s="4077" t="e">
        <f t="shared" si="11"/>
        <v>#DIV/0!</v>
      </c>
      <c r="X65" s="4077" t="e">
        <f t="shared" si="13"/>
        <v>#DIV/0!</v>
      </c>
    </row>
    <row r="66" spans="2:24" ht="13.8" x14ac:dyDescent="0.3">
      <c r="B66" s="4019"/>
      <c r="C66" s="4081" t="s">
        <v>435</v>
      </c>
      <c r="D66" s="4082">
        <v>0</v>
      </c>
      <c r="E66" s="4082" t="s">
        <v>804</v>
      </c>
      <c r="F66" s="4082" t="s">
        <v>211</v>
      </c>
      <c r="G66" s="4083">
        <v>0</v>
      </c>
      <c r="H66" s="4083">
        <v>0</v>
      </c>
      <c r="I66" s="4084">
        <v>0</v>
      </c>
      <c r="J66" s="4082">
        <v>14</v>
      </c>
      <c r="K66" s="4082" t="s">
        <v>259</v>
      </c>
      <c r="L66" s="4086" t="e">
        <v>#DIV/0!</v>
      </c>
      <c r="M66" s="4086" t="e">
        <v>#DIV/0!</v>
      </c>
      <c r="N66" s="4087">
        <v>0</v>
      </c>
      <c r="O66" s="4087">
        <v>0</v>
      </c>
      <c r="P66" s="4087">
        <v>0</v>
      </c>
      <c r="Q66" s="4087">
        <v>0</v>
      </c>
      <c r="R66" s="4085">
        <v>1.081</v>
      </c>
      <c r="S66" s="3923">
        <f t="shared" si="10"/>
        <v>0</v>
      </c>
      <c r="T66" s="3923">
        <f t="shared" si="10"/>
        <v>0</v>
      </c>
      <c r="U66" s="3923">
        <f t="shared" si="10"/>
        <v>0</v>
      </c>
      <c r="V66" s="4077" t="e">
        <f t="shared" si="12"/>
        <v>#DIV/0!</v>
      </c>
      <c r="W66" s="4077" t="e">
        <f t="shared" si="11"/>
        <v>#DIV/0!</v>
      </c>
      <c r="X66" s="4077" t="e">
        <f t="shared" si="13"/>
        <v>#DIV/0!</v>
      </c>
    </row>
    <row r="67" spans="2:24" ht="13.8" x14ac:dyDescent="0.3">
      <c r="B67" s="4019"/>
      <c r="C67" s="4081" t="s">
        <v>436</v>
      </c>
      <c r="D67" s="4081">
        <v>0</v>
      </c>
      <c r="E67" s="4082" t="s">
        <v>804</v>
      </c>
      <c r="F67" s="4082" t="s">
        <v>211</v>
      </c>
      <c r="G67" s="4083">
        <v>0</v>
      </c>
      <c r="H67" s="4083">
        <v>0</v>
      </c>
      <c r="I67" s="4084">
        <v>0</v>
      </c>
      <c r="J67" s="4082">
        <v>14</v>
      </c>
      <c r="K67" s="4082" t="s">
        <v>259</v>
      </c>
      <c r="L67" s="4086" t="e">
        <v>#DIV/0!</v>
      </c>
      <c r="M67" s="4086" t="e">
        <v>#DIV/0!</v>
      </c>
      <c r="N67" s="4087">
        <v>0</v>
      </c>
      <c r="O67" s="4087">
        <v>0</v>
      </c>
      <c r="P67" s="4087">
        <v>0</v>
      </c>
      <c r="Q67" s="4087">
        <v>0</v>
      </c>
      <c r="R67" s="4085">
        <v>1.081</v>
      </c>
      <c r="S67" s="3923">
        <f t="shared" si="10"/>
        <v>0</v>
      </c>
      <c r="T67" s="3923">
        <f t="shared" si="10"/>
        <v>0</v>
      </c>
      <c r="U67" s="3923">
        <f t="shared" si="10"/>
        <v>0</v>
      </c>
      <c r="V67" s="4077" t="e">
        <f t="shared" si="12"/>
        <v>#DIV/0!</v>
      </c>
      <c r="W67" s="4077" t="e">
        <f t="shared" si="11"/>
        <v>#DIV/0!</v>
      </c>
      <c r="X67" s="4077" t="e">
        <f t="shared" si="13"/>
        <v>#DIV/0!</v>
      </c>
    </row>
    <row r="68" spans="2:24" ht="13.8" x14ac:dyDescent="0.3">
      <c r="B68" s="4019"/>
      <c r="C68" s="4081" t="s">
        <v>437</v>
      </c>
      <c r="D68" s="4082">
        <v>2.5</v>
      </c>
      <c r="E68" s="4082" t="s">
        <v>804</v>
      </c>
      <c r="F68" s="4082" t="s">
        <v>211</v>
      </c>
      <c r="G68" s="4083">
        <v>0</v>
      </c>
      <c r="H68" s="4083">
        <v>0</v>
      </c>
      <c r="I68" s="4084">
        <v>0</v>
      </c>
      <c r="J68" s="4082">
        <v>14</v>
      </c>
      <c r="K68" s="4082" t="s">
        <v>259</v>
      </c>
      <c r="L68" s="4086" t="e">
        <v>#DIV/0!</v>
      </c>
      <c r="M68" s="4086" t="e">
        <v>#DIV/0!</v>
      </c>
      <c r="N68" s="4087">
        <v>0</v>
      </c>
      <c r="O68" s="4087">
        <v>0</v>
      </c>
      <c r="P68" s="4087">
        <v>70.220377079792883</v>
      </c>
      <c r="Q68" s="4087">
        <v>77.242414787772162</v>
      </c>
      <c r="R68" s="4085">
        <v>1.081</v>
      </c>
      <c r="S68" s="3923">
        <f t="shared" si="10"/>
        <v>0</v>
      </c>
      <c r="T68" s="3923">
        <f t="shared" si="10"/>
        <v>0</v>
      </c>
      <c r="U68" s="3923">
        <f t="shared" si="10"/>
        <v>0</v>
      </c>
      <c r="V68" s="4077" t="e">
        <f t="shared" si="12"/>
        <v>#DIV/0!</v>
      </c>
      <c r="W68" s="4077" t="e">
        <f t="shared" si="11"/>
        <v>#DIV/0!</v>
      </c>
      <c r="X68" s="4077" t="e">
        <f t="shared" si="13"/>
        <v>#DIV/0!</v>
      </c>
    </row>
    <row r="69" spans="2:24" ht="13.8" x14ac:dyDescent="0.3">
      <c r="B69" s="4019"/>
      <c r="C69" s="4081" t="s">
        <v>438</v>
      </c>
      <c r="D69" s="4081">
        <v>4.2</v>
      </c>
      <c r="E69" s="4082" t="s">
        <v>804</v>
      </c>
      <c r="F69" s="4082" t="s">
        <v>211</v>
      </c>
      <c r="G69" s="4083">
        <v>0</v>
      </c>
      <c r="H69" s="4083">
        <v>0</v>
      </c>
      <c r="I69" s="4084">
        <v>0</v>
      </c>
      <c r="J69" s="4082">
        <v>14</v>
      </c>
      <c r="K69" s="4082" t="s">
        <v>259</v>
      </c>
      <c r="L69" s="4086" t="e">
        <v>#DIV/0!</v>
      </c>
      <c r="M69" s="4086" t="e">
        <v>#DIV/0!</v>
      </c>
      <c r="N69" s="4087">
        <v>0</v>
      </c>
      <c r="O69" s="4087">
        <v>0</v>
      </c>
      <c r="P69" s="4087">
        <v>170.40144838029741</v>
      </c>
      <c r="Q69" s="4087">
        <v>187.44159321832714</v>
      </c>
      <c r="R69" s="4085">
        <v>1.081</v>
      </c>
      <c r="S69" s="3923">
        <f t="shared" si="10"/>
        <v>0</v>
      </c>
      <c r="T69" s="3923">
        <f t="shared" si="10"/>
        <v>0</v>
      </c>
      <c r="U69" s="3923">
        <f t="shared" si="10"/>
        <v>0</v>
      </c>
      <c r="V69" s="4077" t="e">
        <f t="shared" si="12"/>
        <v>#DIV/0!</v>
      </c>
      <c r="W69" s="4077" t="e">
        <f t="shared" si="11"/>
        <v>#DIV/0!</v>
      </c>
      <c r="X69" s="4077" t="e">
        <f t="shared" si="13"/>
        <v>#DIV/0!</v>
      </c>
    </row>
    <row r="70" spans="2:24" ht="13.8" x14ac:dyDescent="0.3">
      <c r="B70" s="4019"/>
      <c r="C70" s="4081" t="s">
        <v>439</v>
      </c>
      <c r="D70" s="4082">
        <v>4.8</v>
      </c>
      <c r="E70" s="4082" t="s">
        <v>804</v>
      </c>
      <c r="F70" s="4082" t="s">
        <v>211</v>
      </c>
      <c r="G70" s="4083">
        <v>0</v>
      </c>
      <c r="H70" s="4083">
        <v>0</v>
      </c>
      <c r="I70" s="4084">
        <v>0</v>
      </c>
      <c r="J70" s="4082">
        <v>14</v>
      </c>
      <c r="K70" s="4082" t="s">
        <v>259</v>
      </c>
      <c r="L70" s="4086" t="e">
        <v>#DIV/0!</v>
      </c>
      <c r="M70" s="4086" t="e">
        <v>#DIV/0!</v>
      </c>
      <c r="N70" s="4087">
        <v>0</v>
      </c>
      <c r="O70" s="4087">
        <v>0</v>
      </c>
      <c r="P70" s="4087">
        <v>164.78381821391397</v>
      </c>
      <c r="Q70" s="4087">
        <v>181.26220003530534</v>
      </c>
      <c r="R70" s="4085">
        <v>1.081</v>
      </c>
      <c r="S70" s="3923">
        <f t="shared" si="10"/>
        <v>0</v>
      </c>
      <c r="T70" s="3923">
        <f t="shared" si="10"/>
        <v>0</v>
      </c>
      <c r="U70" s="3923">
        <f t="shared" si="10"/>
        <v>0</v>
      </c>
      <c r="V70" s="4077" t="e">
        <f t="shared" si="12"/>
        <v>#DIV/0!</v>
      </c>
      <c r="W70" s="4077" t="e">
        <f t="shared" si="11"/>
        <v>#DIV/0!</v>
      </c>
      <c r="X70" s="4077" t="e">
        <f t="shared" si="13"/>
        <v>#DIV/0!</v>
      </c>
    </row>
    <row r="71" spans="2:24" ht="13.8" x14ac:dyDescent="0.3">
      <c r="B71" s="4019"/>
      <c r="C71" s="4081" t="s">
        <v>440</v>
      </c>
      <c r="D71" s="4081">
        <v>3.1</v>
      </c>
      <c r="E71" s="4082" t="s">
        <v>804</v>
      </c>
      <c r="F71" s="4082" t="s">
        <v>211</v>
      </c>
      <c r="G71" s="4083">
        <v>0</v>
      </c>
      <c r="H71" s="4083">
        <v>0</v>
      </c>
      <c r="I71" s="4084">
        <v>0</v>
      </c>
      <c r="J71" s="4082">
        <v>14</v>
      </c>
      <c r="K71" s="4082" t="s">
        <v>259</v>
      </c>
      <c r="L71" s="4086" t="e">
        <v>#DIV/0!</v>
      </c>
      <c r="M71" s="4086" t="e">
        <v>#DIV/0!</v>
      </c>
      <c r="N71" s="4087">
        <v>0</v>
      </c>
      <c r="O71" s="4087">
        <v>0</v>
      </c>
      <c r="P71" s="4087">
        <v>5224.3960547365905</v>
      </c>
      <c r="Q71" s="4087">
        <v>5746.8356602102485</v>
      </c>
      <c r="R71" s="4085">
        <v>1.081</v>
      </c>
      <c r="S71" s="3923">
        <f t="shared" si="10"/>
        <v>0</v>
      </c>
      <c r="T71" s="3923">
        <f t="shared" si="10"/>
        <v>0</v>
      </c>
      <c r="U71" s="3923">
        <f t="shared" si="10"/>
        <v>0</v>
      </c>
      <c r="V71" s="4077" t="e">
        <f t="shared" si="12"/>
        <v>#DIV/0!</v>
      </c>
      <c r="W71" s="4077" t="e">
        <f t="shared" si="11"/>
        <v>#DIV/0!</v>
      </c>
      <c r="X71" s="4077" t="e">
        <f t="shared" si="13"/>
        <v>#DIV/0!</v>
      </c>
    </row>
    <row r="72" spans="2:24" ht="13.8" x14ac:dyDescent="0.3">
      <c r="B72" s="4019"/>
      <c r="C72" s="4081" t="s">
        <v>441</v>
      </c>
      <c r="D72" s="4082">
        <v>4</v>
      </c>
      <c r="E72" s="4082" t="s">
        <v>804</v>
      </c>
      <c r="F72" s="4082" t="s">
        <v>211</v>
      </c>
      <c r="G72" s="4083">
        <v>0</v>
      </c>
      <c r="H72" s="4083">
        <v>0</v>
      </c>
      <c r="I72" s="4084">
        <v>0</v>
      </c>
      <c r="J72" s="4082">
        <v>14</v>
      </c>
      <c r="K72" s="4082" t="s">
        <v>259</v>
      </c>
      <c r="L72" s="4086" t="e">
        <v>#DIV/0!</v>
      </c>
      <c r="M72" s="4086" t="e">
        <v>#DIV/0!</v>
      </c>
      <c r="N72" s="4087">
        <v>0</v>
      </c>
      <c r="O72" s="4087">
        <v>0</v>
      </c>
      <c r="P72" s="4087">
        <v>9237.8807180527529</v>
      </c>
      <c r="Q72" s="4087">
        <v>10161.668789858028</v>
      </c>
      <c r="R72" s="4085">
        <v>1.081</v>
      </c>
      <c r="S72" s="3923">
        <f t="shared" si="10"/>
        <v>0</v>
      </c>
      <c r="T72" s="3923">
        <f t="shared" si="10"/>
        <v>0</v>
      </c>
      <c r="U72" s="3923">
        <f t="shared" si="10"/>
        <v>0</v>
      </c>
      <c r="V72" s="4077" t="e">
        <f t="shared" si="12"/>
        <v>#DIV/0!</v>
      </c>
      <c r="W72" s="4077" t="e">
        <f t="shared" si="11"/>
        <v>#DIV/0!</v>
      </c>
      <c r="X72" s="4077" t="e">
        <f t="shared" si="13"/>
        <v>#DIV/0!</v>
      </c>
    </row>
    <row r="73" spans="2:24" ht="13.8" x14ac:dyDescent="0.3">
      <c r="B73" s="4019"/>
      <c r="C73" s="4081" t="s">
        <v>442</v>
      </c>
      <c r="D73" s="4081">
        <v>4.3</v>
      </c>
      <c r="E73" s="4082" t="s">
        <v>804</v>
      </c>
      <c r="F73" s="4082" t="s">
        <v>211</v>
      </c>
      <c r="G73" s="4083">
        <v>0</v>
      </c>
      <c r="H73" s="4083">
        <v>0</v>
      </c>
      <c r="I73" s="4084">
        <v>0</v>
      </c>
      <c r="J73" s="4082">
        <v>14</v>
      </c>
      <c r="K73" s="4082" t="s">
        <v>259</v>
      </c>
      <c r="L73" s="4086" t="e">
        <v>#DIV/0!</v>
      </c>
      <c r="M73" s="4086" t="e">
        <v>#DIV/0!</v>
      </c>
      <c r="N73" s="4087">
        <v>0</v>
      </c>
      <c r="O73" s="4087">
        <v>0</v>
      </c>
      <c r="P73" s="4087">
        <v>9393.926000452293</v>
      </c>
      <c r="Q73" s="4087">
        <v>10333.318600497521</v>
      </c>
      <c r="R73" s="4085">
        <v>1.081</v>
      </c>
      <c r="S73" s="3923">
        <f t="shared" si="10"/>
        <v>0</v>
      </c>
      <c r="T73" s="3923">
        <f t="shared" si="10"/>
        <v>0</v>
      </c>
      <c r="U73" s="3923">
        <f t="shared" si="10"/>
        <v>0</v>
      </c>
      <c r="V73" s="4077" t="e">
        <f t="shared" si="12"/>
        <v>#DIV/0!</v>
      </c>
      <c r="W73" s="4077" t="e">
        <f t="shared" si="11"/>
        <v>#DIV/0!</v>
      </c>
      <c r="X73" s="4077" t="e">
        <f t="shared" si="13"/>
        <v>#DIV/0!</v>
      </c>
    </row>
    <row r="74" spans="2:24" ht="13.8" x14ac:dyDescent="0.3">
      <c r="B74" s="4019"/>
      <c r="C74" s="4081" t="s">
        <v>443</v>
      </c>
      <c r="D74" s="4082">
        <v>5.6</v>
      </c>
      <c r="E74" s="4082" t="s">
        <v>804</v>
      </c>
      <c r="F74" s="4082" t="s">
        <v>211</v>
      </c>
      <c r="G74" s="4083">
        <v>0</v>
      </c>
      <c r="H74" s="4083">
        <v>0</v>
      </c>
      <c r="I74" s="4084">
        <v>0</v>
      </c>
      <c r="J74" s="4082">
        <v>14</v>
      </c>
      <c r="K74" s="4082" t="s">
        <v>259</v>
      </c>
      <c r="L74" s="4086" t="e">
        <v>#DIV/0!</v>
      </c>
      <c r="M74" s="4086" t="e">
        <v>#DIV/0!</v>
      </c>
      <c r="N74" s="4087">
        <v>0</v>
      </c>
      <c r="O74" s="4087">
        <v>0</v>
      </c>
      <c r="P74" s="4087">
        <v>2446.7900280247832</v>
      </c>
      <c r="Q74" s="4087">
        <v>2691.4690308272611</v>
      </c>
      <c r="R74" s="4085">
        <v>1.081</v>
      </c>
      <c r="S74" s="3923">
        <f t="shared" si="10"/>
        <v>0</v>
      </c>
      <c r="T74" s="3923">
        <f t="shared" si="10"/>
        <v>0</v>
      </c>
      <c r="U74" s="3923">
        <f t="shared" si="10"/>
        <v>0</v>
      </c>
      <c r="V74" s="4077" t="e">
        <f t="shared" si="12"/>
        <v>#DIV/0!</v>
      </c>
      <c r="W74" s="4077" t="e">
        <f t="shared" si="11"/>
        <v>#DIV/0!</v>
      </c>
      <c r="X74" s="4077" t="e">
        <f t="shared" si="13"/>
        <v>#DIV/0!</v>
      </c>
    </row>
    <row r="75" spans="2:24" ht="13.8" x14ac:dyDescent="0.3">
      <c r="B75" s="4019"/>
      <c r="C75" s="4081" t="s">
        <v>444</v>
      </c>
      <c r="D75" s="4081">
        <v>8.3000000000000007</v>
      </c>
      <c r="E75" s="4082" t="s">
        <v>804</v>
      </c>
      <c r="F75" s="4082" t="s">
        <v>211</v>
      </c>
      <c r="G75" s="4083">
        <v>0</v>
      </c>
      <c r="H75" s="4083">
        <v>0</v>
      </c>
      <c r="I75" s="4084">
        <v>0.12780263304219883</v>
      </c>
      <c r="J75" s="4082">
        <v>14</v>
      </c>
      <c r="K75" s="4082" t="s">
        <v>259</v>
      </c>
      <c r="L75" s="4086" t="e">
        <v>#DIV/0!</v>
      </c>
      <c r="M75" s="4086" t="e">
        <v>#DIV/0!</v>
      </c>
      <c r="N75" s="4087">
        <v>0</v>
      </c>
      <c r="O75" s="4087">
        <v>0</v>
      </c>
      <c r="P75" s="4087">
        <v>4662.6330380982481</v>
      </c>
      <c r="Q75" s="4087">
        <v>5128.8963419080719</v>
      </c>
      <c r="R75" s="4085">
        <v>1.081</v>
      </c>
      <c r="S75" s="3923">
        <f t="shared" si="10"/>
        <v>0</v>
      </c>
      <c r="T75" s="3923">
        <f t="shared" si="10"/>
        <v>0</v>
      </c>
      <c r="U75" s="3923">
        <f t="shared" si="10"/>
        <v>0</v>
      </c>
      <c r="V75" s="4077" t="e">
        <f t="shared" si="12"/>
        <v>#DIV/0!</v>
      </c>
      <c r="W75" s="4077" t="e">
        <f t="shared" si="11"/>
        <v>#DIV/0!</v>
      </c>
      <c r="X75" s="4077" t="e">
        <f t="shared" si="13"/>
        <v>#DIV/0!</v>
      </c>
    </row>
    <row r="76" spans="2:24" ht="13.8" x14ac:dyDescent="0.3">
      <c r="B76" s="4019"/>
      <c r="C76" s="4081" t="s">
        <v>445</v>
      </c>
      <c r="D76" s="4082">
        <v>9.1</v>
      </c>
      <c r="E76" s="4082" t="s">
        <v>804</v>
      </c>
      <c r="F76" s="4082" t="s">
        <v>211</v>
      </c>
      <c r="G76" s="4083">
        <v>0</v>
      </c>
      <c r="H76" s="4083">
        <v>0</v>
      </c>
      <c r="I76" s="4084">
        <v>0.14012095911855535</v>
      </c>
      <c r="J76" s="4082">
        <v>14</v>
      </c>
      <c r="K76" s="4082" t="s">
        <v>259</v>
      </c>
      <c r="L76" s="4086" t="e">
        <v>#DIV/0!</v>
      </c>
      <c r="M76" s="4086" t="e">
        <v>#DIV/0!</v>
      </c>
      <c r="N76" s="4087">
        <v>0</v>
      </c>
      <c r="O76" s="4087">
        <v>0</v>
      </c>
      <c r="P76" s="4087">
        <v>5112.0434514089229</v>
      </c>
      <c r="Q76" s="4087">
        <v>5623.2477965498147</v>
      </c>
      <c r="R76" s="4085">
        <v>1.081</v>
      </c>
      <c r="S76" s="3923">
        <f t="shared" si="10"/>
        <v>0</v>
      </c>
      <c r="T76" s="3923">
        <f t="shared" si="10"/>
        <v>0</v>
      </c>
      <c r="U76" s="3923">
        <f t="shared" si="10"/>
        <v>0</v>
      </c>
      <c r="V76" s="4077" t="e">
        <f t="shared" si="12"/>
        <v>#DIV/0!</v>
      </c>
      <c r="W76" s="4077" t="e">
        <f t="shared" si="11"/>
        <v>#DIV/0!</v>
      </c>
      <c r="X76" s="4077" t="e">
        <f t="shared" si="13"/>
        <v>#DIV/0!</v>
      </c>
    </row>
    <row r="77" spans="2:24" ht="13.8" x14ac:dyDescent="0.3">
      <c r="B77" s="4019"/>
      <c r="C77" s="4019" t="s">
        <v>225</v>
      </c>
      <c r="D77" s="4019">
        <v>0</v>
      </c>
      <c r="E77" s="4019" t="s">
        <v>617</v>
      </c>
      <c r="F77" s="4019" t="s">
        <v>211</v>
      </c>
      <c r="G77" s="4020"/>
      <c r="H77" s="4020"/>
      <c r="I77" s="4075">
        <v>0</v>
      </c>
      <c r="J77" s="4000"/>
      <c r="K77" s="4000"/>
      <c r="L77" s="3933" t="e">
        <f t="shared" ref="L77:M103" si="14">P77/N77</f>
        <v>#DIV/0!</v>
      </c>
      <c r="M77" s="3933" t="e">
        <f t="shared" si="14"/>
        <v>#DIV/0!</v>
      </c>
      <c r="N77" s="3973">
        <f t="shared" ref="N77:N103" si="15">(($I77*$F$56)+$U77)/$R77</f>
        <v>0</v>
      </c>
      <c r="O77" s="3973">
        <f t="shared" ref="O77:O103" si="16">(($I77*$F$56)+($G77*$O27))/$R77</f>
        <v>0</v>
      </c>
      <c r="P77" s="3973">
        <f>IF(K77=0, 0, (HLOOKUP(K77,'[1]G-CESTD'!$A$5:$G$35,J77+1,FALSE)*R27))</f>
        <v>0</v>
      </c>
      <c r="Q77" s="3973">
        <f>IF(K77=0, 0, (HLOOKUP(K77,'[1]G-CESTD'!$A$5:$G$35,J77+1,FALSE)*R27))</f>
        <v>0</v>
      </c>
      <c r="R77" s="4018">
        <v>1.081</v>
      </c>
      <c r="S77" s="3923">
        <f t="shared" si="10"/>
        <v>0</v>
      </c>
      <c r="T77" s="3923">
        <f t="shared" si="10"/>
        <v>0</v>
      </c>
      <c r="U77" s="3923">
        <f t="shared" si="10"/>
        <v>0</v>
      </c>
      <c r="V77" s="4077" t="e">
        <f t="shared" si="12"/>
        <v>#DIV/0!</v>
      </c>
      <c r="W77" s="4077" t="e">
        <f t="shared" si="11"/>
        <v>#DIV/0!</v>
      </c>
      <c r="X77" s="4077" t="e">
        <f t="shared" si="13"/>
        <v>#DIV/0!</v>
      </c>
    </row>
    <row r="78" spans="2:24" ht="13.8" x14ac:dyDescent="0.3">
      <c r="B78" s="4019"/>
      <c r="C78" s="4019" t="s">
        <v>226</v>
      </c>
      <c r="D78" s="4000">
        <v>0</v>
      </c>
      <c r="E78" s="4019" t="s">
        <v>617</v>
      </c>
      <c r="F78" s="4019" t="s">
        <v>211</v>
      </c>
      <c r="G78" s="4020"/>
      <c r="H78" s="4020"/>
      <c r="I78" s="4075">
        <v>0</v>
      </c>
      <c r="J78" s="4000"/>
      <c r="K78" s="4000"/>
      <c r="L78" s="3933" t="e">
        <f t="shared" si="14"/>
        <v>#DIV/0!</v>
      </c>
      <c r="M78" s="3933" t="e">
        <f t="shared" si="14"/>
        <v>#DIV/0!</v>
      </c>
      <c r="N78" s="3973">
        <f t="shared" si="15"/>
        <v>0</v>
      </c>
      <c r="O78" s="3973">
        <f t="shared" si="16"/>
        <v>0</v>
      </c>
      <c r="P78" s="3973">
        <f>IF(K78=0, 0, (HLOOKUP(K78,'[1]G-CESTD'!$A$5:$G$35,J78+1,FALSE)*R28))</f>
        <v>0</v>
      </c>
      <c r="Q78" s="3973">
        <f>IF(K78=0, 0, (HLOOKUP(K78,'[1]G-CESTD'!$A$5:$G$35,J78+1,FALSE)*R28))</f>
        <v>0</v>
      </c>
      <c r="R78" s="4018">
        <v>1.081</v>
      </c>
      <c r="S78" s="3923">
        <f t="shared" ref="S78:U103" si="17">M28*$H78</f>
        <v>0</v>
      </c>
      <c r="T78" s="3923">
        <f t="shared" si="17"/>
        <v>0</v>
      </c>
      <c r="U78" s="3923">
        <f t="shared" si="17"/>
        <v>0</v>
      </c>
      <c r="V78" s="4077" t="e">
        <f t="shared" si="12"/>
        <v>#DIV/0!</v>
      </c>
      <c r="W78" s="4077" t="e">
        <f t="shared" si="11"/>
        <v>#DIV/0!</v>
      </c>
      <c r="X78" s="4077" t="e">
        <f t="shared" si="13"/>
        <v>#DIV/0!</v>
      </c>
    </row>
    <row r="79" spans="2:24" ht="13.8" x14ac:dyDescent="0.3">
      <c r="B79" s="4019"/>
      <c r="C79" s="4019" t="s">
        <v>227</v>
      </c>
      <c r="D79" s="4019">
        <v>0</v>
      </c>
      <c r="E79" s="4019" t="s">
        <v>617</v>
      </c>
      <c r="F79" s="4019" t="s">
        <v>211</v>
      </c>
      <c r="G79" s="4020"/>
      <c r="H79" s="4020"/>
      <c r="I79" s="4075">
        <v>0</v>
      </c>
      <c r="J79" s="4000"/>
      <c r="K79" s="4000"/>
      <c r="L79" s="3933" t="e">
        <f t="shared" si="14"/>
        <v>#DIV/0!</v>
      </c>
      <c r="M79" s="3933" t="e">
        <f t="shared" si="14"/>
        <v>#DIV/0!</v>
      </c>
      <c r="N79" s="3973">
        <f t="shared" si="15"/>
        <v>0</v>
      </c>
      <c r="O79" s="3973">
        <f t="shared" si="16"/>
        <v>0</v>
      </c>
      <c r="P79" s="3973">
        <f>IF(K79=0, 0, (HLOOKUP(K79,'[1]G-CESTD'!$A$5:$G$35,J79+1,FALSE)*R29))</f>
        <v>0</v>
      </c>
      <c r="Q79" s="3973">
        <f>IF(K79=0, 0, (HLOOKUP(K79,'[1]G-CESTD'!$A$5:$G$35,J79+1,FALSE)*R29))</f>
        <v>0</v>
      </c>
      <c r="R79" s="4018">
        <v>1.081</v>
      </c>
      <c r="S79" s="3923">
        <f t="shared" si="17"/>
        <v>0</v>
      </c>
      <c r="T79" s="3923">
        <f t="shared" si="17"/>
        <v>0</v>
      </c>
      <c r="U79" s="3923">
        <f t="shared" si="17"/>
        <v>0</v>
      </c>
      <c r="V79" s="4077" t="e">
        <f t="shared" si="12"/>
        <v>#DIV/0!</v>
      </c>
      <c r="W79" s="4077" t="e">
        <f t="shared" si="11"/>
        <v>#DIV/0!</v>
      </c>
      <c r="X79" s="4077" t="e">
        <f t="shared" si="13"/>
        <v>#DIV/0!</v>
      </c>
    </row>
    <row r="80" spans="2:24" ht="13.8" x14ac:dyDescent="0.3">
      <c r="B80" s="4019"/>
      <c r="C80" s="4019" t="s">
        <v>228</v>
      </c>
      <c r="D80" s="4019">
        <v>0</v>
      </c>
      <c r="E80" s="4019" t="s">
        <v>617</v>
      </c>
      <c r="F80" s="4019" t="s">
        <v>211</v>
      </c>
      <c r="G80" s="4020"/>
      <c r="H80" s="4020"/>
      <c r="I80" s="4075">
        <v>0</v>
      </c>
      <c r="J80" s="4000"/>
      <c r="K80" s="4000"/>
      <c r="L80" s="3933" t="e">
        <f t="shared" si="14"/>
        <v>#DIV/0!</v>
      </c>
      <c r="M80" s="3933" t="e">
        <f t="shared" si="14"/>
        <v>#DIV/0!</v>
      </c>
      <c r="N80" s="3973">
        <f t="shared" si="15"/>
        <v>0</v>
      </c>
      <c r="O80" s="3973">
        <f t="shared" si="16"/>
        <v>0</v>
      </c>
      <c r="P80" s="3973">
        <f>IF(K80=0, 0, (HLOOKUP(K80,'[1]G-CESTD'!$A$5:$G$35,J80+1,FALSE)*R30))</f>
        <v>0</v>
      </c>
      <c r="Q80" s="3973">
        <f>IF(K80=0, 0, (HLOOKUP(K80,'[1]G-CESTD'!$A$5:$G$35,J80+1,FALSE)*R30))</f>
        <v>0</v>
      </c>
      <c r="R80" s="4018">
        <v>1.081</v>
      </c>
      <c r="S80" s="3923">
        <f t="shared" si="17"/>
        <v>0</v>
      </c>
      <c r="T80" s="3923">
        <f t="shared" si="17"/>
        <v>0</v>
      </c>
      <c r="U80" s="3923">
        <f t="shared" si="17"/>
        <v>0</v>
      </c>
      <c r="V80" s="4077" t="e">
        <f t="shared" si="12"/>
        <v>#DIV/0!</v>
      </c>
      <c r="W80" s="4077" t="e">
        <f t="shared" si="11"/>
        <v>#DIV/0!</v>
      </c>
      <c r="X80" s="4077" t="e">
        <f t="shared" si="13"/>
        <v>#DIV/0!</v>
      </c>
    </row>
    <row r="81" spans="2:21" ht="13.8" x14ac:dyDescent="0.3">
      <c r="B81" s="4019"/>
      <c r="C81" s="4019" t="s">
        <v>229</v>
      </c>
      <c r="D81" s="4019">
        <v>0</v>
      </c>
      <c r="E81" s="4019" t="s">
        <v>617</v>
      </c>
      <c r="F81" s="4019" t="s">
        <v>211</v>
      </c>
      <c r="G81" s="4020"/>
      <c r="H81" s="4020"/>
      <c r="I81" s="4075">
        <v>0</v>
      </c>
      <c r="J81" s="4000"/>
      <c r="K81" s="4000"/>
      <c r="L81" s="3933" t="e">
        <f t="shared" si="14"/>
        <v>#DIV/0!</v>
      </c>
      <c r="M81" s="3933" t="e">
        <f t="shared" si="14"/>
        <v>#DIV/0!</v>
      </c>
      <c r="N81" s="3973">
        <f t="shared" si="15"/>
        <v>0</v>
      </c>
      <c r="O81" s="3973">
        <f t="shared" si="16"/>
        <v>0</v>
      </c>
      <c r="P81" s="3973">
        <f>IF(K81=0, 0, (HLOOKUP(K81,'[1]G-CESTD'!$A$5:$G$35,J81+1,FALSE)*R31))</f>
        <v>0</v>
      </c>
      <c r="Q81" s="3973">
        <f>IF(K81=0, 0, (HLOOKUP(K81,'[1]G-CESTD'!$A$5:$G$35,J81+1,FALSE)*R31))</f>
        <v>0</v>
      </c>
      <c r="R81" s="4018">
        <v>1.081</v>
      </c>
      <c r="S81" s="3923">
        <f t="shared" si="17"/>
        <v>0</v>
      </c>
      <c r="T81" s="3923">
        <f t="shared" si="17"/>
        <v>0</v>
      </c>
      <c r="U81" s="3923">
        <f t="shared" si="17"/>
        <v>0</v>
      </c>
    </row>
    <row r="82" spans="2:21" ht="13.8" x14ac:dyDescent="0.3">
      <c r="B82" s="4019"/>
      <c r="C82" s="4019" t="s">
        <v>230</v>
      </c>
      <c r="D82" s="4021">
        <v>0</v>
      </c>
      <c r="E82" s="4019" t="s">
        <v>617</v>
      </c>
      <c r="F82" s="4019" t="s">
        <v>211</v>
      </c>
      <c r="G82" s="4020"/>
      <c r="H82" s="4020"/>
      <c r="I82" s="4075">
        <v>0</v>
      </c>
      <c r="J82" s="4000"/>
      <c r="K82" s="4000"/>
      <c r="L82" s="3933" t="e">
        <f t="shared" si="14"/>
        <v>#DIV/0!</v>
      </c>
      <c r="M82" s="3933" t="e">
        <f t="shared" si="14"/>
        <v>#DIV/0!</v>
      </c>
      <c r="N82" s="3973">
        <f t="shared" si="15"/>
        <v>0</v>
      </c>
      <c r="O82" s="3973">
        <f t="shared" si="16"/>
        <v>0</v>
      </c>
      <c r="P82" s="3973">
        <f>IF(K82=0, 0, (HLOOKUP(K82,'[1]G-CESTD'!$A$5:$G$35,J82+1,FALSE)*R32))</f>
        <v>0</v>
      </c>
      <c r="Q82" s="3973">
        <f>IF(K82=0, 0, (HLOOKUP(K82,'[1]G-CESTD'!$A$5:$G$35,J82+1,FALSE)*R32))</f>
        <v>0</v>
      </c>
      <c r="R82" s="4018">
        <v>1.081</v>
      </c>
      <c r="S82" s="3923">
        <f t="shared" si="17"/>
        <v>0</v>
      </c>
      <c r="T82" s="3923">
        <f t="shared" si="17"/>
        <v>0</v>
      </c>
      <c r="U82" s="3923">
        <f t="shared" si="17"/>
        <v>0</v>
      </c>
    </row>
    <row r="83" spans="2:21" ht="13.8" x14ac:dyDescent="0.3">
      <c r="B83" s="4019"/>
      <c r="C83" s="4019" t="s">
        <v>231</v>
      </c>
      <c r="D83" s="4021">
        <v>0</v>
      </c>
      <c r="E83" s="4019" t="s">
        <v>617</v>
      </c>
      <c r="F83" s="4019" t="s">
        <v>211</v>
      </c>
      <c r="G83" s="4020"/>
      <c r="H83" s="4020"/>
      <c r="I83" s="4075">
        <v>0</v>
      </c>
      <c r="J83" s="4000"/>
      <c r="K83" s="4000"/>
      <c r="L83" s="3933" t="e">
        <f t="shared" si="14"/>
        <v>#DIV/0!</v>
      </c>
      <c r="M83" s="3933" t="e">
        <f t="shared" si="14"/>
        <v>#DIV/0!</v>
      </c>
      <c r="N83" s="3973">
        <f t="shared" si="15"/>
        <v>0</v>
      </c>
      <c r="O83" s="3973">
        <f t="shared" si="16"/>
        <v>0</v>
      </c>
      <c r="P83" s="3973">
        <f>IF(K83=0, 0, (HLOOKUP(K83,'[1]G-CESTD'!$A$5:$G$35,J83+1,FALSE)*R33))</f>
        <v>0</v>
      </c>
      <c r="Q83" s="3973">
        <f>IF(K83=0, 0, (HLOOKUP(K83,'[1]G-CESTD'!$A$5:$G$35,J83+1,FALSE)*R33))</f>
        <v>0</v>
      </c>
      <c r="R83" s="4018">
        <v>1.081</v>
      </c>
      <c r="S83" s="3923">
        <f t="shared" si="17"/>
        <v>0</v>
      </c>
      <c r="T83" s="3923">
        <f t="shared" si="17"/>
        <v>0</v>
      </c>
      <c r="U83" s="3923">
        <f t="shared" si="17"/>
        <v>0</v>
      </c>
    </row>
    <row r="84" spans="2:21" ht="13.8" x14ac:dyDescent="0.3">
      <c r="B84" s="4019"/>
      <c r="C84" s="4019" t="s">
        <v>232</v>
      </c>
      <c r="D84" s="4021">
        <v>0</v>
      </c>
      <c r="E84" s="4019" t="s">
        <v>617</v>
      </c>
      <c r="F84" s="4019" t="s">
        <v>211</v>
      </c>
      <c r="G84" s="4020"/>
      <c r="H84" s="4020"/>
      <c r="I84" s="4075">
        <v>0</v>
      </c>
      <c r="J84" s="4000"/>
      <c r="K84" s="4000"/>
      <c r="L84" s="3933" t="e">
        <f t="shared" si="14"/>
        <v>#DIV/0!</v>
      </c>
      <c r="M84" s="3933" t="e">
        <f t="shared" si="14"/>
        <v>#DIV/0!</v>
      </c>
      <c r="N84" s="3973">
        <f t="shared" si="15"/>
        <v>0</v>
      </c>
      <c r="O84" s="3973">
        <f t="shared" si="16"/>
        <v>0</v>
      </c>
      <c r="P84" s="3973">
        <f>IF(K84=0, 0, (HLOOKUP(K84,'[1]G-CESTD'!$A$5:$G$35,J84+1,FALSE)*R34))</f>
        <v>0</v>
      </c>
      <c r="Q84" s="3973">
        <f>IF(K84=0, 0, (HLOOKUP(K84,'[1]G-CESTD'!$A$5:$G$35,J84+1,FALSE)*R34))</f>
        <v>0</v>
      </c>
      <c r="R84" s="4018">
        <v>1.081</v>
      </c>
      <c r="S84" s="3923">
        <f t="shared" si="17"/>
        <v>0</v>
      </c>
      <c r="T84" s="3923">
        <f t="shared" si="17"/>
        <v>0</v>
      </c>
      <c r="U84" s="3923">
        <f t="shared" si="17"/>
        <v>0</v>
      </c>
    </row>
    <row r="85" spans="2:21" ht="13.8" x14ac:dyDescent="0.3">
      <c r="B85" s="4019"/>
      <c r="C85" s="4019" t="s">
        <v>233</v>
      </c>
      <c r="D85" s="4021">
        <v>0</v>
      </c>
      <c r="E85" s="4019" t="s">
        <v>617</v>
      </c>
      <c r="F85" s="4019" t="s">
        <v>211</v>
      </c>
      <c r="G85" s="4020"/>
      <c r="H85" s="4020"/>
      <c r="I85" s="4075">
        <v>0</v>
      </c>
      <c r="J85" s="4000"/>
      <c r="K85" s="4000"/>
      <c r="L85" s="3933" t="e">
        <f t="shared" si="14"/>
        <v>#DIV/0!</v>
      </c>
      <c r="M85" s="3933" t="e">
        <f t="shared" si="14"/>
        <v>#DIV/0!</v>
      </c>
      <c r="N85" s="3973">
        <f t="shared" si="15"/>
        <v>0</v>
      </c>
      <c r="O85" s="3973">
        <f t="shared" si="16"/>
        <v>0</v>
      </c>
      <c r="P85" s="3973">
        <f>IF(K85=0, 0, (HLOOKUP(K85,'[1]G-CESTD'!$A$5:$G$35,J85+1,FALSE)*R35))</f>
        <v>0</v>
      </c>
      <c r="Q85" s="3973">
        <f>IF(K85=0, 0, (HLOOKUP(K85,'[1]G-CESTD'!$A$5:$G$35,J85+1,FALSE)*R35))</f>
        <v>0</v>
      </c>
      <c r="R85" s="4018">
        <v>1.081</v>
      </c>
      <c r="S85" s="3923">
        <f t="shared" si="17"/>
        <v>0</v>
      </c>
      <c r="T85" s="3923">
        <f t="shared" si="17"/>
        <v>0</v>
      </c>
      <c r="U85" s="3923">
        <f t="shared" si="17"/>
        <v>0</v>
      </c>
    </row>
    <row r="86" spans="2:21" ht="13.8" x14ac:dyDescent="0.3">
      <c r="B86" s="4019"/>
      <c r="C86" s="4019" t="s">
        <v>234</v>
      </c>
      <c r="D86" s="4021">
        <v>0</v>
      </c>
      <c r="E86" s="4019" t="s">
        <v>617</v>
      </c>
      <c r="F86" s="4019" t="s">
        <v>211</v>
      </c>
      <c r="G86" s="4020"/>
      <c r="H86" s="4020"/>
      <c r="I86" s="4075">
        <v>0</v>
      </c>
      <c r="J86" s="4000"/>
      <c r="K86" s="4000"/>
      <c r="L86" s="3933" t="e">
        <f t="shared" si="14"/>
        <v>#DIV/0!</v>
      </c>
      <c r="M86" s="3933" t="e">
        <f t="shared" si="14"/>
        <v>#DIV/0!</v>
      </c>
      <c r="N86" s="3973">
        <f t="shared" si="15"/>
        <v>0</v>
      </c>
      <c r="O86" s="3973">
        <f t="shared" si="16"/>
        <v>0</v>
      </c>
      <c r="P86" s="3973">
        <f>IF(K86=0, 0, (HLOOKUP(K86,'[1]G-CESTD'!$A$5:$G$35,J86+1,FALSE)*R36))</f>
        <v>0</v>
      </c>
      <c r="Q86" s="3973">
        <f>IF(K86=0, 0, (HLOOKUP(K86,'[1]G-CESTD'!$A$5:$G$35,J86+1,FALSE)*R36))</f>
        <v>0</v>
      </c>
      <c r="R86" s="4018">
        <v>1.081</v>
      </c>
      <c r="S86" s="3923">
        <f t="shared" si="17"/>
        <v>0</v>
      </c>
      <c r="T86" s="3923">
        <f t="shared" si="17"/>
        <v>0</v>
      </c>
      <c r="U86" s="3923">
        <f t="shared" si="17"/>
        <v>0</v>
      </c>
    </row>
    <row r="87" spans="2:21" ht="13.8" x14ac:dyDescent="0.3">
      <c r="B87" s="4019"/>
      <c r="C87" s="4019" t="s">
        <v>235</v>
      </c>
      <c r="D87" s="4021">
        <v>0</v>
      </c>
      <c r="E87" s="4019" t="s">
        <v>617</v>
      </c>
      <c r="F87" s="4019" t="s">
        <v>211</v>
      </c>
      <c r="G87" s="4020"/>
      <c r="H87" s="4020"/>
      <c r="I87" s="4075">
        <v>0</v>
      </c>
      <c r="J87" s="4000"/>
      <c r="K87" s="4000"/>
      <c r="L87" s="3933" t="e">
        <f t="shared" si="14"/>
        <v>#DIV/0!</v>
      </c>
      <c r="M87" s="3933" t="e">
        <f t="shared" si="14"/>
        <v>#DIV/0!</v>
      </c>
      <c r="N87" s="3973">
        <f t="shared" si="15"/>
        <v>0</v>
      </c>
      <c r="O87" s="3973">
        <f t="shared" si="16"/>
        <v>0</v>
      </c>
      <c r="P87" s="3973">
        <f>IF(K87=0, 0, (HLOOKUP(K87,'[1]G-CESTD'!$A$5:$G$35,J87+1,FALSE)*R37))</f>
        <v>0</v>
      </c>
      <c r="Q87" s="3973">
        <f>IF(K87=0, 0, (HLOOKUP(K87,'[1]G-CESTD'!$A$5:$G$35,J87+1,FALSE)*R37))</f>
        <v>0</v>
      </c>
      <c r="R87" s="4018">
        <v>1.081</v>
      </c>
      <c r="S87" s="3923">
        <f t="shared" si="17"/>
        <v>0</v>
      </c>
      <c r="T87" s="3923">
        <f t="shared" si="17"/>
        <v>0</v>
      </c>
      <c r="U87" s="3923">
        <f t="shared" si="17"/>
        <v>0</v>
      </c>
    </row>
    <row r="88" spans="2:21" ht="13.8" x14ac:dyDescent="0.3">
      <c r="B88" s="4019"/>
      <c r="C88" s="4019" t="s">
        <v>236</v>
      </c>
      <c r="D88" s="4021">
        <v>0</v>
      </c>
      <c r="E88" s="4019" t="s">
        <v>617</v>
      </c>
      <c r="F88" s="4019" t="s">
        <v>211</v>
      </c>
      <c r="G88" s="4020"/>
      <c r="H88" s="4020"/>
      <c r="I88" s="4075">
        <v>0</v>
      </c>
      <c r="J88" s="4000"/>
      <c r="K88" s="4000"/>
      <c r="L88" s="3933" t="e">
        <f t="shared" si="14"/>
        <v>#DIV/0!</v>
      </c>
      <c r="M88" s="3933" t="e">
        <f t="shared" si="14"/>
        <v>#DIV/0!</v>
      </c>
      <c r="N88" s="3973">
        <f t="shared" si="15"/>
        <v>0</v>
      </c>
      <c r="O88" s="3973">
        <f t="shared" si="16"/>
        <v>0</v>
      </c>
      <c r="P88" s="3973">
        <f>IF(K88=0, 0, (HLOOKUP(K88,'[1]G-CESTD'!$A$5:$G$35,J88+1,FALSE)*R38))</f>
        <v>0</v>
      </c>
      <c r="Q88" s="3973">
        <f>IF(K88=0, 0, (HLOOKUP(K88,'[1]G-CESTD'!$A$5:$G$35,J88+1,FALSE)*R38))</f>
        <v>0</v>
      </c>
      <c r="R88" s="4018">
        <v>1.081</v>
      </c>
      <c r="S88" s="3923">
        <f t="shared" si="17"/>
        <v>0</v>
      </c>
      <c r="T88" s="3923">
        <f t="shared" si="17"/>
        <v>0</v>
      </c>
      <c r="U88" s="3923">
        <f t="shared" si="17"/>
        <v>0</v>
      </c>
    </row>
    <row r="89" spans="2:21" ht="13.8" x14ac:dyDescent="0.3">
      <c r="B89" s="4019"/>
      <c r="C89" s="4019" t="s">
        <v>237</v>
      </c>
      <c r="D89" s="4021">
        <v>0</v>
      </c>
      <c r="E89" s="4019" t="s">
        <v>617</v>
      </c>
      <c r="F89" s="4019" t="s">
        <v>211</v>
      </c>
      <c r="G89" s="4020"/>
      <c r="H89" s="4020"/>
      <c r="I89" s="4075">
        <v>0</v>
      </c>
      <c r="J89" s="4000"/>
      <c r="K89" s="4000"/>
      <c r="L89" s="3933" t="e">
        <f t="shared" si="14"/>
        <v>#DIV/0!</v>
      </c>
      <c r="M89" s="3933" t="e">
        <f t="shared" si="14"/>
        <v>#DIV/0!</v>
      </c>
      <c r="N89" s="3973">
        <f t="shared" si="15"/>
        <v>0</v>
      </c>
      <c r="O89" s="3973">
        <f t="shared" si="16"/>
        <v>0</v>
      </c>
      <c r="P89" s="3973">
        <f>IF(K89=0, 0, (HLOOKUP(K89,'[1]G-CESTD'!$A$5:$G$35,J89+1,FALSE)*R39))</f>
        <v>0</v>
      </c>
      <c r="Q89" s="3973">
        <f>IF(K89=0, 0, (HLOOKUP(K89,'[1]G-CESTD'!$A$5:$G$35,J89+1,FALSE)*R39))</f>
        <v>0</v>
      </c>
      <c r="R89" s="4018">
        <v>1.081</v>
      </c>
      <c r="S89" s="3923">
        <f t="shared" si="17"/>
        <v>0</v>
      </c>
      <c r="T89" s="3923">
        <f t="shared" si="17"/>
        <v>0</v>
      </c>
      <c r="U89" s="3923">
        <f t="shared" si="17"/>
        <v>0</v>
      </c>
    </row>
    <row r="90" spans="2:21" ht="13.8" x14ac:dyDescent="0.3">
      <c r="B90" s="4019"/>
      <c r="C90" s="4019" t="s">
        <v>238</v>
      </c>
      <c r="D90" s="4021">
        <v>0</v>
      </c>
      <c r="E90" s="4019" t="s">
        <v>617</v>
      </c>
      <c r="F90" s="4019" t="s">
        <v>211</v>
      </c>
      <c r="G90" s="4020"/>
      <c r="H90" s="4020"/>
      <c r="I90" s="4075">
        <v>0</v>
      </c>
      <c r="J90" s="4000"/>
      <c r="K90" s="4000"/>
      <c r="L90" s="3933" t="e">
        <f t="shared" si="14"/>
        <v>#DIV/0!</v>
      </c>
      <c r="M90" s="3933" t="e">
        <f t="shared" si="14"/>
        <v>#DIV/0!</v>
      </c>
      <c r="N90" s="3973">
        <f t="shared" si="15"/>
        <v>0</v>
      </c>
      <c r="O90" s="3973">
        <f t="shared" si="16"/>
        <v>0</v>
      </c>
      <c r="P90" s="3973">
        <f>IF(K90=0, 0, (HLOOKUP(K90,'[1]G-CESTD'!$A$5:$G$35,J90+1,FALSE)*R40))</f>
        <v>0</v>
      </c>
      <c r="Q90" s="3973">
        <f>IF(K90=0, 0, (HLOOKUP(K90,'[1]G-CESTD'!$A$5:$G$35,J90+1,FALSE)*R40))</f>
        <v>0</v>
      </c>
      <c r="R90" s="4018">
        <v>1.081</v>
      </c>
      <c r="S90" s="3923">
        <f t="shared" si="17"/>
        <v>0</v>
      </c>
      <c r="T90" s="3923">
        <f t="shared" si="17"/>
        <v>0</v>
      </c>
      <c r="U90" s="3923">
        <f t="shared" si="17"/>
        <v>0</v>
      </c>
    </row>
    <row r="91" spans="2:21" ht="13.8" x14ac:dyDescent="0.3">
      <c r="B91" s="4019"/>
      <c r="C91" s="4019" t="s">
        <v>239</v>
      </c>
      <c r="D91" s="4021">
        <v>0</v>
      </c>
      <c r="E91" s="4019" t="s">
        <v>617</v>
      </c>
      <c r="F91" s="4019" t="s">
        <v>211</v>
      </c>
      <c r="G91" s="4020"/>
      <c r="H91" s="4020"/>
      <c r="I91" s="4075">
        <v>0</v>
      </c>
      <c r="J91" s="4000"/>
      <c r="K91" s="4000"/>
      <c r="L91" s="3933" t="e">
        <f t="shared" si="14"/>
        <v>#DIV/0!</v>
      </c>
      <c r="M91" s="3933" t="e">
        <f t="shared" si="14"/>
        <v>#DIV/0!</v>
      </c>
      <c r="N91" s="3973">
        <f t="shared" si="15"/>
        <v>0</v>
      </c>
      <c r="O91" s="3973">
        <f t="shared" si="16"/>
        <v>0</v>
      </c>
      <c r="P91" s="3973">
        <f>IF(K91=0, 0, (HLOOKUP(K91,'[1]G-CESTD'!$A$5:$G$35,J91+1,FALSE)*R41))</f>
        <v>0</v>
      </c>
      <c r="Q91" s="3973">
        <f>IF(K91=0, 0, (HLOOKUP(K91,'[1]G-CESTD'!$A$5:$G$35,J91+1,FALSE)*R41))</f>
        <v>0</v>
      </c>
      <c r="R91" s="4018">
        <v>1.081</v>
      </c>
      <c r="S91" s="3923">
        <f t="shared" si="17"/>
        <v>0</v>
      </c>
      <c r="T91" s="3923">
        <f t="shared" si="17"/>
        <v>0</v>
      </c>
      <c r="U91" s="3923">
        <f t="shared" si="17"/>
        <v>0</v>
      </c>
    </row>
    <row r="92" spans="2:21" ht="13.8" x14ac:dyDescent="0.3">
      <c r="B92" s="4019"/>
      <c r="C92" s="4019" t="s">
        <v>240</v>
      </c>
      <c r="D92" s="4021">
        <v>0</v>
      </c>
      <c r="E92" s="4019" t="s">
        <v>617</v>
      </c>
      <c r="F92" s="4019" t="s">
        <v>211</v>
      </c>
      <c r="G92" s="4020"/>
      <c r="H92" s="4020"/>
      <c r="I92" s="4075">
        <v>0</v>
      </c>
      <c r="J92" s="4000"/>
      <c r="K92" s="4000"/>
      <c r="L92" s="3933" t="e">
        <f t="shared" si="14"/>
        <v>#DIV/0!</v>
      </c>
      <c r="M92" s="3933" t="e">
        <f t="shared" si="14"/>
        <v>#DIV/0!</v>
      </c>
      <c r="N92" s="3973">
        <f t="shared" si="15"/>
        <v>0</v>
      </c>
      <c r="O92" s="3973">
        <f t="shared" si="16"/>
        <v>0</v>
      </c>
      <c r="P92" s="3973">
        <f>IF(K92=0, 0, (HLOOKUP(K92,'[1]G-CESTD'!$A$5:$G$35,J92+1,FALSE)*R42))</f>
        <v>0</v>
      </c>
      <c r="Q92" s="3973">
        <f>IF(K92=0, 0, (HLOOKUP(K92,'[1]G-CESTD'!$A$5:$G$35,J92+1,FALSE)*R42))</f>
        <v>0</v>
      </c>
      <c r="R92" s="4018">
        <v>1.081</v>
      </c>
      <c r="S92" s="3923">
        <f t="shared" si="17"/>
        <v>0</v>
      </c>
      <c r="T92" s="3923">
        <f t="shared" si="17"/>
        <v>0</v>
      </c>
      <c r="U92" s="3923">
        <f t="shared" si="17"/>
        <v>0</v>
      </c>
    </row>
    <row r="93" spans="2:21" ht="13.8" x14ac:dyDescent="0.3">
      <c r="B93" s="4019"/>
      <c r="C93" s="4019" t="s">
        <v>241</v>
      </c>
      <c r="D93" s="4021">
        <v>0</v>
      </c>
      <c r="E93" s="4019" t="s">
        <v>617</v>
      </c>
      <c r="F93" s="4019" t="s">
        <v>211</v>
      </c>
      <c r="G93" s="4020"/>
      <c r="H93" s="4020"/>
      <c r="I93" s="4075">
        <v>0</v>
      </c>
      <c r="J93" s="4000"/>
      <c r="K93" s="4000"/>
      <c r="L93" s="3933" t="e">
        <f t="shared" si="14"/>
        <v>#DIV/0!</v>
      </c>
      <c r="M93" s="3933" t="e">
        <f t="shared" si="14"/>
        <v>#DIV/0!</v>
      </c>
      <c r="N93" s="3973">
        <f t="shared" si="15"/>
        <v>0</v>
      </c>
      <c r="O93" s="3973">
        <f t="shared" si="16"/>
        <v>0</v>
      </c>
      <c r="P93" s="3973">
        <f>IF(K93=0, 0, (HLOOKUP(K93,'[1]G-CESTD'!$A$5:$G$35,J93+1,FALSE)*R43))</f>
        <v>0</v>
      </c>
      <c r="Q93" s="3973">
        <f>IF(K93=0, 0, (HLOOKUP(K93,'[1]G-CESTD'!$A$5:$G$35,J93+1,FALSE)*R43))</f>
        <v>0</v>
      </c>
      <c r="R93" s="4018">
        <v>1.081</v>
      </c>
      <c r="S93" s="3923">
        <f t="shared" si="17"/>
        <v>0</v>
      </c>
      <c r="T93" s="3923">
        <f t="shared" si="17"/>
        <v>0</v>
      </c>
      <c r="U93" s="3923">
        <f t="shared" si="17"/>
        <v>0</v>
      </c>
    </row>
    <row r="94" spans="2:21" ht="13.8" x14ac:dyDescent="0.3">
      <c r="B94" s="4019"/>
      <c r="C94" s="4019" t="s">
        <v>242</v>
      </c>
      <c r="D94" s="4021">
        <v>0</v>
      </c>
      <c r="E94" s="4019" t="s">
        <v>617</v>
      </c>
      <c r="F94" s="4019" t="s">
        <v>211</v>
      </c>
      <c r="G94" s="4020"/>
      <c r="H94" s="4020"/>
      <c r="I94" s="4075">
        <v>0</v>
      </c>
      <c r="J94" s="4000"/>
      <c r="K94" s="4000"/>
      <c r="L94" s="3933" t="e">
        <f t="shared" si="14"/>
        <v>#DIV/0!</v>
      </c>
      <c r="M94" s="3933" t="e">
        <f t="shared" si="14"/>
        <v>#DIV/0!</v>
      </c>
      <c r="N94" s="3973">
        <f t="shared" si="15"/>
        <v>0</v>
      </c>
      <c r="O94" s="3973">
        <f t="shared" si="16"/>
        <v>0</v>
      </c>
      <c r="P94" s="3973">
        <f>IF(K94=0, 0, (HLOOKUP(K94,'[1]G-CESTD'!$A$5:$G$35,J94+1,FALSE)*R44))</f>
        <v>0</v>
      </c>
      <c r="Q94" s="3973">
        <f>IF(K94=0, 0, (HLOOKUP(K94,'[1]G-CESTD'!$A$5:$G$35,J94+1,FALSE)*R44))</f>
        <v>0</v>
      </c>
      <c r="R94" s="4018">
        <v>1.081</v>
      </c>
      <c r="S94" s="3923">
        <f t="shared" si="17"/>
        <v>0</v>
      </c>
      <c r="T94" s="3923">
        <f t="shared" si="17"/>
        <v>0</v>
      </c>
      <c r="U94" s="3923">
        <f t="shared" si="17"/>
        <v>0</v>
      </c>
    </row>
    <row r="95" spans="2:21" ht="13.8" x14ac:dyDescent="0.3">
      <c r="B95" s="4019"/>
      <c r="C95" s="4019" t="s">
        <v>243</v>
      </c>
      <c r="D95" s="4021">
        <v>0</v>
      </c>
      <c r="E95" s="4019" t="s">
        <v>617</v>
      </c>
      <c r="F95" s="4019" t="s">
        <v>211</v>
      </c>
      <c r="G95" s="4020"/>
      <c r="H95" s="4020"/>
      <c r="I95" s="4075">
        <v>0</v>
      </c>
      <c r="J95" s="4000"/>
      <c r="K95" s="4000"/>
      <c r="L95" s="3933" t="e">
        <f t="shared" si="14"/>
        <v>#DIV/0!</v>
      </c>
      <c r="M95" s="3933" t="e">
        <f t="shared" si="14"/>
        <v>#DIV/0!</v>
      </c>
      <c r="N95" s="3973">
        <f t="shared" si="15"/>
        <v>0</v>
      </c>
      <c r="O95" s="3973">
        <f t="shared" si="16"/>
        <v>0</v>
      </c>
      <c r="P95" s="3973">
        <f>IF(K95=0, 0, (HLOOKUP(K95,'[1]G-CESTD'!$A$5:$G$35,J95+1,FALSE)*R45))</f>
        <v>0</v>
      </c>
      <c r="Q95" s="3973">
        <f>IF(K95=0, 0, (HLOOKUP(K95,'[1]G-CESTD'!$A$5:$G$35,J95+1,FALSE)*R45))</f>
        <v>0</v>
      </c>
      <c r="R95" s="4018">
        <v>1.081</v>
      </c>
      <c r="S95" s="3923">
        <f t="shared" si="17"/>
        <v>0</v>
      </c>
      <c r="T95" s="3923">
        <f t="shared" si="17"/>
        <v>0</v>
      </c>
      <c r="U95" s="3923">
        <f t="shared" si="17"/>
        <v>0</v>
      </c>
    </row>
    <row r="96" spans="2:21" ht="13.8" x14ac:dyDescent="0.3">
      <c r="B96" s="4019"/>
      <c r="C96" s="4019" t="s">
        <v>244</v>
      </c>
      <c r="D96" s="4021">
        <v>0</v>
      </c>
      <c r="E96" s="4019" t="s">
        <v>617</v>
      </c>
      <c r="F96" s="4019" t="s">
        <v>211</v>
      </c>
      <c r="G96" s="4020"/>
      <c r="H96" s="4020"/>
      <c r="I96" s="4075">
        <v>0</v>
      </c>
      <c r="J96" s="4000"/>
      <c r="K96" s="4000"/>
      <c r="L96" s="3933" t="e">
        <f t="shared" si="14"/>
        <v>#DIV/0!</v>
      </c>
      <c r="M96" s="3933" t="e">
        <f t="shared" si="14"/>
        <v>#DIV/0!</v>
      </c>
      <c r="N96" s="3973">
        <f t="shared" si="15"/>
        <v>0</v>
      </c>
      <c r="O96" s="3973">
        <f t="shared" si="16"/>
        <v>0</v>
      </c>
      <c r="P96" s="3973">
        <f>IF(K96=0, 0, (HLOOKUP(K96,'[1]G-CESTD'!$A$5:$G$35,J96+1,FALSE)*R46))</f>
        <v>0</v>
      </c>
      <c r="Q96" s="3973">
        <f>IF(K96=0, 0, (HLOOKUP(K96,'[1]G-CESTD'!$A$5:$G$35,J96+1,FALSE)*R46))</f>
        <v>0</v>
      </c>
      <c r="R96" s="4018">
        <v>1.081</v>
      </c>
      <c r="S96" s="3923">
        <f t="shared" si="17"/>
        <v>0</v>
      </c>
      <c r="T96" s="3923">
        <f t="shared" si="17"/>
        <v>0</v>
      </c>
      <c r="U96" s="3923">
        <f t="shared" si="17"/>
        <v>0</v>
      </c>
    </row>
    <row r="97" spans="2:21" ht="13.8" x14ac:dyDescent="0.3">
      <c r="B97" s="4019"/>
      <c r="C97" s="4019" t="s">
        <v>245</v>
      </c>
      <c r="D97" s="4021">
        <v>0</v>
      </c>
      <c r="E97" s="4019" t="s">
        <v>617</v>
      </c>
      <c r="F97" s="4019" t="s">
        <v>211</v>
      </c>
      <c r="G97" s="4020"/>
      <c r="H97" s="4020"/>
      <c r="I97" s="4075">
        <v>0</v>
      </c>
      <c r="J97" s="4000"/>
      <c r="K97" s="4000"/>
      <c r="L97" s="3933" t="e">
        <f t="shared" si="14"/>
        <v>#DIV/0!</v>
      </c>
      <c r="M97" s="3933" t="e">
        <f t="shared" si="14"/>
        <v>#DIV/0!</v>
      </c>
      <c r="N97" s="3973">
        <f t="shared" si="15"/>
        <v>0</v>
      </c>
      <c r="O97" s="3973">
        <f t="shared" si="16"/>
        <v>0</v>
      </c>
      <c r="P97" s="3973">
        <f>IF(K97=0, 0, (HLOOKUP(K97,'[1]G-CESTD'!$A$5:$G$35,J97+1,FALSE)*R47))</f>
        <v>0</v>
      </c>
      <c r="Q97" s="3973">
        <f>IF(K97=0, 0, (HLOOKUP(K97,'[1]G-CESTD'!$A$5:$G$35,J97+1,FALSE)*R47))</f>
        <v>0</v>
      </c>
      <c r="R97" s="4018">
        <v>1.081</v>
      </c>
      <c r="S97" s="3923">
        <f t="shared" si="17"/>
        <v>0</v>
      </c>
      <c r="T97" s="3923">
        <f t="shared" si="17"/>
        <v>0</v>
      </c>
      <c r="U97" s="3923">
        <f t="shared" si="17"/>
        <v>0</v>
      </c>
    </row>
    <row r="98" spans="2:21" ht="13.8" x14ac:dyDescent="0.3">
      <c r="B98" s="4019"/>
      <c r="C98" s="4019" t="s">
        <v>246</v>
      </c>
      <c r="D98" s="4021">
        <v>0</v>
      </c>
      <c r="E98" s="4019" t="s">
        <v>617</v>
      </c>
      <c r="F98" s="4019" t="s">
        <v>211</v>
      </c>
      <c r="G98" s="4020"/>
      <c r="H98" s="4020"/>
      <c r="I98" s="4075">
        <v>0</v>
      </c>
      <c r="J98" s="4000"/>
      <c r="K98" s="4000"/>
      <c r="L98" s="3933" t="e">
        <f t="shared" si="14"/>
        <v>#DIV/0!</v>
      </c>
      <c r="M98" s="3933" t="e">
        <f t="shared" si="14"/>
        <v>#DIV/0!</v>
      </c>
      <c r="N98" s="3973">
        <f t="shared" si="15"/>
        <v>0</v>
      </c>
      <c r="O98" s="3973">
        <f t="shared" si="16"/>
        <v>0</v>
      </c>
      <c r="P98" s="3973">
        <f>IF(K98=0, 0, (HLOOKUP(K98,'[1]G-CESTD'!$A$5:$G$35,J98+1,FALSE)*R48))</f>
        <v>0</v>
      </c>
      <c r="Q98" s="3973">
        <f>IF(K98=0, 0, (HLOOKUP(K98,'[1]G-CESTD'!$A$5:$G$35,J98+1,FALSE)*R48))</f>
        <v>0</v>
      </c>
      <c r="R98" s="4018">
        <v>1.081</v>
      </c>
      <c r="S98" s="3923">
        <f t="shared" si="17"/>
        <v>0</v>
      </c>
      <c r="T98" s="3923">
        <f t="shared" si="17"/>
        <v>0</v>
      </c>
      <c r="U98" s="3923">
        <f t="shared" si="17"/>
        <v>0</v>
      </c>
    </row>
    <row r="99" spans="2:21" ht="13.8" x14ac:dyDescent="0.3">
      <c r="B99" s="4019"/>
      <c r="C99" s="4019" t="s">
        <v>247</v>
      </c>
      <c r="D99" s="4021">
        <v>0</v>
      </c>
      <c r="E99" s="4019" t="s">
        <v>617</v>
      </c>
      <c r="F99" s="4019" t="s">
        <v>211</v>
      </c>
      <c r="G99" s="4020"/>
      <c r="H99" s="4020"/>
      <c r="I99" s="4075">
        <v>0</v>
      </c>
      <c r="J99" s="4000"/>
      <c r="K99" s="4000"/>
      <c r="L99" s="3933" t="e">
        <f t="shared" si="14"/>
        <v>#DIV/0!</v>
      </c>
      <c r="M99" s="3933" t="e">
        <f t="shared" si="14"/>
        <v>#DIV/0!</v>
      </c>
      <c r="N99" s="3973">
        <f t="shared" si="15"/>
        <v>0</v>
      </c>
      <c r="O99" s="3973">
        <f t="shared" si="16"/>
        <v>0</v>
      </c>
      <c r="P99" s="3973">
        <f>IF(K99=0, 0, (HLOOKUP(K99,'[1]G-CESTD'!$A$5:$G$35,J99+1,FALSE)*R49))</f>
        <v>0</v>
      </c>
      <c r="Q99" s="3973">
        <f>IF(K99=0, 0, (HLOOKUP(K99,'[1]G-CESTD'!$A$5:$G$35,J99+1,FALSE)*R49))</f>
        <v>0</v>
      </c>
      <c r="R99" s="4018">
        <v>1.081</v>
      </c>
      <c r="S99" s="3923">
        <f t="shared" si="17"/>
        <v>0</v>
      </c>
      <c r="T99" s="3923">
        <f t="shared" si="17"/>
        <v>0</v>
      </c>
      <c r="U99" s="3923">
        <f t="shared" si="17"/>
        <v>0</v>
      </c>
    </row>
    <row r="100" spans="2:21" ht="13.8" x14ac:dyDescent="0.3">
      <c r="B100" s="4019"/>
      <c r="C100" s="4019" t="s">
        <v>248</v>
      </c>
      <c r="D100" s="4021">
        <v>0</v>
      </c>
      <c r="E100" s="4019" t="s">
        <v>617</v>
      </c>
      <c r="F100" s="4019" t="s">
        <v>211</v>
      </c>
      <c r="G100" s="4020"/>
      <c r="H100" s="4020"/>
      <c r="I100" s="4075">
        <v>0</v>
      </c>
      <c r="J100" s="4000"/>
      <c r="K100" s="4000"/>
      <c r="L100" s="3933" t="e">
        <f t="shared" si="14"/>
        <v>#DIV/0!</v>
      </c>
      <c r="M100" s="3933" t="e">
        <f t="shared" si="14"/>
        <v>#DIV/0!</v>
      </c>
      <c r="N100" s="3973">
        <f t="shared" si="15"/>
        <v>0</v>
      </c>
      <c r="O100" s="3973">
        <f t="shared" si="16"/>
        <v>0</v>
      </c>
      <c r="P100" s="3973">
        <f>IF(K100=0, 0, (HLOOKUP(K100,'[1]G-CESTD'!$A$5:$G$35,J100+1,FALSE)*R50))</f>
        <v>0</v>
      </c>
      <c r="Q100" s="3973">
        <f>IF(K100=0, 0, (HLOOKUP(K100,'[1]G-CESTD'!$A$5:$G$35,J100+1,FALSE)*R50))</f>
        <v>0</v>
      </c>
      <c r="R100" s="4018">
        <v>1.081</v>
      </c>
      <c r="S100" s="3923">
        <f t="shared" si="17"/>
        <v>0</v>
      </c>
      <c r="T100" s="3923">
        <f t="shared" si="17"/>
        <v>0</v>
      </c>
      <c r="U100" s="3923">
        <f t="shared" si="17"/>
        <v>0</v>
      </c>
    </row>
    <row r="101" spans="2:21" ht="13.8" x14ac:dyDescent="0.3">
      <c r="B101" s="4019"/>
      <c r="C101" s="4019" t="s">
        <v>249</v>
      </c>
      <c r="D101" s="4021">
        <v>0</v>
      </c>
      <c r="E101" s="4019" t="s">
        <v>617</v>
      </c>
      <c r="F101" s="4019" t="s">
        <v>211</v>
      </c>
      <c r="G101" s="4020"/>
      <c r="H101" s="4020"/>
      <c r="I101" s="4075">
        <v>0</v>
      </c>
      <c r="J101" s="4000"/>
      <c r="K101" s="4000"/>
      <c r="L101" s="3933" t="e">
        <f t="shared" si="14"/>
        <v>#DIV/0!</v>
      </c>
      <c r="M101" s="3933" t="e">
        <f t="shared" si="14"/>
        <v>#DIV/0!</v>
      </c>
      <c r="N101" s="3973">
        <f t="shared" si="15"/>
        <v>0</v>
      </c>
      <c r="O101" s="3973">
        <f t="shared" si="16"/>
        <v>0</v>
      </c>
      <c r="P101" s="3973">
        <f>IF(K101=0, 0, (HLOOKUP(K101,'[1]G-CESTD'!$A$5:$G$35,J101+1,FALSE)*R51))</f>
        <v>0</v>
      </c>
      <c r="Q101" s="3973">
        <f>IF(K101=0, 0, (HLOOKUP(K101,'[1]G-CESTD'!$A$5:$G$35,J101+1,FALSE)*R51))</f>
        <v>0</v>
      </c>
      <c r="R101" s="4018">
        <v>1.081</v>
      </c>
      <c r="S101" s="3923">
        <f t="shared" si="17"/>
        <v>0</v>
      </c>
      <c r="T101" s="3923">
        <f t="shared" si="17"/>
        <v>0</v>
      </c>
      <c r="U101" s="3923">
        <f t="shared" si="17"/>
        <v>0</v>
      </c>
    </row>
    <row r="102" spans="2:21" ht="13.8" x14ac:dyDescent="0.3">
      <c r="B102" s="4019"/>
      <c r="C102" s="4019" t="s">
        <v>250</v>
      </c>
      <c r="D102" s="4021">
        <v>0</v>
      </c>
      <c r="E102" s="4019" t="s">
        <v>617</v>
      </c>
      <c r="F102" s="4019" t="s">
        <v>211</v>
      </c>
      <c r="G102" s="4020"/>
      <c r="H102" s="4020"/>
      <c r="I102" s="4075">
        <v>0</v>
      </c>
      <c r="J102" s="4000"/>
      <c r="K102" s="4000"/>
      <c r="L102" s="3933" t="e">
        <f t="shared" si="14"/>
        <v>#DIV/0!</v>
      </c>
      <c r="M102" s="3933" t="e">
        <f t="shared" si="14"/>
        <v>#DIV/0!</v>
      </c>
      <c r="N102" s="3973">
        <f t="shared" si="15"/>
        <v>0</v>
      </c>
      <c r="O102" s="3973">
        <f t="shared" si="16"/>
        <v>0</v>
      </c>
      <c r="P102" s="3973">
        <f>IF(K102=0, 0, (HLOOKUP(K102,'[1]G-CESTD'!$A$5:$G$35,J102+1,FALSE)*R52))</f>
        <v>0</v>
      </c>
      <c r="Q102" s="3973">
        <f>IF(K102=0, 0, (HLOOKUP(K102,'[1]G-CESTD'!$A$5:$G$35,J102+1,FALSE)*R52))</f>
        <v>0</v>
      </c>
      <c r="R102" s="4018">
        <v>1.081</v>
      </c>
      <c r="S102" s="3923">
        <f t="shared" si="17"/>
        <v>0</v>
      </c>
      <c r="T102" s="3923">
        <f t="shared" si="17"/>
        <v>0</v>
      </c>
      <c r="U102" s="3923">
        <f t="shared" si="17"/>
        <v>0</v>
      </c>
    </row>
    <row r="103" spans="2:21" ht="14.4" thickBot="1" x14ac:dyDescent="0.35">
      <c r="B103" s="4019"/>
      <c r="C103" s="4019" t="s">
        <v>251</v>
      </c>
      <c r="D103" s="4021">
        <v>0</v>
      </c>
      <c r="E103" s="4019" t="s">
        <v>617</v>
      </c>
      <c r="F103" s="4019" t="s">
        <v>211</v>
      </c>
      <c r="G103" s="4020"/>
      <c r="H103" s="4020"/>
      <c r="I103" s="4075">
        <v>0</v>
      </c>
      <c r="J103" s="4000"/>
      <c r="K103" s="4000"/>
      <c r="L103" s="3933" t="e">
        <f t="shared" si="14"/>
        <v>#DIV/0!</v>
      </c>
      <c r="M103" s="3933" t="e">
        <f t="shared" si="14"/>
        <v>#DIV/0!</v>
      </c>
      <c r="N103" s="3973">
        <f t="shared" si="15"/>
        <v>0</v>
      </c>
      <c r="O103" s="3973">
        <f t="shared" si="16"/>
        <v>0</v>
      </c>
      <c r="P103" s="3973">
        <f>IF(K103=0, 0, (HLOOKUP(K103,'[1]G-CESTD'!$A$5:$G$35,J103+1,FALSE)*R53))</f>
        <v>0</v>
      </c>
      <c r="Q103" s="3973">
        <f>IF(K103=0, 0, (HLOOKUP(K103,'[1]G-CESTD'!$A$5:$G$35,J103+1,FALSE)*R53))</f>
        <v>0</v>
      </c>
      <c r="R103" s="4018">
        <v>1.081</v>
      </c>
      <c r="S103" s="3923">
        <f t="shared" si="17"/>
        <v>0</v>
      </c>
      <c r="T103" s="3923">
        <f t="shared" si="17"/>
        <v>0</v>
      </c>
      <c r="U103" s="3923">
        <f t="shared" si="17"/>
        <v>0</v>
      </c>
    </row>
    <row r="104" spans="2:21" ht="14.4" thickBot="1" x14ac:dyDescent="0.35">
      <c r="G104" s="4022">
        <f>SUMPRODUCT(G62:G103,O12:O53)</f>
        <v>0</v>
      </c>
      <c r="H104" s="4023">
        <f>U104</f>
        <v>0</v>
      </c>
      <c r="I104" s="4024">
        <f>SUM(I62:I103)</f>
        <v>0.26792359216075418</v>
      </c>
      <c r="J104" s="4025">
        <f>ROUND(SUMPRODUCT(J62:J103,R12:R53)/R54,0)</f>
        <v>14</v>
      </c>
      <c r="K104" s="4006"/>
      <c r="L104" s="3934" t="e">
        <f>P104/N104</f>
        <v>#DIV/0!</v>
      </c>
      <c r="M104" s="3935" t="e">
        <f>Q104/O104</f>
        <v>#DIV/0!</v>
      </c>
      <c r="N104" s="4028">
        <f>SUM(N62:N103)</f>
        <v>0</v>
      </c>
      <c r="O104" s="4028">
        <f>SUM(O62:O103)</f>
        <v>0</v>
      </c>
      <c r="P104" s="4028">
        <f>SUM(P62:P103)</f>
        <v>71187.545740105255</v>
      </c>
      <c r="Q104" s="4028">
        <f>SUM(Q62:Q103)</f>
        <v>78306.300314115753</v>
      </c>
      <c r="R104" s="4026">
        <v>1.081</v>
      </c>
      <c r="S104" s="4027">
        <f>SUM(S62:S103)</f>
        <v>0</v>
      </c>
      <c r="T104" s="4027">
        <f>SUM(T62:T103)</f>
        <v>0</v>
      </c>
      <c r="U104" s="4027">
        <f>SUM(U62:U103)</f>
        <v>0</v>
      </c>
    </row>
  </sheetData>
  <mergeCells count="17">
    <mergeCell ref="Q2:R2"/>
    <mergeCell ref="S2:U2"/>
    <mergeCell ref="V2:V3"/>
    <mergeCell ref="D9:E9"/>
    <mergeCell ref="I9:L9"/>
    <mergeCell ref="M9:N9"/>
    <mergeCell ref="B60:K60"/>
    <mergeCell ref="L60:R60"/>
    <mergeCell ref="S60:U60"/>
    <mergeCell ref="V60:X60"/>
    <mergeCell ref="D3:D5"/>
    <mergeCell ref="C10:F10"/>
    <mergeCell ref="I10:L10"/>
    <mergeCell ref="M10:O10"/>
    <mergeCell ref="P10:R10"/>
    <mergeCell ref="I11:K11"/>
    <mergeCell ref="D59:H59"/>
  </mergeCells>
  <pageMargins left="0.17" right="0.18" top="0.34" bottom="0.28000000000000003" header="0.3" footer="0.3"/>
  <pageSetup paperSize="17" scale="5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104"/>
  <sheetViews>
    <sheetView workbookViewId="0">
      <pane xSplit="1" ySplit="1" topLeftCell="K2" activePane="bottomRight" state="frozen"/>
      <selection pane="topRight" activeCell="B1" sqref="B1"/>
      <selection pane="bottomLeft" activeCell="A2" sqref="A2"/>
      <selection pane="bottomRight" activeCell="H41" sqref="H41"/>
    </sheetView>
  </sheetViews>
  <sheetFormatPr defaultRowHeight="13.2" x14ac:dyDescent="0.25"/>
  <cols>
    <col min="1" max="1" width="16" style="3369" customWidth="1"/>
    <col min="2" max="2" width="17.33203125" customWidth="1"/>
    <col min="3" max="3" width="36.6640625" customWidth="1"/>
    <col min="4" max="4" width="15.5546875" style="19" customWidth="1"/>
    <col min="5" max="5" width="15.5546875" customWidth="1"/>
    <col min="6" max="6" width="17"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6.5546875" customWidth="1"/>
    <col min="17" max="17" width="16.109375" customWidth="1"/>
    <col min="18" max="18" width="16.6640625" bestFit="1" customWidth="1"/>
    <col min="19" max="19" width="15.5546875" bestFit="1" customWidth="1"/>
    <col min="20" max="20" width="18"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5.33203125" bestFit="1" customWidth="1"/>
    <col min="262" max="262" width="17.5546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6.5546875" customWidth="1"/>
    <col min="273" max="273" width="16.109375" customWidth="1"/>
    <col min="274" max="274" width="16.6640625" bestFit="1" customWidth="1"/>
    <col min="275" max="275" width="15.5546875" bestFit="1" customWidth="1"/>
    <col min="276" max="276" width="18"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5.33203125" bestFit="1" customWidth="1"/>
    <col min="518" max="518" width="17.5546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6.5546875" customWidth="1"/>
    <col min="529" max="529" width="16.109375" customWidth="1"/>
    <col min="530" max="530" width="16.6640625" bestFit="1" customWidth="1"/>
    <col min="531" max="531" width="15.5546875" bestFit="1" customWidth="1"/>
    <col min="532" max="532" width="18"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5.33203125" bestFit="1" customWidth="1"/>
    <col min="774" max="774" width="17.5546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6.5546875" customWidth="1"/>
    <col min="785" max="785" width="16.109375" customWidth="1"/>
    <col min="786" max="786" width="16.6640625" bestFit="1" customWidth="1"/>
    <col min="787" max="787" width="15.5546875" bestFit="1" customWidth="1"/>
    <col min="788" max="788" width="18"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5.33203125" bestFit="1" customWidth="1"/>
    <col min="1030" max="1030" width="17.5546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6.5546875" customWidth="1"/>
    <col min="1041" max="1041" width="16.109375" customWidth="1"/>
    <col min="1042" max="1042" width="16.6640625" bestFit="1" customWidth="1"/>
    <col min="1043" max="1043" width="15.5546875" bestFit="1" customWidth="1"/>
    <col min="1044" max="1044" width="18"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5.33203125" bestFit="1" customWidth="1"/>
    <col min="1286" max="1286" width="17.5546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6.5546875" customWidth="1"/>
    <col min="1297" max="1297" width="16.109375" customWidth="1"/>
    <col min="1298" max="1298" width="16.6640625" bestFit="1" customWidth="1"/>
    <col min="1299" max="1299" width="15.5546875" bestFit="1" customWidth="1"/>
    <col min="1300" max="1300" width="18"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5.33203125" bestFit="1" customWidth="1"/>
    <col min="1542" max="1542" width="17.5546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6.5546875" customWidth="1"/>
    <col min="1553" max="1553" width="16.109375" customWidth="1"/>
    <col min="1554" max="1554" width="16.6640625" bestFit="1" customWidth="1"/>
    <col min="1555" max="1555" width="15.5546875" bestFit="1" customWidth="1"/>
    <col min="1556" max="1556" width="18"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5.33203125" bestFit="1" customWidth="1"/>
    <col min="1798" max="1798" width="17.5546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6.5546875" customWidth="1"/>
    <col min="1809" max="1809" width="16.109375" customWidth="1"/>
    <col min="1810" max="1810" width="16.6640625" bestFit="1" customWidth="1"/>
    <col min="1811" max="1811" width="15.5546875" bestFit="1" customWidth="1"/>
    <col min="1812" max="1812" width="18"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5.33203125" bestFit="1" customWidth="1"/>
    <col min="2054" max="2054" width="17.5546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6.5546875" customWidth="1"/>
    <col min="2065" max="2065" width="16.109375" customWidth="1"/>
    <col min="2066" max="2066" width="16.6640625" bestFit="1" customWidth="1"/>
    <col min="2067" max="2067" width="15.5546875" bestFit="1" customWidth="1"/>
    <col min="2068" max="2068" width="18"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5.33203125" bestFit="1" customWidth="1"/>
    <col min="2310" max="2310" width="17.5546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6.5546875" customWidth="1"/>
    <col min="2321" max="2321" width="16.109375" customWidth="1"/>
    <col min="2322" max="2322" width="16.6640625" bestFit="1" customWidth="1"/>
    <col min="2323" max="2323" width="15.5546875" bestFit="1" customWidth="1"/>
    <col min="2324" max="2324" width="18"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5.33203125" bestFit="1" customWidth="1"/>
    <col min="2566" max="2566" width="17.5546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6.5546875" customWidth="1"/>
    <col min="2577" max="2577" width="16.109375" customWidth="1"/>
    <col min="2578" max="2578" width="16.6640625" bestFit="1" customWidth="1"/>
    <col min="2579" max="2579" width="15.5546875" bestFit="1" customWidth="1"/>
    <col min="2580" max="2580" width="18"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5.33203125" bestFit="1" customWidth="1"/>
    <col min="2822" max="2822" width="17.5546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6.5546875" customWidth="1"/>
    <col min="2833" max="2833" width="16.109375" customWidth="1"/>
    <col min="2834" max="2834" width="16.6640625" bestFit="1" customWidth="1"/>
    <col min="2835" max="2835" width="15.5546875" bestFit="1" customWidth="1"/>
    <col min="2836" max="2836" width="18"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5.33203125" bestFit="1" customWidth="1"/>
    <col min="3078" max="3078" width="17.5546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6.5546875" customWidth="1"/>
    <col min="3089" max="3089" width="16.109375" customWidth="1"/>
    <col min="3090" max="3090" width="16.6640625" bestFit="1" customWidth="1"/>
    <col min="3091" max="3091" width="15.5546875" bestFit="1" customWidth="1"/>
    <col min="3092" max="3092" width="18"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5.33203125" bestFit="1" customWidth="1"/>
    <col min="3334" max="3334" width="17.5546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6.5546875" customWidth="1"/>
    <col min="3345" max="3345" width="16.109375" customWidth="1"/>
    <col min="3346" max="3346" width="16.6640625" bestFit="1" customWidth="1"/>
    <col min="3347" max="3347" width="15.5546875" bestFit="1" customWidth="1"/>
    <col min="3348" max="3348" width="18"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5.33203125" bestFit="1" customWidth="1"/>
    <col min="3590" max="3590" width="17.5546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6.5546875" customWidth="1"/>
    <col min="3601" max="3601" width="16.109375" customWidth="1"/>
    <col min="3602" max="3602" width="16.6640625" bestFit="1" customWidth="1"/>
    <col min="3603" max="3603" width="15.5546875" bestFit="1" customWidth="1"/>
    <col min="3604" max="3604" width="18"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5.33203125" bestFit="1" customWidth="1"/>
    <col min="3846" max="3846" width="17.5546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6.5546875" customWidth="1"/>
    <col min="3857" max="3857" width="16.109375" customWidth="1"/>
    <col min="3858" max="3858" width="16.6640625" bestFit="1" customWidth="1"/>
    <col min="3859" max="3859" width="15.5546875" bestFit="1" customWidth="1"/>
    <col min="3860" max="3860" width="18"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5.33203125" bestFit="1" customWidth="1"/>
    <col min="4102" max="4102" width="17.5546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6.5546875" customWidth="1"/>
    <col min="4113" max="4113" width="16.109375" customWidth="1"/>
    <col min="4114" max="4114" width="16.6640625" bestFit="1" customWidth="1"/>
    <col min="4115" max="4115" width="15.5546875" bestFit="1" customWidth="1"/>
    <col min="4116" max="4116" width="18"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5.33203125" bestFit="1" customWidth="1"/>
    <col min="4358" max="4358" width="17.5546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6.5546875" customWidth="1"/>
    <col min="4369" max="4369" width="16.109375" customWidth="1"/>
    <col min="4370" max="4370" width="16.6640625" bestFit="1" customWidth="1"/>
    <col min="4371" max="4371" width="15.5546875" bestFit="1" customWidth="1"/>
    <col min="4372" max="4372" width="18"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5.33203125" bestFit="1" customWidth="1"/>
    <col min="4614" max="4614" width="17.5546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6.5546875" customWidth="1"/>
    <col min="4625" max="4625" width="16.109375" customWidth="1"/>
    <col min="4626" max="4626" width="16.6640625" bestFit="1" customWidth="1"/>
    <col min="4627" max="4627" width="15.5546875" bestFit="1" customWidth="1"/>
    <col min="4628" max="4628" width="18"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5.33203125" bestFit="1" customWidth="1"/>
    <col min="4870" max="4870" width="17.5546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6.5546875" customWidth="1"/>
    <col min="4881" max="4881" width="16.109375" customWidth="1"/>
    <col min="4882" max="4882" width="16.6640625" bestFit="1" customWidth="1"/>
    <col min="4883" max="4883" width="15.5546875" bestFit="1" customWidth="1"/>
    <col min="4884" max="4884" width="18"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5.33203125" bestFit="1" customWidth="1"/>
    <col min="5126" max="5126" width="17.5546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6.5546875" customWidth="1"/>
    <col min="5137" max="5137" width="16.109375" customWidth="1"/>
    <col min="5138" max="5138" width="16.6640625" bestFit="1" customWidth="1"/>
    <col min="5139" max="5139" width="15.5546875" bestFit="1" customWidth="1"/>
    <col min="5140" max="5140" width="18"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5.33203125" bestFit="1" customWidth="1"/>
    <col min="5382" max="5382" width="17.5546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6.5546875" customWidth="1"/>
    <col min="5393" max="5393" width="16.109375" customWidth="1"/>
    <col min="5394" max="5394" width="16.6640625" bestFit="1" customWidth="1"/>
    <col min="5395" max="5395" width="15.5546875" bestFit="1" customWidth="1"/>
    <col min="5396" max="5396" width="18"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5.33203125" bestFit="1" customWidth="1"/>
    <col min="5638" max="5638" width="17.5546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6.5546875" customWidth="1"/>
    <col min="5649" max="5649" width="16.109375" customWidth="1"/>
    <col min="5650" max="5650" width="16.6640625" bestFit="1" customWidth="1"/>
    <col min="5651" max="5651" width="15.5546875" bestFit="1" customWidth="1"/>
    <col min="5652" max="5652" width="18"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5.33203125" bestFit="1" customWidth="1"/>
    <col min="5894" max="5894" width="17.5546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6.5546875" customWidth="1"/>
    <col min="5905" max="5905" width="16.109375" customWidth="1"/>
    <col min="5906" max="5906" width="16.6640625" bestFit="1" customWidth="1"/>
    <col min="5907" max="5907" width="15.5546875" bestFit="1" customWidth="1"/>
    <col min="5908" max="5908" width="18"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5.33203125" bestFit="1" customWidth="1"/>
    <col min="6150" max="6150" width="17.5546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6.5546875" customWidth="1"/>
    <col min="6161" max="6161" width="16.109375" customWidth="1"/>
    <col min="6162" max="6162" width="16.6640625" bestFit="1" customWidth="1"/>
    <col min="6163" max="6163" width="15.5546875" bestFit="1" customWidth="1"/>
    <col min="6164" max="6164" width="18"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5.33203125" bestFit="1" customWidth="1"/>
    <col min="6406" max="6406" width="17.5546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6.5546875" customWidth="1"/>
    <col min="6417" max="6417" width="16.109375" customWidth="1"/>
    <col min="6418" max="6418" width="16.6640625" bestFit="1" customWidth="1"/>
    <col min="6419" max="6419" width="15.5546875" bestFit="1" customWidth="1"/>
    <col min="6420" max="6420" width="18"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5.33203125" bestFit="1" customWidth="1"/>
    <col min="6662" max="6662" width="17.5546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6.5546875" customWidth="1"/>
    <col min="6673" max="6673" width="16.109375" customWidth="1"/>
    <col min="6674" max="6674" width="16.6640625" bestFit="1" customWidth="1"/>
    <col min="6675" max="6675" width="15.5546875" bestFit="1" customWidth="1"/>
    <col min="6676" max="6676" width="18"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5.33203125" bestFit="1" customWidth="1"/>
    <col min="6918" max="6918" width="17.5546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6.5546875" customWidth="1"/>
    <col min="6929" max="6929" width="16.109375" customWidth="1"/>
    <col min="6930" max="6930" width="16.6640625" bestFit="1" customWidth="1"/>
    <col min="6931" max="6931" width="15.5546875" bestFit="1" customWidth="1"/>
    <col min="6932" max="6932" width="18"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5.33203125" bestFit="1" customWidth="1"/>
    <col min="7174" max="7174" width="17.5546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6.5546875" customWidth="1"/>
    <col min="7185" max="7185" width="16.109375" customWidth="1"/>
    <col min="7186" max="7186" width="16.6640625" bestFit="1" customWidth="1"/>
    <col min="7187" max="7187" width="15.5546875" bestFit="1" customWidth="1"/>
    <col min="7188" max="7188" width="18"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5.33203125" bestFit="1" customWidth="1"/>
    <col min="7430" max="7430" width="17.5546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6.5546875" customWidth="1"/>
    <col min="7441" max="7441" width="16.109375" customWidth="1"/>
    <col min="7442" max="7442" width="16.6640625" bestFit="1" customWidth="1"/>
    <col min="7443" max="7443" width="15.5546875" bestFit="1" customWidth="1"/>
    <col min="7444" max="7444" width="18"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5.33203125" bestFit="1" customWidth="1"/>
    <col min="7686" max="7686" width="17.5546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6.5546875" customWidth="1"/>
    <col min="7697" max="7697" width="16.109375" customWidth="1"/>
    <col min="7698" max="7698" width="16.6640625" bestFit="1" customWidth="1"/>
    <col min="7699" max="7699" width="15.5546875" bestFit="1" customWidth="1"/>
    <col min="7700" max="7700" width="18"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5.33203125" bestFit="1" customWidth="1"/>
    <col min="7942" max="7942" width="17.5546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6.5546875" customWidth="1"/>
    <col min="7953" max="7953" width="16.109375" customWidth="1"/>
    <col min="7954" max="7954" width="16.6640625" bestFit="1" customWidth="1"/>
    <col min="7955" max="7955" width="15.5546875" bestFit="1" customWidth="1"/>
    <col min="7956" max="7956" width="18"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5.33203125" bestFit="1" customWidth="1"/>
    <col min="8198" max="8198" width="17.5546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6.5546875" customWidth="1"/>
    <col min="8209" max="8209" width="16.109375" customWidth="1"/>
    <col min="8210" max="8210" width="16.6640625" bestFit="1" customWidth="1"/>
    <col min="8211" max="8211" width="15.5546875" bestFit="1" customWidth="1"/>
    <col min="8212" max="8212" width="18"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5.33203125" bestFit="1" customWidth="1"/>
    <col min="8454" max="8454" width="17.5546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6.5546875" customWidth="1"/>
    <col min="8465" max="8465" width="16.109375" customWidth="1"/>
    <col min="8466" max="8466" width="16.6640625" bestFit="1" customWidth="1"/>
    <col min="8467" max="8467" width="15.5546875" bestFit="1" customWidth="1"/>
    <col min="8468" max="8468" width="18"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5.33203125" bestFit="1" customWidth="1"/>
    <col min="8710" max="8710" width="17.5546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6.5546875" customWidth="1"/>
    <col min="8721" max="8721" width="16.109375" customWidth="1"/>
    <col min="8722" max="8722" width="16.6640625" bestFit="1" customWidth="1"/>
    <col min="8723" max="8723" width="15.5546875" bestFit="1" customWidth="1"/>
    <col min="8724" max="8724" width="18"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5.33203125" bestFit="1" customWidth="1"/>
    <col min="8966" max="8966" width="17.5546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6.5546875" customWidth="1"/>
    <col min="8977" max="8977" width="16.109375" customWidth="1"/>
    <col min="8978" max="8978" width="16.6640625" bestFit="1" customWidth="1"/>
    <col min="8979" max="8979" width="15.5546875" bestFit="1" customWidth="1"/>
    <col min="8980" max="8980" width="18"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5.33203125" bestFit="1" customWidth="1"/>
    <col min="9222" max="9222" width="17.5546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6.5546875" customWidth="1"/>
    <col min="9233" max="9233" width="16.109375" customWidth="1"/>
    <col min="9234" max="9234" width="16.6640625" bestFit="1" customWidth="1"/>
    <col min="9235" max="9235" width="15.5546875" bestFit="1" customWidth="1"/>
    <col min="9236" max="9236" width="18"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5.33203125" bestFit="1" customWidth="1"/>
    <col min="9478" max="9478" width="17.5546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6.5546875" customWidth="1"/>
    <col min="9489" max="9489" width="16.109375" customWidth="1"/>
    <col min="9490" max="9490" width="16.6640625" bestFit="1" customWidth="1"/>
    <col min="9491" max="9491" width="15.5546875" bestFit="1" customWidth="1"/>
    <col min="9492" max="9492" width="18"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5.33203125" bestFit="1" customWidth="1"/>
    <col min="9734" max="9734" width="17.5546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6.5546875" customWidth="1"/>
    <col min="9745" max="9745" width="16.109375" customWidth="1"/>
    <col min="9746" max="9746" width="16.6640625" bestFit="1" customWidth="1"/>
    <col min="9747" max="9747" width="15.5546875" bestFit="1" customWidth="1"/>
    <col min="9748" max="9748" width="18"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5.33203125" bestFit="1" customWidth="1"/>
    <col min="9990" max="9990" width="17.5546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6.5546875" customWidth="1"/>
    <col min="10001" max="10001" width="16.109375" customWidth="1"/>
    <col min="10002" max="10002" width="16.6640625" bestFit="1" customWidth="1"/>
    <col min="10003" max="10003" width="15.5546875" bestFit="1" customWidth="1"/>
    <col min="10004" max="10004" width="18"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5.33203125" bestFit="1" customWidth="1"/>
    <col min="10246" max="10246" width="17.5546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6.5546875" customWidth="1"/>
    <col min="10257" max="10257" width="16.109375" customWidth="1"/>
    <col min="10258" max="10258" width="16.6640625" bestFit="1" customWidth="1"/>
    <col min="10259" max="10259" width="15.5546875" bestFit="1" customWidth="1"/>
    <col min="10260" max="10260" width="18"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5.33203125" bestFit="1" customWidth="1"/>
    <col min="10502" max="10502" width="17.5546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6.5546875" customWidth="1"/>
    <col min="10513" max="10513" width="16.109375" customWidth="1"/>
    <col min="10514" max="10514" width="16.6640625" bestFit="1" customWidth="1"/>
    <col min="10515" max="10515" width="15.5546875" bestFit="1" customWidth="1"/>
    <col min="10516" max="10516" width="18"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5.33203125" bestFit="1" customWidth="1"/>
    <col min="10758" max="10758" width="17.5546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6.5546875" customWidth="1"/>
    <col min="10769" max="10769" width="16.109375" customWidth="1"/>
    <col min="10770" max="10770" width="16.6640625" bestFit="1" customWidth="1"/>
    <col min="10771" max="10771" width="15.5546875" bestFit="1" customWidth="1"/>
    <col min="10772" max="10772" width="18"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5.33203125" bestFit="1" customWidth="1"/>
    <col min="11014" max="11014" width="17.5546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6.5546875" customWidth="1"/>
    <col min="11025" max="11025" width="16.109375" customWidth="1"/>
    <col min="11026" max="11026" width="16.6640625" bestFit="1" customWidth="1"/>
    <col min="11027" max="11027" width="15.5546875" bestFit="1" customWidth="1"/>
    <col min="11028" max="11028" width="18"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5.33203125" bestFit="1" customWidth="1"/>
    <col min="11270" max="11270" width="17.5546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6.5546875" customWidth="1"/>
    <col min="11281" max="11281" width="16.109375" customWidth="1"/>
    <col min="11282" max="11282" width="16.6640625" bestFit="1" customWidth="1"/>
    <col min="11283" max="11283" width="15.5546875" bestFit="1" customWidth="1"/>
    <col min="11284" max="11284" width="18"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5.33203125" bestFit="1" customWidth="1"/>
    <col min="11526" max="11526" width="17.5546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6.5546875" customWidth="1"/>
    <col min="11537" max="11537" width="16.109375" customWidth="1"/>
    <col min="11538" max="11538" width="16.6640625" bestFit="1" customWidth="1"/>
    <col min="11539" max="11539" width="15.5546875" bestFit="1" customWidth="1"/>
    <col min="11540" max="11540" width="18"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5.33203125" bestFit="1" customWidth="1"/>
    <col min="11782" max="11782" width="17.5546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6.5546875" customWidth="1"/>
    <col min="11793" max="11793" width="16.109375" customWidth="1"/>
    <col min="11794" max="11794" width="16.6640625" bestFit="1" customWidth="1"/>
    <col min="11795" max="11795" width="15.5546875" bestFit="1" customWidth="1"/>
    <col min="11796" max="11796" width="18"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5.33203125" bestFit="1" customWidth="1"/>
    <col min="12038" max="12038" width="17.5546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6.5546875" customWidth="1"/>
    <col min="12049" max="12049" width="16.109375" customWidth="1"/>
    <col min="12050" max="12050" width="16.6640625" bestFit="1" customWidth="1"/>
    <col min="12051" max="12051" width="15.5546875" bestFit="1" customWidth="1"/>
    <col min="12052" max="12052" width="18"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5.33203125" bestFit="1" customWidth="1"/>
    <col min="12294" max="12294" width="17.5546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6.5546875" customWidth="1"/>
    <col min="12305" max="12305" width="16.109375" customWidth="1"/>
    <col min="12306" max="12306" width="16.6640625" bestFit="1" customWidth="1"/>
    <col min="12307" max="12307" width="15.5546875" bestFit="1" customWidth="1"/>
    <col min="12308" max="12308" width="18"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5.33203125" bestFit="1" customWidth="1"/>
    <col min="12550" max="12550" width="17.5546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6.5546875" customWidth="1"/>
    <col min="12561" max="12561" width="16.109375" customWidth="1"/>
    <col min="12562" max="12562" width="16.6640625" bestFit="1" customWidth="1"/>
    <col min="12563" max="12563" width="15.5546875" bestFit="1" customWidth="1"/>
    <col min="12564" max="12564" width="18"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5.33203125" bestFit="1" customWidth="1"/>
    <col min="12806" max="12806" width="17.5546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6.5546875" customWidth="1"/>
    <col min="12817" max="12817" width="16.109375" customWidth="1"/>
    <col min="12818" max="12818" width="16.6640625" bestFit="1" customWidth="1"/>
    <col min="12819" max="12819" width="15.5546875" bestFit="1" customWidth="1"/>
    <col min="12820" max="12820" width="18"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5.33203125" bestFit="1" customWidth="1"/>
    <col min="13062" max="13062" width="17.5546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6.5546875" customWidth="1"/>
    <col min="13073" max="13073" width="16.109375" customWidth="1"/>
    <col min="13074" max="13074" width="16.6640625" bestFit="1" customWidth="1"/>
    <col min="13075" max="13075" width="15.5546875" bestFit="1" customWidth="1"/>
    <col min="13076" max="13076" width="18"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5.33203125" bestFit="1" customWidth="1"/>
    <col min="13318" max="13318" width="17.5546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6.5546875" customWidth="1"/>
    <col min="13329" max="13329" width="16.109375" customWidth="1"/>
    <col min="13330" max="13330" width="16.6640625" bestFit="1" customWidth="1"/>
    <col min="13331" max="13331" width="15.5546875" bestFit="1" customWidth="1"/>
    <col min="13332" max="13332" width="18"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5.33203125" bestFit="1" customWidth="1"/>
    <col min="13574" max="13574" width="17.5546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6.5546875" customWidth="1"/>
    <col min="13585" max="13585" width="16.109375" customWidth="1"/>
    <col min="13586" max="13586" width="16.6640625" bestFit="1" customWidth="1"/>
    <col min="13587" max="13587" width="15.5546875" bestFit="1" customWidth="1"/>
    <col min="13588" max="13588" width="18"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5.33203125" bestFit="1" customWidth="1"/>
    <col min="13830" max="13830" width="17.5546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6.5546875" customWidth="1"/>
    <col min="13841" max="13841" width="16.109375" customWidth="1"/>
    <col min="13842" max="13842" width="16.6640625" bestFit="1" customWidth="1"/>
    <col min="13843" max="13843" width="15.5546875" bestFit="1" customWidth="1"/>
    <col min="13844" max="13844" width="18"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5.33203125" bestFit="1" customWidth="1"/>
    <col min="14086" max="14086" width="17.5546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6.5546875" customWidth="1"/>
    <col min="14097" max="14097" width="16.109375" customWidth="1"/>
    <col min="14098" max="14098" width="16.6640625" bestFit="1" customWidth="1"/>
    <col min="14099" max="14099" width="15.5546875" bestFit="1" customWidth="1"/>
    <col min="14100" max="14100" width="18"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5.33203125" bestFit="1" customWidth="1"/>
    <col min="14342" max="14342" width="17.5546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6.5546875" customWidth="1"/>
    <col min="14353" max="14353" width="16.109375" customWidth="1"/>
    <col min="14354" max="14354" width="16.6640625" bestFit="1" customWidth="1"/>
    <col min="14355" max="14355" width="15.5546875" bestFit="1" customWidth="1"/>
    <col min="14356" max="14356" width="18"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5.33203125" bestFit="1" customWidth="1"/>
    <col min="14598" max="14598" width="17.5546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6.5546875" customWidth="1"/>
    <col min="14609" max="14609" width="16.109375" customWidth="1"/>
    <col min="14610" max="14610" width="16.6640625" bestFit="1" customWidth="1"/>
    <col min="14611" max="14611" width="15.5546875" bestFit="1" customWidth="1"/>
    <col min="14612" max="14612" width="18"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5.33203125" bestFit="1" customWidth="1"/>
    <col min="14854" max="14854" width="17.5546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6.5546875" customWidth="1"/>
    <col min="14865" max="14865" width="16.109375" customWidth="1"/>
    <col min="14866" max="14866" width="16.6640625" bestFit="1" customWidth="1"/>
    <col min="14867" max="14867" width="15.5546875" bestFit="1" customWidth="1"/>
    <col min="14868" max="14868" width="18"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5.33203125" bestFit="1" customWidth="1"/>
    <col min="15110" max="15110" width="17.5546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6.5546875" customWidth="1"/>
    <col min="15121" max="15121" width="16.109375" customWidth="1"/>
    <col min="15122" max="15122" width="16.6640625" bestFit="1" customWidth="1"/>
    <col min="15123" max="15123" width="15.5546875" bestFit="1" customWidth="1"/>
    <col min="15124" max="15124" width="18"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5.33203125" bestFit="1" customWidth="1"/>
    <col min="15366" max="15366" width="17.5546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6.5546875" customWidth="1"/>
    <col min="15377" max="15377" width="16.109375" customWidth="1"/>
    <col min="15378" max="15378" width="16.6640625" bestFit="1" customWidth="1"/>
    <col min="15379" max="15379" width="15.5546875" bestFit="1" customWidth="1"/>
    <col min="15380" max="15380" width="18"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5.33203125" bestFit="1" customWidth="1"/>
    <col min="15622" max="15622" width="17.5546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6.5546875" customWidth="1"/>
    <col min="15633" max="15633" width="16.109375" customWidth="1"/>
    <col min="15634" max="15634" width="16.6640625" bestFit="1" customWidth="1"/>
    <col min="15635" max="15635" width="15.5546875" bestFit="1" customWidth="1"/>
    <col min="15636" max="15636" width="18"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5.33203125" bestFit="1" customWidth="1"/>
    <col min="15878" max="15878" width="17.5546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6.5546875" customWidth="1"/>
    <col min="15889" max="15889" width="16.109375" customWidth="1"/>
    <col min="15890" max="15890" width="16.6640625" bestFit="1" customWidth="1"/>
    <col min="15891" max="15891" width="15.5546875" bestFit="1" customWidth="1"/>
    <col min="15892" max="15892" width="18"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5.33203125" bestFit="1" customWidth="1"/>
    <col min="16134" max="16134" width="17.5546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6.5546875" customWidth="1"/>
    <col min="16145" max="16145" width="16.109375" customWidth="1"/>
    <col min="16146" max="16146" width="16.6640625" bestFit="1" customWidth="1"/>
    <col min="16147" max="16147" width="15.5546875" bestFit="1" customWidth="1"/>
    <col min="16148" max="16148" width="18"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4.25" customHeight="1" thickBot="1" x14ac:dyDescent="0.35">
      <c r="B1" s="3881"/>
      <c r="F1" s="202"/>
      <c r="G1" s="202">
        <f>C3</f>
        <v>18230684</v>
      </c>
      <c r="H1" s="202" t="str">
        <f>C4</f>
        <v>Single Family New Construction - Gas</v>
      </c>
      <c r="I1" s="202"/>
    </row>
    <row r="2" spans="2:22" ht="16.2" thickBot="1" x14ac:dyDescent="0.35">
      <c r="B2" s="202" t="s">
        <v>131</v>
      </c>
      <c r="C2" s="203" t="s">
        <v>657</v>
      </c>
      <c r="G2" s="204" t="s">
        <v>8</v>
      </c>
      <c r="Q2" s="4765" t="s">
        <v>612</v>
      </c>
      <c r="R2" s="4765"/>
      <c r="S2" s="4762" t="s">
        <v>132</v>
      </c>
      <c r="T2" s="4763"/>
      <c r="U2" s="4764"/>
      <c r="V2" s="4766" t="s">
        <v>133</v>
      </c>
    </row>
    <row r="3" spans="2:22" ht="16.2" thickBot="1" x14ac:dyDescent="0.35">
      <c r="B3" s="203" t="s">
        <v>6</v>
      </c>
      <c r="C3" s="203">
        <v>18230684</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672</v>
      </c>
      <c r="F4" s="202">
        <v>2011</v>
      </c>
      <c r="G4" s="210">
        <f>B12</f>
        <v>90672</v>
      </c>
      <c r="H4" s="211">
        <f>B17</f>
        <v>22000</v>
      </c>
      <c r="I4" s="211">
        <f>B22</f>
        <v>70983</v>
      </c>
      <c r="J4" s="211">
        <f>B27</f>
        <v>28622</v>
      </c>
      <c r="K4" s="211">
        <f>B32</f>
        <v>5000</v>
      </c>
      <c r="L4" s="211">
        <f>B37</f>
        <v>4320</v>
      </c>
      <c r="M4" s="211">
        <f>B42</f>
        <v>1200</v>
      </c>
      <c r="N4" s="211">
        <f>B47</f>
        <v>5000</v>
      </c>
      <c r="O4" s="211">
        <f>B52</f>
        <v>425000</v>
      </c>
      <c r="P4" s="211">
        <f>B53</f>
        <v>0</v>
      </c>
      <c r="Q4" s="213">
        <f>B54</f>
        <v>652797</v>
      </c>
      <c r="R4" s="372">
        <f>T54</f>
        <v>101810</v>
      </c>
      <c r="S4" s="331">
        <f>O4/Q4</f>
        <v>0.6510446585998404</v>
      </c>
      <c r="T4" s="331">
        <f>(J4+(H4*1.63))/Q4</f>
        <v>9.8778027472552724E-2</v>
      </c>
      <c r="U4" s="331">
        <f>L4/Q4</f>
        <v>6.6176774709442599E-3</v>
      </c>
      <c r="V4" s="216">
        <f>Q4/R4</f>
        <v>6.4119143502602887</v>
      </c>
    </row>
    <row r="5" spans="2:22" ht="16.2" thickBot="1" x14ac:dyDescent="0.35">
      <c r="B5" s="202" t="s">
        <v>34</v>
      </c>
      <c r="F5" s="202">
        <v>2012</v>
      </c>
      <c r="G5" s="217">
        <f>D12</f>
        <v>7504</v>
      </c>
      <c r="H5" s="218">
        <f>D17</f>
        <v>3300</v>
      </c>
      <c r="I5" s="218">
        <f>D22</f>
        <v>6806.52</v>
      </c>
      <c r="J5" s="218">
        <f>D27</f>
        <v>36127</v>
      </c>
      <c r="K5" s="218">
        <f>D32</f>
        <v>5000</v>
      </c>
      <c r="L5" s="218">
        <f>D37</f>
        <v>2500</v>
      </c>
      <c r="M5" s="218">
        <f>D42</f>
        <v>1200</v>
      </c>
      <c r="N5" s="218">
        <f>D47</f>
        <v>5000</v>
      </c>
      <c r="O5" s="218">
        <f>D52</f>
        <v>228750</v>
      </c>
      <c r="P5" s="218">
        <f>D53</f>
        <v>0</v>
      </c>
      <c r="Q5" s="219">
        <f>SUM(G5:P5)</f>
        <v>296187.52000000002</v>
      </c>
      <c r="R5" s="373">
        <f>P54</f>
        <v>28900</v>
      </c>
      <c r="S5" s="332">
        <f>O5/Q5</f>
        <v>0.77231478220284222</v>
      </c>
      <c r="T5" s="332">
        <f>(J5+(H5*1.63))/Q5</f>
        <v>0.14013419606605976</v>
      </c>
      <c r="U5" s="332">
        <f>L5/Q5</f>
        <v>8.4405987125993689E-3</v>
      </c>
      <c r="V5" s="222">
        <f>Q5/R5</f>
        <v>10.248703114186851</v>
      </c>
    </row>
    <row r="6" spans="2:22" ht="16.2" thickBot="1" x14ac:dyDescent="0.35">
      <c r="C6" s="202" t="s">
        <v>489</v>
      </c>
      <c r="F6" s="202">
        <v>2013</v>
      </c>
      <c r="G6" s="374">
        <f>E12</f>
        <v>7729</v>
      </c>
      <c r="H6" s="375">
        <f>E17</f>
        <v>3383</v>
      </c>
      <c r="I6" s="375">
        <f>E22</f>
        <v>7000.56</v>
      </c>
      <c r="J6" s="375">
        <f>E27</f>
        <v>36127</v>
      </c>
      <c r="K6" s="375">
        <f>E32</f>
        <v>5000</v>
      </c>
      <c r="L6" s="375">
        <f>E37</f>
        <v>2500</v>
      </c>
      <c r="M6" s="375">
        <f>E42</f>
        <v>1200</v>
      </c>
      <c r="N6" s="375">
        <f>E47</f>
        <v>5000</v>
      </c>
      <c r="O6" s="375">
        <f>E52</f>
        <v>88750</v>
      </c>
      <c r="P6" s="375">
        <f>E53</f>
        <v>0</v>
      </c>
      <c r="Q6" s="219">
        <f>SUM(G6:P6)</f>
        <v>156689.56</v>
      </c>
      <c r="R6" s="373">
        <f>Q54</f>
        <v>28900</v>
      </c>
      <c r="S6" s="332">
        <f>O6/Q6</f>
        <v>0.56640659403217419</v>
      </c>
      <c r="T6" s="332">
        <f>(J6+(H6*1.63))/Q6</f>
        <v>0.26575663369020885</v>
      </c>
      <c r="U6" s="332">
        <f>L6/Q6</f>
        <v>1.5955115324849979E-2</v>
      </c>
      <c r="V6" s="222">
        <f>Q6/R6</f>
        <v>5.421784083044983</v>
      </c>
    </row>
    <row r="7" spans="2:22" ht="16.2" thickBot="1" x14ac:dyDescent="0.35">
      <c r="C7" s="227" t="s">
        <v>490</v>
      </c>
      <c r="F7" s="376" t="s">
        <v>178</v>
      </c>
      <c r="G7" s="377">
        <f>SUM(G5:G6)</f>
        <v>15233</v>
      </c>
      <c r="H7" s="377">
        <f t="shared" ref="H7:P7" si="0">SUM(H5:H6)</f>
        <v>6683</v>
      </c>
      <c r="I7" s="377">
        <f t="shared" si="0"/>
        <v>13807.080000000002</v>
      </c>
      <c r="J7" s="377">
        <f t="shared" si="0"/>
        <v>72254</v>
      </c>
      <c r="K7" s="377">
        <f t="shared" si="0"/>
        <v>10000</v>
      </c>
      <c r="L7" s="377">
        <f t="shared" si="0"/>
        <v>5000</v>
      </c>
      <c r="M7" s="377">
        <f t="shared" si="0"/>
        <v>2400</v>
      </c>
      <c r="N7" s="377">
        <f t="shared" si="0"/>
        <v>10000</v>
      </c>
      <c r="O7" s="377">
        <f t="shared" si="0"/>
        <v>317500</v>
      </c>
      <c r="P7" s="377">
        <f t="shared" si="0"/>
        <v>0</v>
      </c>
      <c r="Q7" s="378">
        <f>SUM(G7:P7)</f>
        <v>452877.08</v>
      </c>
      <c r="R7" s="379">
        <f>R54</f>
        <v>57800</v>
      </c>
      <c r="S7" s="332">
        <f>O7/Q7</f>
        <v>0.70107323603128691</v>
      </c>
      <c r="T7" s="332">
        <f>(J7+(H7*1.63))/Q7</f>
        <v>0.18359792021269875</v>
      </c>
      <c r="U7" s="332">
        <f>L7/Q7</f>
        <v>1.1040523402067509E-2</v>
      </c>
      <c r="V7" s="222">
        <f>Q7/R7</f>
        <v>7.835243598615917</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90672</v>
      </c>
      <c r="C12" s="244" t="s">
        <v>161</v>
      </c>
      <c r="D12" s="245">
        <f>SUM(D13:D16)</f>
        <v>7504</v>
      </c>
      <c r="E12" s="245">
        <f>SUM(E13:E16)</f>
        <v>7729</v>
      </c>
      <c r="F12" s="246">
        <f>D12+E12</f>
        <v>15233</v>
      </c>
      <c r="H12" s="135"/>
      <c r="I12" s="247" t="str">
        <f t="shared" ref="I12:I53" si="1">C62</f>
        <v>ENERGY STAR Gas Furnace Tier 2 (95% AFUE)</v>
      </c>
      <c r="J12" s="248"/>
      <c r="K12" s="249"/>
      <c r="L12" s="380">
        <f t="shared" ref="L12:L53" si="2">D62</f>
        <v>103</v>
      </c>
      <c r="M12" s="4711">
        <v>200</v>
      </c>
      <c r="N12" s="4711">
        <v>200</v>
      </c>
      <c r="O12" s="252">
        <f>M12+N12</f>
        <v>400</v>
      </c>
      <c r="P12" s="381">
        <f t="shared" ref="P12:R27" si="3">M12*$D62</f>
        <v>20600</v>
      </c>
      <c r="Q12" s="381">
        <f t="shared" si="3"/>
        <v>20600</v>
      </c>
      <c r="R12" s="382">
        <f t="shared" si="3"/>
        <v>41200</v>
      </c>
      <c r="T12" s="267">
        <v>18437</v>
      </c>
    </row>
    <row r="13" spans="2:22" ht="13.8" x14ac:dyDescent="0.3">
      <c r="B13" s="256"/>
      <c r="C13" s="257" t="s">
        <v>659</v>
      </c>
      <c r="D13" s="258">
        <v>7504</v>
      </c>
      <c r="E13" s="258">
        <v>7729</v>
      </c>
      <c r="F13" s="258">
        <f>SUM(D13:E13)</f>
        <v>15233</v>
      </c>
      <c r="H13" s="135"/>
      <c r="I13" s="259" t="str">
        <f t="shared" si="1"/>
        <v>ENERGY STAR Gas Water Heater Tier 1 (.62-.66 EF)</v>
      </c>
      <c r="J13" s="260"/>
      <c r="K13" s="261"/>
      <c r="L13" s="380">
        <f t="shared" si="2"/>
        <v>0</v>
      </c>
      <c r="M13" s="4711">
        <v>0</v>
      </c>
      <c r="N13" s="4711">
        <v>0</v>
      </c>
      <c r="O13" s="252">
        <f t="shared" ref="O13:O53" si="4">M13+N13</f>
        <v>0</v>
      </c>
      <c r="P13" s="381">
        <f t="shared" si="3"/>
        <v>0</v>
      </c>
      <c r="Q13" s="381">
        <f t="shared" si="3"/>
        <v>0</v>
      </c>
      <c r="R13" s="382">
        <f t="shared" si="3"/>
        <v>0</v>
      </c>
      <c r="T13" s="296">
        <v>10200</v>
      </c>
    </row>
    <row r="14" spans="2:22" ht="13.8" x14ac:dyDescent="0.3">
      <c r="B14" s="264"/>
      <c r="C14" s="265" t="s">
        <v>163</v>
      </c>
      <c r="D14" s="266">
        <v>0</v>
      </c>
      <c r="E14" s="266"/>
      <c r="F14" s="258">
        <f t="shared" ref="F14:F24" si="5">SUM(D14:E14)</f>
        <v>0</v>
      </c>
      <c r="H14" s="135"/>
      <c r="I14" s="259" t="str">
        <f t="shared" si="1"/>
        <v>ENERGY STAR Gas Water Heater Tier 2 (.67 +)</v>
      </c>
      <c r="J14" s="260"/>
      <c r="K14" s="261"/>
      <c r="L14" s="380">
        <f t="shared" si="2"/>
        <v>0</v>
      </c>
      <c r="M14" s="4711">
        <v>0</v>
      </c>
      <c r="N14" s="4711">
        <v>0</v>
      </c>
      <c r="O14" s="252">
        <f t="shared" si="4"/>
        <v>0</v>
      </c>
      <c r="P14" s="381">
        <f t="shared" si="3"/>
        <v>0</v>
      </c>
      <c r="Q14" s="381">
        <f t="shared" si="3"/>
        <v>0</v>
      </c>
      <c r="R14" s="382">
        <f t="shared" si="3"/>
        <v>0</v>
      </c>
      <c r="T14" s="296">
        <v>1680</v>
      </c>
    </row>
    <row r="15" spans="2:22" ht="13.8" x14ac:dyDescent="0.3">
      <c r="B15" s="264"/>
      <c r="C15" s="265" t="s">
        <v>164</v>
      </c>
      <c r="D15" s="268">
        <v>0</v>
      </c>
      <c r="E15" s="268"/>
      <c r="F15" s="258">
        <f t="shared" si="5"/>
        <v>0</v>
      </c>
      <c r="H15" s="135"/>
      <c r="I15" s="259" t="str">
        <f t="shared" si="1"/>
        <v>ES Homes Ducts in Conditioned Space w/ PT</v>
      </c>
      <c r="J15" s="260"/>
      <c r="K15" s="261"/>
      <c r="L15" s="380">
        <f t="shared" si="2"/>
        <v>0</v>
      </c>
      <c r="M15" s="4711">
        <v>0</v>
      </c>
      <c r="N15" s="4711">
        <v>0</v>
      </c>
      <c r="O15" s="252">
        <f t="shared" si="4"/>
        <v>0</v>
      </c>
      <c r="P15" s="381">
        <f t="shared" si="3"/>
        <v>0</v>
      </c>
      <c r="Q15" s="381">
        <f t="shared" si="3"/>
        <v>0</v>
      </c>
      <c r="R15" s="382">
        <f t="shared" si="3"/>
        <v>0</v>
      </c>
      <c r="T15" s="296">
        <v>4650</v>
      </c>
    </row>
    <row r="16" spans="2:22" ht="14.4" thickBot="1" x14ac:dyDescent="0.35">
      <c r="B16" s="264"/>
      <c r="C16" s="265" t="s">
        <v>165</v>
      </c>
      <c r="D16" s="268">
        <v>0</v>
      </c>
      <c r="E16" s="268"/>
      <c r="F16" s="258">
        <f t="shared" si="5"/>
        <v>0</v>
      </c>
      <c r="H16" s="135"/>
      <c r="I16" s="259" t="str">
        <f t="shared" si="1"/>
        <v xml:space="preserve">ENERGY STAR Tankless Water Heater </v>
      </c>
      <c r="J16" s="260"/>
      <c r="K16" s="261"/>
      <c r="L16" s="380">
        <f t="shared" si="2"/>
        <v>0</v>
      </c>
      <c r="M16" s="4711">
        <v>0</v>
      </c>
      <c r="N16" s="4711">
        <v>0</v>
      </c>
      <c r="O16" s="252">
        <f t="shared" si="4"/>
        <v>0</v>
      </c>
      <c r="P16" s="381">
        <f t="shared" si="3"/>
        <v>0</v>
      </c>
      <c r="Q16" s="381">
        <f t="shared" si="3"/>
        <v>0</v>
      </c>
      <c r="R16" s="382">
        <f t="shared" si="3"/>
        <v>0</v>
      </c>
      <c r="T16" s="296">
        <v>22200</v>
      </c>
    </row>
    <row r="17" spans="2:20" ht="14.4" thickBot="1" x14ac:dyDescent="0.35">
      <c r="B17" s="272">
        <v>22000</v>
      </c>
      <c r="C17" s="244" t="s">
        <v>166</v>
      </c>
      <c r="D17" s="245">
        <f>SUM(D18:D21)</f>
        <v>3300</v>
      </c>
      <c r="E17" s="245">
        <f>SUM(E18:E21)</f>
        <v>3383</v>
      </c>
      <c r="F17" s="246">
        <f>D17+E17</f>
        <v>6683</v>
      </c>
      <c r="H17" s="135"/>
      <c r="I17" s="259" t="str">
        <f t="shared" si="1"/>
        <v>ENERGY STAR Gas Boiler/Hydronic (95% AFUE)</v>
      </c>
      <c r="J17" s="260"/>
      <c r="K17" s="261"/>
      <c r="L17" s="380">
        <f t="shared" si="2"/>
        <v>0</v>
      </c>
      <c r="M17" s="4711">
        <v>0</v>
      </c>
      <c r="N17" s="4711">
        <v>0</v>
      </c>
      <c r="O17" s="252">
        <f t="shared" si="4"/>
        <v>0</v>
      </c>
      <c r="P17" s="381">
        <f t="shared" si="3"/>
        <v>0</v>
      </c>
      <c r="Q17" s="381">
        <f t="shared" si="3"/>
        <v>0</v>
      </c>
      <c r="R17" s="382">
        <f t="shared" si="3"/>
        <v>0</v>
      </c>
      <c r="T17" s="296"/>
    </row>
    <row r="18" spans="2:20" ht="13.8" x14ac:dyDescent="0.3">
      <c r="B18" s="256"/>
      <c r="C18" s="257" t="s">
        <v>466</v>
      </c>
      <c r="D18" s="258">
        <v>3300</v>
      </c>
      <c r="E18" s="258">
        <v>3383</v>
      </c>
      <c r="F18" s="258">
        <f t="shared" si="5"/>
        <v>6683</v>
      </c>
      <c r="H18" s="135"/>
      <c r="I18" s="259" t="str">
        <f t="shared" si="1"/>
        <v xml:space="preserve">High Efficiency Gas Fireplace </v>
      </c>
      <c r="J18" s="260"/>
      <c r="K18" s="261"/>
      <c r="L18" s="380">
        <f t="shared" si="2"/>
        <v>0</v>
      </c>
      <c r="M18" s="4711">
        <v>0</v>
      </c>
      <c r="N18" s="4711">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ENERGY STAR Gas Furnace Tier 1 (90%-94.9% AFUE)</v>
      </c>
      <c r="J19" s="260"/>
      <c r="K19" s="261"/>
      <c r="L19" s="380">
        <f t="shared" si="2"/>
        <v>83</v>
      </c>
      <c r="M19" s="4711">
        <v>100</v>
      </c>
      <c r="N19" s="4711">
        <v>100</v>
      </c>
      <c r="O19" s="252">
        <f t="shared" si="4"/>
        <v>200</v>
      </c>
      <c r="P19" s="381">
        <f t="shared" si="3"/>
        <v>8300</v>
      </c>
      <c r="Q19" s="381">
        <f t="shared" si="3"/>
        <v>8300</v>
      </c>
      <c r="R19" s="382">
        <f t="shared" si="3"/>
        <v>16600</v>
      </c>
      <c r="T19" s="296">
        <v>26643</v>
      </c>
    </row>
    <row r="20" spans="2:20" ht="13.8" x14ac:dyDescent="0.3">
      <c r="B20" s="264"/>
      <c r="C20" s="265" t="s">
        <v>164</v>
      </c>
      <c r="D20" s="268">
        <v>0</v>
      </c>
      <c r="E20" s="268"/>
      <c r="F20" s="258">
        <f t="shared" si="5"/>
        <v>0</v>
      </c>
      <c r="H20" s="135"/>
      <c r="I20" s="259" t="str">
        <f t="shared" si="1"/>
        <v>ENERGY STAR Homes Bonus (Gas)</v>
      </c>
      <c r="J20" s="260"/>
      <c r="K20" s="261"/>
      <c r="L20" s="380">
        <f t="shared" si="2"/>
        <v>0</v>
      </c>
      <c r="M20" s="4711">
        <v>400</v>
      </c>
      <c r="N20" s="4711">
        <v>0</v>
      </c>
      <c r="O20" s="252">
        <f t="shared" si="4"/>
        <v>400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 xml:space="preserve">ENERGY STAR Homes Verifier Bonus </v>
      </c>
      <c r="J21" s="260"/>
      <c r="K21" s="261"/>
      <c r="L21" s="380">
        <f t="shared" si="2"/>
        <v>0</v>
      </c>
      <c r="M21" s="4711">
        <v>250</v>
      </c>
      <c r="N21" s="4711">
        <v>250</v>
      </c>
      <c r="O21" s="252">
        <f t="shared" si="4"/>
        <v>500</v>
      </c>
      <c r="P21" s="381">
        <f t="shared" si="3"/>
        <v>0</v>
      </c>
      <c r="Q21" s="381">
        <f t="shared" si="3"/>
        <v>0</v>
      </c>
      <c r="R21" s="382">
        <f t="shared" si="3"/>
        <v>0</v>
      </c>
      <c r="T21" s="296"/>
    </row>
    <row r="22" spans="2:20" ht="14.4" thickBot="1" x14ac:dyDescent="0.35">
      <c r="B22" s="272">
        <v>70983</v>
      </c>
      <c r="C22" s="244" t="s">
        <v>167</v>
      </c>
      <c r="D22" s="245">
        <f>SUM(D23:D26)</f>
        <v>6806.52</v>
      </c>
      <c r="E22" s="245">
        <f>SUM(E23:E26)</f>
        <v>7000.56</v>
      </c>
      <c r="F22" s="246">
        <f>D22+E22</f>
        <v>13807.080000000002</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v>18000</v>
      </c>
    </row>
    <row r="23" spans="2:20" ht="13.8" x14ac:dyDescent="0.3">
      <c r="B23" s="256"/>
      <c r="C23" s="257" t="s">
        <v>168</v>
      </c>
      <c r="D23" s="258">
        <f>0.63*D12</f>
        <v>4727.5200000000004</v>
      </c>
      <c r="E23" s="258">
        <f>0.63*E12</f>
        <v>4869.2700000000004</v>
      </c>
      <c r="F23" s="258">
        <f t="shared" si="5"/>
        <v>9596.7900000000009</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2079</v>
      </c>
      <c r="E24" s="266">
        <f>0.63*E17</f>
        <v>2131.29</v>
      </c>
      <c r="F24" s="258">
        <f t="shared" si="5"/>
        <v>4210.29</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28622</v>
      </c>
      <c r="C27" s="244" t="s">
        <v>170</v>
      </c>
      <c r="D27" s="245">
        <f>SUM(D28:D31)</f>
        <v>36127</v>
      </c>
      <c r="E27" s="245">
        <f>SUM(E28:E31)</f>
        <v>36127</v>
      </c>
      <c r="F27" s="246">
        <f>D27+E27</f>
        <v>72254</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468</v>
      </c>
      <c r="D28" s="258">
        <v>36127</v>
      </c>
      <c r="E28" s="258">
        <v>36127</v>
      </c>
      <c r="F28" s="258">
        <f t="shared" ref="F28:F36" si="6">SUM(D28:E28)</f>
        <v>72254</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5000</v>
      </c>
      <c r="C32" s="244" t="s">
        <v>171</v>
      </c>
      <c r="D32" s="245">
        <f>SUM(D33:D36)</f>
        <v>5000</v>
      </c>
      <c r="E32" s="245">
        <f>SUM(E33:E36)</f>
        <v>5000</v>
      </c>
      <c r="F32" s="246">
        <f>D32+E32</f>
        <v>10000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469</v>
      </c>
      <c r="D33" s="266">
        <v>5000</v>
      </c>
      <c r="E33" s="266">
        <v>5000</v>
      </c>
      <c r="F33" s="258">
        <f t="shared" si="6"/>
        <v>10000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4320</v>
      </c>
      <c r="C37" s="244" t="s">
        <v>172</v>
      </c>
      <c r="D37" s="245">
        <f>SUM(D38:D41)</f>
        <v>2500</v>
      </c>
      <c r="E37" s="245">
        <f>SUM(E38:E41)</f>
        <v>2500</v>
      </c>
      <c r="F37" s="246">
        <f>D37+E37</f>
        <v>5000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660</v>
      </c>
      <c r="D38" s="266">
        <v>2500</v>
      </c>
      <c r="E38" s="266">
        <v>2500</v>
      </c>
      <c r="F38" s="258">
        <f t="shared" ref="F38:F51" si="8">SUM(D38:E38)</f>
        <v>5000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1200</v>
      </c>
      <c r="C42" s="244" t="s">
        <v>173</v>
      </c>
      <c r="D42" s="245">
        <f>SUM(D43:D46)</f>
        <v>1200</v>
      </c>
      <c r="E42" s="245">
        <f>SUM(E43:E46)</f>
        <v>1200</v>
      </c>
      <c r="F42" s="246">
        <f>D42+E42</f>
        <v>2400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471</v>
      </c>
      <c r="D43" s="266">
        <v>1200</v>
      </c>
      <c r="E43" s="266">
        <v>1200</v>
      </c>
      <c r="F43" s="258">
        <f t="shared" si="8"/>
        <v>2400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5000</v>
      </c>
      <c r="C47" s="244" t="s">
        <v>174</v>
      </c>
      <c r="D47" s="245">
        <f>SUM(D48:D51)</f>
        <v>5000</v>
      </c>
      <c r="E47" s="245">
        <f>SUM(E48:E51)</f>
        <v>5000</v>
      </c>
      <c r="F47" s="246">
        <f>D47+E47</f>
        <v>10000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5000</v>
      </c>
      <c r="E48" s="266">
        <v>5000</v>
      </c>
      <c r="F48" s="258">
        <f t="shared" si="8"/>
        <v>10000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425000</v>
      </c>
      <c r="C52" s="244" t="s">
        <v>175</v>
      </c>
      <c r="D52" s="245">
        <f>S104</f>
        <v>228750</v>
      </c>
      <c r="E52" s="245">
        <f>T104</f>
        <v>88750</v>
      </c>
      <c r="F52" s="246">
        <f>U104</f>
        <v>317500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652797</v>
      </c>
      <c r="C54" s="274" t="s">
        <v>178</v>
      </c>
      <c r="D54" s="273">
        <f>D12+D17+D22+D27+D32+D37+D42+D47+D52+D53</f>
        <v>296187.52000000002</v>
      </c>
      <c r="E54" s="273">
        <f>E12+E17+E22+E27+E32+E37+E42+E47+E52+E53</f>
        <v>156689.56</v>
      </c>
      <c r="F54" s="273">
        <f>F12+F17+F22+F27+F32+F37+F42+F47+F52+F53</f>
        <v>452877.08</v>
      </c>
      <c r="P54" s="385">
        <f>SUM(P12:P53)</f>
        <v>28900</v>
      </c>
      <c r="Q54" s="385">
        <f>SUM(Q12:Q53)</f>
        <v>28900</v>
      </c>
      <c r="R54" s="385">
        <f>SUM(R12:R53)</f>
        <v>57800</v>
      </c>
      <c r="T54" s="385">
        <f>SUM(T12:T53)</f>
        <v>101810</v>
      </c>
    </row>
    <row r="55" spans="2:24" ht="13.8" x14ac:dyDescent="0.3">
      <c r="C55" s="274"/>
      <c r="D55" s="273"/>
      <c r="E55" s="273"/>
      <c r="F55" s="273"/>
    </row>
    <row r="56" spans="2:24" ht="13.8" x14ac:dyDescent="0.3">
      <c r="C56" s="274" t="s">
        <v>179</v>
      </c>
      <c r="D56" s="273">
        <f>D54-D52</f>
        <v>67437.520000000019</v>
      </c>
      <c r="E56" s="273">
        <f>E54-E52</f>
        <v>67939.56</v>
      </c>
      <c r="F56" s="273">
        <f>F54-F52</f>
        <v>135377.08000000002</v>
      </c>
    </row>
    <row r="57" spans="2:24" ht="13.8" x14ac:dyDescent="0.3">
      <c r="C57" s="274" t="s">
        <v>180</v>
      </c>
      <c r="D57" s="276">
        <f>D52</f>
        <v>228750</v>
      </c>
      <c r="E57" s="276">
        <f>E52</f>
        <v>88750</v>
      </c>
      <c r="F57" s="276">
        <f>F52</f>
        <v>317500</v>
      </c>
      <c r="G57" s="335">
        <f>F57/(F56+F57)</f>
        <v>0.70107323603128691</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708" t="s">
        <v>661</v>
      </c>
      <c r="D62" s="4701">
        <v>103</v>
      </c>
      <c r="E62" s="4701" t="s">
        <v>617</v>
      </c>
      <c r="F62" s="4701" t="s">
        <v>211</v>
      </c>
      <c r="G62" s="4702">
        <v>692</v>
      </c>
      <c r="H62" s="4702">
        <v>250</v>
      </c>
      <c r="I62" s="4707">
        <v>0.54</v>
      </c>
      <c r="J62" s="4701">
        <v>18</v>
      </c>
      <c r="K62" s="4701" t="s">
        <v>618</v>
      </c>
      <c r="L62" s="4705">
        <v>2.8741563639641594</v>
      </c>
      <c r="M62" s="4705">
        <v>1.4218969089129856</v>
      </c>
      <c r="N62" s="4706">
        <v>160132.86142460688</v>
      </c>
      <c r="O62" s="4706">
        <v>323685.12784458837</v>
      </c>
      <c r="P62" s="4706">
        <v>460246.88274332474</v>
      </c>
      <c r="Q62" s="4706">
        <v>460246.88274332474</v>
      </c>
      <c r="R62" s="4704">
        <v>1.081</v>
      </c>
      <c r="S62" s="3362">
        <f>M12*H62</f>
        <v>50000</v>
      </c>
      <c r="T62" s="3362">
        <f>N12*H62</f>
        <v>50000</v>
      </c>
      <c r="U62" s="3362">
        <f>S62+T62</f>
        <v>100000</v>
      </c>
      <c r="V62" s="338">
        <f>U62/(U62+(I62*F$56))</f>
        <v>0.57768865926314117</v>
      </c>
      <c r="W62" s="338">
        <f t="shared" ref="W62:W80" si="10">(I62*((F$17*1.63)+F$27))/(U62+(I62*F$56))</f>
        <v>0.25937953099990335</v>
      </c>
      <c r="X62" s="338">
        <f>(I62*F$37)/(U62+(I62*F$56))</f>
        <v>1.5597593800104812E-2</v>
      </c>
    </row>
    <row r="63" spans="2:24" ht="13.8" x14ac:dyDescent="0.3">
      <c r="B63" s="296"/>
      <c r="C63" s="4709" t="s">
        <v>662</v>
      </c>
      <c r="D63" s="4700"/>
      <c r="E63" s="4700" t="s">
        <v>617</v>
      </c>
      <c r="F63" s="4701" t="s">
        <v>211</v>
      </c>
      <c r="G63" s="4702"/>
      <c r="H63" s="4702"/>
      <c r="I63" s="4707"/>
      <c r="J63" s="4701"/>
      <c r="K63" s="4701"/>
      <c r="L63" s="4705" t="e">
        <v>#DIV/0!</v>
      </c>
      <c r="M63" s="4705" t="e">
        <v>#DIV/0!</v>
      </c>
      <c r="N63" s="4706">
        <v>0</v>
      </c>
      <c r="O63" s="4706">
        <v>0</v>
      </c>
      <c r="P63" s="4706">
        <v>0</v>
      </c>
      <c r="Q63" s="4706">
        <v>0</v>
      </c>
      <c r="R63" s="4704">
        <v>1.081</v>
      </c>
      <c r="S63" s="4703">
        <f t="shared" ref="S63:S71" si="11">M13*H63</f>
        <v>0</v>
      </c>
      <c r="T63" s="4703">
        <f t="shared" ref="T63:T71" si="12">N13*H63</f>
        <v>0</v>
      </c>
      <c r="U63" s="4712">
        <f t="shared" ref="U63:U71" si="13">S63+T63</f>
        <v>0</v>
      </c>
      <c r="V63" s="338" t="e">
        <f t="shared" ref="V63:V80" si="14">U63/(U63+(I63*F$56))</f>
        <v>#DIV/0!</v>
      </c>
      <c r="W63" s="338" t="e">
        <f t="shared" si="10"/>
        <v>#DIV/0!</v>
      </c>
      <c r="X63" s="338" t="e">
        <f t="shared" ref="X63:X80" si="15">(I63*F$37)/(U63+(I63*F$56))</f>
        <v>#DIV/0!</v>
      </c>
    </row>
    <row r="64" spans="2:24" ht="13.8" x14ac:dyDescent="0.3">
      <c r="B64" s="296"/>
      <c r="C64" s="4709" t="s">
        <v>663</v>
      </c>
      <c r="D64" s="4700"/>
      <c r="E64" s="4700" t="s">
        <v>617</v>
      </c>
      <c r="F64" s="4701" t="s">
        <v>211</v>
      </c>
      <c r="G64" s="4702"/>
      <c r="H64" s="4702"/>
      <c r="I64" s="4707"/>
      <c r="J64" s="4701"/>
      <c r="K64" s="4701"/>
      <c r="L64" s="4705" t="e">
        <v>#DIV/0!</v>
      </c>
      <c r="M64" s="4705" t="e">
        <v>#DIV/0!</v>
      </c>
      <c r="N64" s="4706">
        <v>0</v>
      </c>
      <c r="O64" s="4706">
        <v>0</v>
      </c>
      <c r="P64" s="4706">
        <v>0</v>
      </c>
      <c r="Q64" s="4706">
        <v>0</v>
      </c>
      <c r="R64" s="4704">
        <v>1.081</v>
      </c>
      <c r="S64" s="4703">
        <f t="shared" si="11"/>
        <v>0</v>
      </c>
      <c r="T64" s="4703">
        <f t="shared" si="12"/>
        <v>0</v>
      </c>
      <c r="U64" s="4712">
        <f t="shared" si="13"/>
        <v>0</v>
      </c>
      <c r="V64" s="338" t="e">
        <f t="shared" si="14"/>
        <v>#DIV/0!</v>
      </c>
      <c r="W64" s="338" t="e">
        <f t="shared" si="10"/>
        <v>#DIV/0!</v>
      </c>
      <c r="X64" s="338" t="e">
        <f t="shared" si="15"/>
        <v>#DIV/0!</v>
      </c>
    </row>
    <row r="65" spans="2:24" ht="13.8" x14ac:dyDescent="0.3">
      <c r="B65" s="296"/>
      <c r="C65" s="4709" t="s">
        <v>664</v>
      </c>
      <c r="D65" s="4700"/>
      <c r="E65" s="4700" t="s">
        <v>617</v>
      </c>
      <c r="F65" s="4701" t="s">
        <v>211</v>
      </c>
      <c r="G65" s="4702"/>
      <c r="H65" s="4702"/>
      <c r="I65" s="4707"/>
      <c r="J65" s="4701"/>
      <c r="K65" s="4701"/>
      <c r="L65" s="4705" t="e">
        <v>#DIV/0!</v>
      </c>
      <c r="M65" s="4705" t="e">
        <v>#DIV/0!</v>
      </c>
      <c r="N65" s="4706">
        <v>0</v>
      </c>
      <c r="O65" s="4706">
        <v>0</v>
      </c>
      <c r="P65" s="4706">
        <v>0</v>
      </c>
      <c r="Q65" s="4706">
        <v>0</v>
      </c>
      <c r="R65" s="4704">
        <v>1.081</v>
      </c>
      <c r="S65" s="4703">
        <f t="shared" si="11"/>
        <v>0</v>
      </c>
      <c r="T65" s="4703">
        <f t="shared" si="12"/>
        <v>0</v>
      </c>
      <c r="U65" s="4712">
        <f t="shared" si="13"/>
        <v>0</v>
      </c>
      <c r="V65" s="338" t="e">
        <f t="shared" si="14"/>
        <v>#DIV/0!</v>
      </c>
      <c r="W65" s="338" t="e">
        <f t="shared" si="10"/>
        <v>#DIV/0!</v>
      </c>
      <c r="X65" s="338" t="e">
        <f t="shared" si="15"/>
        <v>#DIV/0!</v>
      </c>
    </row>
    <row r="66" spans="2:24" ht="13.8" x14ac:dyDescent="0.3">
      <c r="B66" s="296"/>
      <c r="C66" s="4709" t="s">
        <v>665</v>
      </c>
      <c r="D66" s="4700"/>
      <c r="E66" s="4700" t="s">
        <v>617</v>
      </c>
      <c r="F66" s="4701" t="s">
        <v>211</v>
      </c>
      <c r="G66" s="4702"/>
      <c r="H66" s="4702"/>
      <c r="I66" s="4707"/>
      <c r="J66" s="4701"/>
      <c r="K66" s="4701"/>
      <c r="L66" s="4705" t="e">
        <v>#DIV/0!</v>
      </c>
      <c r="M66" s="4705" t="e">
        <v>#DIV/0!</v>
      </c>
      <c r="N66" s="4706">
        <v>0</v>
      </c>
      <c r="O66" s="4706">
        <v>0</v>
      </c>
      <c r="P66" s="4706">
        <v>0</v>
      </c>
      <c r="Q66" s="4706">
        <v>0</v>
      </c>
      <c r="R66" s="4704">
        <v>1.081</v>
      </c>
      <c r="S66" s="4703">
        <f t="shared" si="11"/>
        <v>0</v>
      </c>
      <c r="T66" s="4703">
        <f t="shared" si="12"/>
        <v>0</v>
      </c>
      <c r="U66" s="4712">
        <f t="shared" si="13"/>
        <v>0</v>
      </c>
      <c r="V66" s="338" t="e">
        <f t="shared" si="14"/>
        <v>#DIV/0!</v>
      </c>
      <c r="W66" s="338" t="e">
        <f t="shared" si="10"/>
        <v>#DIV/0!</v>
      </c>
      <c r="X66" s="338" t="e">
        <f t="shared" si="15"/>
        <v>#DIV/0!</v>
      </c>
    </row>
    <row r="67" spans="2:24" ht="13.8" x14ac:dyDescent="0.3">
      <c r="B67" s="296"/>
      <c r="C67" s="4710" t="s">
        <v>666</v>
      </c>
      <c r="D67" s="4700"/>
      <c r="E67" s="4700" t="s">
        <v>617</v>
      </c>
      <c r="F67" s="4701" t="s">
        <v>211</v>
      </c>
      <c r="G67" s="4702"/>
      <c r="H67" s="4702"/>
      <c r="I67" s="4707"/>
      <c r="J67" s="4701"/>
      <c r="K67" s="4701"/>
      <c r="L67" s="4705" t="e">
        <v>#DIV/0!</v>
      </c>
      <c r="M67" s="4705" t="e">
        <v>#DIV/0!</v>
      </c>
      <c r="N67" s="4706">
        <v>0</v>
      </c>
      <c r="O67" s="4706">
        <v>0</v>
      </c>
      <c r="P67" s="4706">
        <v>0</v>
      </c>
      <c r="Q67" s="4706">
        <v>0</v>
      </c>
      <c r="R67" s="4704">
        <v>1.081</v>
      </c>
      <c r="S67" s="4703">
        <f t="shared" si="11"/>
        <v>0</v>
      </c>
      <c r="T67" s="4703">
        <f t="shared" si="12"/>
        <v>0</v>
      </c>
      <c r="U67" s="4712">
        <f t="shared" si="13"/>
        <v>0</v>
      </c>
      <c r="V67" s="338" t="e">
        <f t="shared" si="14"/>
        <v>#DIV/0!</v>
      </c>
      <c r="W67" s="338" t="e">
        <f t="shared" si="10"/>
        <v>#DIV/0!</v>
      </c>
      <c r="X67" s="338" t="e">
        <f t="shared" si="15"/>
        <v>#DIV/0!</v>
      </c>
    </row>
    <row r="68" spans="2:24" ht="13.8" x14ac:dyDescent="0.3">
      <c r="B68" s="296"/>
      <c r="C68" s="4710" t="s">
        <v>667</v>
      </c>
      <c r="D68" s="4700"/>
      <c r="E68" s="4700" t="s">
        <v>617</v>
      </c>
      <c r="F68" s="4701" t="s">
        <v>211</v>
      </c>
      <c r="G68" s="4702"/>
      <c r="H68" s="4702"/>
      <c r="I68" s="4707"/>
      <c r="J68" s="4701"/>
      <c r="K68" s="4701"/>
      <c r="L68" s="4705" t="e">
        <v>#DIV/0!</v>
      </c>
      <c r="M68" s="4705" t="e">
        <v>#DIV/0!</v>
      </c>
      <c r="N68" s="4706">
        <v>0</v>
      </c>
      <c r="O68" s="4706">
        <v>0</v>
      </c>
      <c r="P68" s="4706">
        <v>0</v>
      </c>
      <c r="Q68" s="4706">
        <v>0</v>
      </c>
      <c r="R68" s="4704">
        <v>1.081</v>
      </c>
      <c r="S68" s="4703">
        <f t="shared" si="11"/>
        <v>0</v>
      </c>
      <c r="T68" s="4703">
        <f t="shared" si="12"/>
        <v>0</v>
      </c>
      <c r="U68" s="4712">
        <f t="shared" si="13"/>
        <v>0</v>
      </c>
      <c r="V68" s="338" t="e">
        <f t="shared" si="14"/>
        <v>#DIV/0!</v>
      </c>
      <c r="W68" s="338" t="e">
        <f t="shared" si="10"/>
        <v>#DIV/0!</v>
      </c>
      <c r="X68" s="338" t="e">
        <f t="shared" si="15"/>
        <v>#DIV/0!</v>
      </c>
    </row>
    <row r="69" spans="2:24" ht="13.8" x14ac:dyDescent="0.3">
      <c r="B69" s="296"/>
      <c r="C69" s="4709" t="s">
        <v>668</v>
      </c>
      <c r="D69" s="4700">
        <v>83</v>
      </c>
      <c r="E69" s="4700" t="s">
        <v>617</v>
      </c>
      <c r="F69" s="4701" t="s">
        <v>211</v>
      </c>
      <c r="G69" s="4702">
        <v>685</v>
      </c>
      <c r="H69" s="4702">
        <v>350</v>
      </c>
      <c r="I69" s="4707">
        <v>0.46</v>
      </c>
      <c r="J69" s="4701">
        <v>18</v>
      </c>
      <c r="K69" s="4701" t="s">
        <v>618</v>
      </c>
      <c r="L69" s="4705">
        <v>1.5154957341101596</v>
      </c>
      <c r="M69" s="4705">
        <v>1.0059536414706509</v>
      </c>
      <c r="N69" s="4706">
        <v>122362.12469935247</v>
      </c>
      <c r="O69" s="4706">
        <v>184341.773172988</v>
      </c>
      <c r="P69" s="4706">
        <v>185439.27799852405</v>
      </c>
      <c r="Q69" s="4706">
        <v>185439.27799852405</v>
      </c>
      <c r="R69" s="4704">
        <v>1.081</v>
      </c>
      <c r="S69" s="4703">
        <f t="shared" si="11"/>
        <v>35000</v>
      </c>
      <c r="T69" s="4703">
        <f t="shared" si="12"/>
        <v>35000</v>
      </c>
      <c r="U69" s="4712">
        <f t="shared" si="13"/>
        <v>70000</v>
      </c>
      <c r="V69" s="338">
        <f t="shared" si="14"/>
        <v>0.52920670324539365</v>
      </c>
      <c r="W69" s="338">
        <f t="shared" si="10"/>
        <v>0.28915667833366848</v>
      </c>
      <c r="X69" s="338">
        <f t="shared" si="15"/>
        <v>1.7388220249491503E-2</v>
      </c>
    </row>
    <row r="70" spans="2:24" ht="13.8" x14ac:dyDescent="0.3">
      <c r="B70" s="296"/>
      <c r="C70" s="4709" t="s">
        <v>669</v>
      </c>
      <c r="D70" s="4700"/>
      <c r="E70" s="4700" t="s">
        <v>617</v>
      </c>
      <c r="F70" s="4701" t="s">
        <v>211</v>
      </c>
      <c r="G70" s="4702">
        <v>350</v>
      </c>
      <c r="H70" s="4702">
        <v>350</v>
      </c>
      <c r="I70" s="4707"/>
      <c r="J70" s="4701"/>
      <c r="K70" s="4701"/>
      <c r="L70" s="4705">
        <v>0</v>
      </c>
      <c r="M70" s="4705">
        <v>0</v>
      </c>
      <c r="N70" s="4706">
        <v>129509.71322849214</v>
      </c>
      <c r="O70" s="4706">
        <v>129509.71322849214</v>
      </c>
      <c r="P70" s="4706">
        <v>0</v>
      </c>
      <c r="Q70" s="4706">
        <v>0</v>
      </c>
      <c r="R70" s="4704">
        <v>1.081</v>
      </c>
      <c r="S70" s="4703">
        <f t="shared" si="11"/>
        <v>140000</v>
      </c>
      <c r="T70" s="4703">
        <f t="shared" si="12"/>
        <v>0</v>
      </c>
      <c r="U70" s="4712">
        <f t="shared" si="13"/>
        <v>140000</v>
      </c>
      <c r="V70" s="338">
        <f t="shared" si="14"/>
        <v>1</v>
      </c>
      <c r="W70" s="338">
        <f t="shared" si="10"/>
        <v>0</v>
      </c>
      <c r="X70" s="338">
        <f t="shared" si="15"/>
        <v>0</v>
      </c>
    </row>
    <row r="71" spans="2:24" ht="13.8" x14ac:dyDescent="0.3">
      <c r="B71" s="296"/>
      <c r="C71" s="4709" t="s">
        <v>670</v>
      </c>
      <c r="D71" s="4700"/>
      <c r="E71" s="4700" t="s">
        <v>617</v>
      </c>
      <c r="F71" s="4701" t="s">
        <v>211</v>
      </c>
      <c r="G71" s="4702">
        <v>15</v>
      </c>
      <c r="H71" s="4702">
        <v>15</v>
      </c>
      <c r="I71" s="4707"/>
      <c r="J71" s="4701"/>
      <c r="K71" s="4701"/>
      <c r="L71" s="4705">
        <v>0</v>
      </c>
      <c r="M71" s="4705">
        <v>0</v>
      </c>
      <c r="N71" s="4706">
        <v>6938.0203515263647</v>
      </c>
      <c r="O71" s="4706">
        <v>6938.0203515263647</v>
      </c>
      <c r="P71" s="4706">
        <v>0</v>
      </c>
      <c r="Q71" s="4706">
        <v>0</v>
      </c>
      <c r="R71" s="4704">
        <v>1.081</v>
      </c>
      <c r="S71" s="4703">
        <f t="shared" si="11"/>
        <v>3750</v>
      </c>
      <c r="T71" s="4703">
        <f t="shared" si="12"/>
        <v>3750</v>
      </c>
      <c r="U71" s="4712">
        <f t="shared" si="13"/>
        <v>7500</v>
      </c>
      <c r="V71" s="338">
        <f t="shared" si="14"/>
        <v>1</v>
      </c>
      <c r="W71" s="338">
        <f t="shared" si="10"/>
        <v>0</v>
      </c>
      <c r="X71" s="338">
        <f t="shared" si="15"/>
        <v>0</v>
      </c>
    </row>
    <row r="72" spans="2:24" ht="13.8" x14ac:dyDescent="0.3">
      <c r="B72" s="296"/>
      <c r="C72" s="296" t="s">
        <v>220</v>
      </c>
      <c r="D72" s="267">
        <v>0</v>
      </c>
      <c r="E72" s="296" t="s">
        <v>617</v>
      </c>
      <c r="F72" s="296" t="s">
        <v>211</v>
      </c>
      <c r="G72" s="297"/>
      <c r="H72" s="297"/>
      <c r="I72" s="326">
        <v>0</v>
      </c>
      <c r="J72" s="267"/>
      <c r="K72" s="267"/>
      <c r="L72" s="3865" t="e">
        <f t="shared" ref="L72:M103" si="16">P72/N72</f>
        <v>#DIV/0!</v>
      </c>
      <c r="M72" s="3865" t="e">
        <f t="shared" si="16"/>
        <v>#DIV/0!</v>
      </c>
      <c r="N72" s="218">
        <f t="shared" ref="N72:N103" si="17">(($I72*$F$56)+$U72)/$R72</f>
        <v>0</v>
      </c>
      <c r="O72" s="218">
        <f t="shared" ref="O72:O103" si="18">(($I72*$F$56)+($G72*$O22))/$R72</f>
        <v>0</v>
      </c>
      <c r="P72" s="218">
        <f>IF(K72=0, 0, (HLOOKUP(K72,'[1]G-CESTD'!$A$5:$G$35,J72+1,FALSE)*R22))</f>
        <v>0</v>
      </c>
      <c r="Q72" s="218">
        <f>IF(K72=0, 0, (HLOOKUP(K72,'[1]G-CESTD'!$A$5:$G$35,J72+1,FALSE)*R22))</f>
        <v>0</v>
      </c>
      <c r="R72" s="292">
        <v>1.081</v>
      </c>
      <c r="S72" s="293">
        <f t="shared" ref="S72:U77" si="19">M22*$H72</f>
        <v>0</v>
      </c>
      <c r="T72" s="293">
        <f t="shared" si="19"/>
        <v>0</v>
      </c>
      <c r="U72" s="293">
        <f t="shared" si="19"/>
        <v>0</v>
      </c>
      <c r="V72" s="338" t="e">
        <f t="shared" si="14"/>
        <v>#DIV/0!</v>
      </c>
      <c r="W72" s="338" t="e">
        <f t="shared" si="10"/>
        <v>#DIV/0!</v>
      </c>
      <c r="X72" s="338" t="e">
        <f t="shared" si="15"/>
        <v>#DIV/0!</v>
      </c>
    </row>
    <row r="73" spans="2:24" ht="13.8" x14ac:dyDescent="0.3">
      <c r="B73" s="296"/>
      <c r="C73" s="296" t="s">
        <v>221</v>
      </c>
      <c r="D73" s="296">
        <v>0</v>
      </c>
      <c r="E73" s="296" t="s">
        <v>617</v>
      </c>
      <c r="F73" s="296" t="s">
        <v>211</v>
      </c>
      <c r="G73" s="297"/>
      <c r="H73" s="297"/>
      <c r="I73" s="326">
        <v>0</v>
      </c>
      <c r="J73" s="267"/>
      <c r="K73" s="267"/>
      <c r="L73" s="3865" t="e">
        <f t="shared" si="16"/>
        <v>#DIV/0!</v>
      </c>
      <c r="M73" s="3865" t="e">
        <f t="shared" si="16"/>
        <v>#DIV/0!</v>
      </c>
      <c r="N73" s="218">
        <f t="shared" si="17"/>
        <v>0</v>
      </c>
      <c r="O73" s="218">
        <f t="shared" si="18"/>
        <v>0</v>
      </c>
      <c r="P73" s="218">
        <f>IF(K73=0, 0, (HLOOKUP(K73,'[1]G-CESTDWO'!$A$5:$G$35,J73+1,FALSE)*R23))</f>
        <v>0</v>
      </c>
      <c r="Q73" s="218">
        <f>IF(K73=0, 0, (HLOOKUP(K73,'[1]G-CESTD'!$A$5:$G$35,J73+1,FALSE)*R23))</f>
        <v>0</v>
      </c>
      <c r="R73" s="292">
        <v>1.081</v>
      </c>
      <c r="S73" s="293">
        <f t="shared" si="19"/>
        <v>0</v>
      </c>
      <c r="T73" s="293">
        <f t="shared" si="19"/>
        <v>0</v>
      </c>
      <c r="U73" s="293">
        <f t="shared" si="19"/>
        <v>0</v>
      </c>
      <c r="V73" s="338" t="e">
        <f t="shared" si="14"/>
        <v>#DIV/0!</v>
      </c>
      <c r="W73" s="338" t="e">
        <f t="shared" si="10"/>
        <v>#DIV/0!</v>
      </c>
      <c r="X73" s="338" t="e">
        <f t="shared" si="15"/>
        <v>#DIV/0!</v>
      </c>
    </row>
    <row r="74" spans="2:24" ht="13.8" x14ac:dyDescent="0.3">
      <c r="B74" s="296"/>
      <c r="C74" s="296" t="s">
        <v>222</v>
      </c>
      <c r="D74" s="267">
        <v>0</v>
      </c>
      <c r="E74" s="296" t="s">
        <v>617</v>
      </c>
      <c r="F74" s="296" t="s">
        <v>211</v>
      </c>
      <c r="G74" s="297"/>
      <c r="H74" s="297"/>
      <c r="I74" s="326">
        <v>0</v>
      </c>
      <c r="J74" s="267"/>
      <c r="K74" s="267"/>
      <c r="L74" s="3865" t="e">
        <f t="shared" si="16"/>
        <v>#DIV/0!</v>
      </c>
      <c r="M74" s="3865" t="e">
        <f t="shared" si="16"/>
        <v>#DIV/0!</v>
      </c>
      <c r="N74" s="218">
        <f t="shared" si="17"/>
        <v>0</v>
      </c>
      <c r="O74" s="218">
        <f t="shared" si="18"/>
        <v>0</v>
      </c>
      <c r="P74" s="218">
        <f>IF(K74=0, 0, (HLOOKUP(K74,'[1]G-CESTDWO'!$A$5:$G$35,J74+1,FALSE)*R24))</f>
        <v>0</v>
      </c>
      <c r="Q74" s="218">
        <f>IF(K74=0, 0, (HLOOKUP(K74,'[1]G-CESTD'!$A$5:$G$35,J74+1,FALSE)*R24))</f>
        <v>0</v>
      </c>
      <c r="R74" s="292">
        <v>1.081</v>
      </c>
      <c r="S74" s="293">
        <f t="shared" si="19"/>
        <v>0</v>
      </c>
      <c r="T74" s="293">
        <f t="shared" si="19"/>
        <v>0</v>
      </c>
      <c r="U74" s="293">
        <f t="shared" si="19"/>
        <v>0</v>
      </c>
      <c r="V74" s="338" t="e">
        <f t="shared" si="14"/>
        <v>#DIV/0!</v>
      </c>
      <c r="W74" s="338" t="e">
        <f t="shared" si="10"/>
        <v>#DIV/0!</v>
      </c>
      <c r="X74" s="338" t="e">
        <f t="shared" si="15"/>
        <v>#DIV/0!</v>
      </c>
    </row>
    <row r="75" spans="2:24" ht="13.8" x14ac:dyDescent="0.3">
      <c r="B75" s="296"/>
      <c r="C75" s="296" t="s">
        <v>223</v>
      </c>
      <c r="D75" s="296">
        <v>0</v>
      </c>
      <c r="E75" s="296" t="s">
        <v>617</v>
      </c>
      <c r="F75" s="296" t="s">
        <v>211</v>
      </c>
      <c r="G75" s="297"/>
      <c r="H75" s="297"/>
      <c r="I75" s="326">
        <v>0</v>
      </c>
      <c r="J75" s="267"/>
      <c r="K75" s="267"/>
      <c r="L75" s="3865" t="e">
        <f t="shared" si="16"/>
        <v>#DIV/0!</v>
      </c>
      <c r="M75" s="3865" t="e">
        <f t="shared" si="16"/>
        <v>#DIV/0!</v>
      </c>
      <c r="N75" s="218">
        <f t="shared" si="17"/>
        <v>0</v>
      </c>
      <c r="O75" s="218">
        <f t="shared" si="18"/>
        <v>0</v>
      </c>
      <c r="P75" s="218">
        <f>IF(K75=0, 0, (HLOOKUP(K75,'[1]G-CESTDWO'!$A$5:$G$35,J75+1,FALSE)*R25))</f>
        <v>0</v>
      </c>
      <c r="Q75" s="218">
        <f>IF(K75=0, 0, (HLOOKUP(K75,'[1]G-CESTD'!$A$5:$G$35,J75+1,FALSE)*R25))</f>
        <v>0</v>
      </c>
      <c r="R75" s="292">
        <v>1.081</v>
      </c>
      <c r="S75" s="293">
        <f t="shared" si="19"/>
        <v>0</v>
      </c>
      <c r="T75" s="293">
        <f t="shared" si="19"/>
        <v>0</v>
      </c>
      <c r="U75" s="293">
        <f t="shared" si="19"/>
        <v>0</v>
      </c>
      <c r="V75" s="338" t="e">
        <f t="shared" si="14"/>
        <v>#DIV/0!</v>
      </c>
      <c r="W75" s="338" t="e">
        <f t="shared" si="10"/>
        <v>#DIV/0!</v>
      </c>
      <c r="X75" s="338" t="e">
        <f t="shared" si="15"/>
        <v>#DIV/0!</v>
      </c>
    </row>
    <row r="76" spans="2:24" ht="13.8" x14ac:dyDescent="0.3">
      <c r="B76" s="296"/>
      <c r="C76" s="296" t="s">
        <v>224</v>
      </c>
      <c r="D76" s="267">
        <v>0</v>
      </c>
      <c r="E76" s="296" t="s">
        <v>617</v>
      </c>
      <c r="F76" s="296" t="s">
        <v>211</v>
      </c>
      <c r="G76" s="297"/>
      <c r="H76" s="297"/>
      <c r="I76" s="326">
        <v>0</v>
      </c>
      <c r="J76" s="267"/>
      <c r="K76" s="267"/>
      <c r="L76" s="3865" t="e">
        <f t="shared" si="16"/>
        <v>#DIV/0!</v>
      </c>
      <c r="M76" s="3865" t="e">
        <f t="shared" si="16"/>
        <v>#DIV/0!</v>
      </c>
      <c r="N76" s="218">
        <f t="shared" si="17"/>
        <v>0</v>
      </c>
      <c r="O76" s="218">
        <f t="shared" si="18"/>
        <v>0</v>
      </c>
      <c r="P76" s="218">
        <f>IF(K76=0, 0, (HLOOKUP(K76,'[1]G-CESTDWO'!$A$5:$G$35,J76+1,FALSE)*R26))</f>
        <v>0</v>
      </c>
      <c r="Q76" s="218">
        <f>IF(K76=0, 0, (HLOOKUP(K76,'[1]G-CESTD'!$A$5:$G$35,J76+1,FALSE)*R26))</f>
        <v>0</v>
      </c>
      <c r="R76" s="292">
        <v>1.081</v>
      </c>
      <c r="S76" s="293">
        <f t="shared" si="19"/>
        <v>0</v>
      </c>
      <c r="T76" s="293">
        <f t="shared" si="19"/>
        <v>0</v>
      </c>
      <c r="U76" s="293">
        <f t="shared" si="19"/>
        <v>0</v>
      </c>
      <c r="V76" s="338" t="e">
        <f t="shared" si="14"/>
        <v>#DIV/0!</v>
      </c>
      <c r="W76" s="338" t="e">
        <f t="shared" si="10"/>
        <v>#DIV/0!</v>
      </c>
      <c r="X76" s="338" t="e">
        <f t="shared" si="15"/>
        <v>#DIV/0!</v>
      </c>
    </row>
    <row r="77" spans="2:24" ht="13.8" x14ac:dyDescent="0.3">
      <c r="B77" s="296"/>
      <c r="C77" s="296" t="s">
        <v>225</v>
      </c>
      <c r="D77" s="296">
        <v>0</v>
      </c>
      <c r="E77" s="296" t="s">
        <v>617</v>
      </c>
      <c r="F77" s="296" t="s">
        <v>211</v>
      </c>
      <c r="G77" s="297"/>
      <c r="H77" s="297"/>
      <c r="I77" s="326">
        <v>0</v>
      </c>
      <c r="J77" s="267"/>
      <c r="K77" s="267"/>
      <c r="L77" s="3865" t="e">
        <f t="shared" si="16"/>
        <v>#DIV/0!</v>
      </c>
      <c r="M77" s="3865" t="e">
        <f t="shared" si="16"/>
        <v>#DIV/0!</v>
      </c>
      <c r="N77" s="218">
        <f t="shared" si="17"/>
        <v>0</v>
      </c>
      <c r="O77" s="218">
        <f t="shared" si="18"/>
        <v>0</v>
      </c>
      <c r="P77" s="218">
        <f>IF(K77=0, 0, (HLOOKUP(K77,'[1]G-CESTDWO'!$A$5:$G$35,J77+1,FALSE)*R27))</f>
        <v>0</v>
      </c>
      <c r="Q77" s="218">
        <f>IF(K77=0, 0, (HLOOKUP(K77,'[1]G-CESTD'!$A$5:$G$35,J77+1,FALSE)*R27))</f>
        <v>0</v>
      </c>
      <c r="R77" s="292">
        <v>1.081</v>
      </c>
      <c r="S77" s="293">
        <f t="shared" si="19"/>
        <v>0</v>
      </c>
      <c r="T77" s="293">
        <f t="shared" si="19"/>
        <v>0</v>
      </c>
      <c r="U77" s="293">
        <f t="shared" si="19"/>
        <v>0</v>
      </c>
      <c r="V77" s="338" t="e">
        <f t="shared" si="14"/>
        <v>#DIV/0!</v>
      </c>
      <c r="W77" s="338" t="e">
        <f t="shared" si="10"/>
        <v>#DIV/0!</v>
      </c>
      <c r="X77" s="338" t="e">
        <f t="shared" si="15"/>
        <v>#DIV/0!</v>
      </c>
    </row>
    <row r="78" spans="2:24" ht="13.8" x14ac:dyDescent="0.3">
      <c r="B78" s="296"/>
      <c r="C78" s="296" t="s">
        <v>226</v>
      </c>
      <c r="D78" s="267">
        <v>0</v>
      </c>
      <c r="E78" s="296" t="s">
        <v>617</v>
      </c>
      <c r="F78" s="296" t="s">
        <v>211</v>
      </c>
      <c r="G78" s="297"/>
      <c r="H78" s="297"/>
      <c r="I78" s="326">
        <v>0</v>
      </c>
      <c r="J78" s="267"/>
      <c r="K78" s="267"/>
      <c r="L78" s="3865" t="e">
        <f t="shared" si="16"/>
        <v>#DIV/0!</v>
      </c>
      <c r="M78" s="3865" t="e">
        <f t="shared" si="16"/>
        <v>#DIV/0!</v>
      </c>
      <c r="N78" s="218">
        <f t="shared" si="17"/>
        <v>0</v>
      </c>
      <c r="O78" s="218">
        <f t="shared" si="18"/>
        <v>0</v>
      </c>
      <c r="P78" s="218">
        <f>IF(K78=0, 0, (HLOOKUP(K78,'[1]G-CESTDWO'!$A$5:$G$35,J78+1,FALSE)*R28))</f>
        <v>0</v>
      </c>
      <c r="Q78" s="218">
        <f>IF(K78=0, 0, (HLOOKUP(K78,'[1]G-CESTD'!$A$5:$G$35,J78+1,FALSE)*R28))</f>
        <v>0</v>
      </c>
      <c r="R78" s="292">
        <v>1.081</v>
      </c>
      <c r="S78" s="293">
        <f t="shared" ref="S78:U103" si="20">M28*$H78</f>
        <v>0</v>
      </c>
      <c r="T78" s="293">
        <f t="shared" si="20"/>
        <v>0</v>
      </c>
      <c r="U78" s="293">
        <f t="shared" si="20"/>
        <v>0</v>
      </c>
      <c r="V78" s="338" t="e">
        <f t="shared" si="14"/>
        <v>#DIV/0!</v>
      </c>
      <c r="W78" s="338" t="e">
        <f t="shared" si="10"/>
        <v>#DIV/0!</v>
      </c>
      <c r="X78" s="338" t="e">
        <f t="shared" si="15"/>
        <v>#DIV/0!</v>
      </c>
    </row>
    <row r="79" spans="2:24" ht="13.8" x14ac:dyDescent="0.3">
      <c r="B79" s="296"/>
      <c r="C79" s="296" t="s">
        <v>227</v>
      </c>
      <c r="D79" s="296">
        <v>0</v>
      </c>
      <c r="E79" s="296" t="s">
        <v>617</v>
      </c>
      <c r="F79" s="296" t="s">
        <v>211</v>
      </c>
      <c r="G79" s="297"/>
      <c r="H79" s="297"/>
      <c r="I79" s="326">
        <v>0</v>
      </c>
      <c r="J79" s="267"/>
      <c r="K79" s="267"/>
      <c r="L79" s="3865" t="e">
        <f t="shared" si="16"/>
        <v>#DIV/0!</v>
      </c>
      <c r="M79" s="3865" t="e">
        <f t="shared" si="16"/>
        <v>#DIV/0!</v>
      </c>
      <c r="N79" s="218">
        <f t="shared" si="17"/>
        <v>0</v>
      </c>
      <c r="O79" s="218">
        <f t="shared" si="18"/>
        <v>0</v>
      </c>
      <c r="P79" s="218">
        <f>IF(K79=0, 0, (HLOOKUP(K79,'[1]G-CESTDWO'!$A$5:$G$35,J79+1,FALSE)*R29))</f>
        <v>0</v>
      </c>
      <c r="Q79" s="218">
        <f>IF(K79=0, 0, (HLOOKUP(K79,'[1]G-CESTD'!$A$5:$G$35,J79+1,FALSE)*R29))</f>
        <v>0</v>
      </c>
      <c r="R79" s="292">
        <v>1.081</v>
      </c>
      <c r="S79" s="293">
        <f t="shared" si="20"/>
        <v>0</v>
      </c>
      <c r="T79" s="293">
        <f t="shared" si="20"/>
        <v>0</v>
      </c>
      <c r="U79" s="293">
        <f t="shared" si="20"/>
        <v>0</v>
      </c>
      <c r="V79" s="338" t="e">
        <f t="shared" si="14"/>
        <v>#DIV/0!</v>
      </c>
      <c r="W79" s="338" t="e">
        <f t="shared" si="10"/>
        <v>#DIV/0!</v>
      </c>
      <c r="X79" s="338" t="e">
        <f t="shared" si="15"/>
        <v>#DIV/0!</v>
      </c>
    </row>
    <row r="80" spans="2:24" ht="13.8" x14ac:dyDescent="0.3">
      <c r="B80" s="296"/>
      <c r="C80" s="296" t="s">
        <v>228</v>
      </c>
      <c r="D80" s="296">
        <v>0</v>
      </c>
      <c r="E80" s="296" t="s">
        <v>617</v>
      </c>
      <c r="F80" s="296" t="s">
        <v>211</v>
      </c>
      <c r="G80" s="297"/>
      <c r="H80" s="297"/>
      <c r="I80" s="326">
        <v>0</v>
      </c>
      <c r="J80" s="267"/>
      <c r="K80" s="267"/>
      <c r="L80" s="3865" t="e">
        <f t="shared" si="16"/>
        <v>#DIV/0!</v>
      </c>
      <c r="M80" s="3865" t="e">
        <f t="shared" si="16"/>
        <v>#DIV/0!</v>
      </c>
      <c r="N80" s="218">
        <f t="shared" si="17"/>
        <v>0</v>
      </c>
      <c r="O80" s="218">
        <f t="shared" si="18"/>
        <v>0</v>
      </c>
      <c r="P80" s="218">
        <f>IF(K80=0, 0, (HLOOKUP(K80,'[1]G-CESTDWO'!$A$5:$G$35,J80+1,FALSE)*R30))</f>
        <v>0</v>
      </c>
      <c r="Q80" s="218">
        <f>IF(K80=0, 0, (HLOOKUP(K80,'[1]G-CESTD'!$A$5:$G$35,J80+1,FALSE)*R30))</f>
        <v>0</v>
      </c>
      <c r="R80" s="292">
        <v>1.081</v>
      </c>
      <c r="S80" s="293">
        <f t="shared" si="20"/>
        <v>0</v>
      </c>
      <c r="T80" s="293">
        <f t="shared" si="20"/>
        <v>0</v>
      </c>
      <c r="U80" s="293">
        <f t="shared" si="20"/>
        <v>0</v>
      </c>
      <c r="V80" s="338" t="e">
        <f t="shared" si="14"/>
        <v>#DIV/0!</v>
      </c>
      <c r="W80" s="338" t="e">
        <f t="shared" si="10"/>
        <v>#DIV/0!</v>
      </c>
      <c r="X80" s="338" t="e">
        <f t="shared" si="15"/>
        <v>#DIV/0!</v>
      </c>
    </row>
    <row r="81" spans="2:21" ht="13.8" x14ac:dyDescent="0.3">
      <c r="B81" s="296"/>
      <c r="C81" s="296" t="s">
        <v>229</v>
      </c>
      <c r="D81" s="296">
        <v>0</v>
      </c>
      <c r="E81" s="296" t="s">
        <v>617</v>
      </c>
      <c r="F81" s="296" t="s">
        <v>211</v>
      </c>
      <c r="G81" s="297"/>
      <c r="H81" s="297"/>
      <c r="I81" s="326">
        <v>0</v>
      </c>
      <c r="J81" s="267"/>
      <c r="K81" s="267"/>
      <c r="L81" s="3865" t="e">
        <f t="shared" si="16"/>
        <v>#DIV/0!</v>
      </c>
      <c r="M81" s="3865" t="e">
        <f t="shared" si="16"/>
        <v>#DIV/0!</v>
      </c>
      <c r="N81" s="218">
        <f t="shared" si="17"/>
        <v>0</v>
      </c>
      <c r="O81" s="218">
        <f t="shared" si="18"/>
        <v>0</v>
      </c>
      <c r="P81" s="218">
        <f>IF(K81=0, 0, (HLOOKUP(K81,'[1]G-CESTDWO'!$A$5:$G$35,J81+1,FALSE)*R31))</f>
        <v>0</v>
      </c>
      <c r="Q81" s="218">
        <f>IF(K81=0, 0, (HLOOKUP(K81,'[1]G-CESTD'!$A$5:$G$35,J81+1,FALSE)*R31))</f>
        <v>0</v>
      </c>
      <c r="R81" s="292">
        <v>1.081</v>
      </c>
      <c r="S81" s="293">
        <f t="shared" si="20"/>
        <v>0</v>
      </c>
      <c r="T81" s="293">
        <f t="shared" si="20"/>
        <v>0</v>
      </c>
      <c r="U81" s="293">
        <f t="shared" si="20"/>
        <v>0</v>
      </c>
    </row>
    <row r="82" spans="2:21" ht="13.8" x14ac:dyDescent="0.3">
      <c r="B82" s="296"/>
      <c r="C82" s="296" t="s">
        <v>230</v>
      </c>
      <c r="D82" s="299">
        <v>0</v>
      </c>
      <c r="E82" s="296" t="s">
        <v>617</v>
      </c>
      <c r="F82" s="296" t="s">
        <v>211</v>
      </c>
      <c r="G82" s="297"/>
      <c r="H82" s="297"/>
      <c r="I82" s="326">
        <v>0</v>
      </c>
      <c r="J82" s="267"/>
      <c r="K82" s="267"/>
      <c r="L82" s="3865" t="e">
        <f t="shared" si="16"/>
        <v>#DIV/0!</v>
      </c>
      <c r="M82" s="3865" t="e">
        <f t="shared" si="16"/>
        <v>#DIV/0!</v>
      </c>
      <c r="N82" s="218">
        <f t="shared" si="17"/>
        <v>0</v>
      </c>
      <c r="O82" s="218">
        <f t="shared" si="18"/>
        <v>0</v>
      </c>
      <c r="P82" s="218">
        <f>IF(K82=0, 0, (HLOOKUP(K82,'[1]G-CESTDWO'!$A$5:$G$35,J82+1,FALSE)*R32))</f>
        <v>0</v>
      </c>
      <c r="Q82" s="218">
        <f>IF(K82=0, 0, (HLOOKUP(K82,'[1]G-CESTD'!$A$5:$G$35,J82+1,FALSE)*R32))</f>
        <v>0</v>
      </c>
      <c r="R82" s="292">
        <v>1.081</v>
      </c>
      <c r="S82" s="293">
        <f t="shared" si="20"/>
        <v>0</v>
      </c>
      <c r="T82" s="293">
        <f t="shared" si="20"/>
        <v>0</v>
      </c>
      <c r="U82" s="293">
        <f t="shared" si="20"/>
        <v>0</v>
      </c>
    </row>
    <row r="83" spans="2:21" ht="13.8" x14ac:dyDescent="0.3">
      <c r="B83" s="296"/>
      <c r="C83" s="296" t="s">
        <v>231</v>
      </c>
      <c r="D83" s="299">
        <v>0</v>
      </c>
      <c r="E83" s="296" t="s">
        <v>617</v>
      </c>
      <c r="F83" s="296" t="s">
        <v>211</v>
      </c>
      <c r="G83" s="297"/>
      <c r="H83" s="297"/>
      <c r="I83" s="326">
        <v>0</v>
      </c>
      <c r="J83" s="267"/>
      <c r="K83" s="267"/>
      <c r="L83" s="3865" t="e">
        <f t="shared" si="16"/>
        <v>#DIV/0!</v>
      </c>
      <c r="M83" s="3865" t="e">
        <f t="shared" si="16"/>
        <v>#DIV/0!</v>
      </c>
      <c r="N83" s="218">
        <f t="shared" si="17"/>
        <v>0</v>
      </c>
      <c r="O83" s="218">
        <f t="shared" si="18"/>
        <v>0</v>
      </c>
      <c r="P83" s="218">
        <f>IF(K83=0, 0, (HLOOKUP(K83,'[1]G-CESTDWO'!$A$5:$G$35,J83+1,FALSE)*R33))</f>
        <v>0</v>
      </c>
      <c r="Q83" s="218">
        <f>IF(K83=0, 0, (HLOOKUP(K83,'[1]G-CESTD'!$A$5:$G$35,J83+1,FALSE)*R33))</f>
        <v>0</v>
      </c>
      <c r="R83" s="292">
        <v>1.081</v>
      </c>
      <c r="S83" s="293">
        <f t="shared" si="20"/>
        <v>0</v>
      </c>
      <c r="T83" s="293">
        <f t="shared" si="20"/>
        <v>0</v>
      </c>
      <c r="U83" s="293">
        <f t="shared" si="20"/>
        <v>0</v>
      </c>
    </row>
    <row r="84" spans="2:21" ht="13.8" x14ac:dyDescent="0.3">
      <c r="B84" s="296"/>
      <c r="C84" s="296" t="s">
        <v>232</v>
      </c>
      <c r="D84" s="299">
        <v>0</v>
      </c>
      <c r="E84" s="296" t="s">
        <v>617</v>
      </c>
      <c r="F84" s="296" t="s">
        <v>211</v>
      </c>
      <c r="G84" s="297"/>
      <c r="H84" s="297"/>
      <c r="I84" s="326">
        <v>0</v>
      </c>
      <c r="J84" s="267"/>
      <c r="K84" s="267"/>
      <c r="L84" s="3865" t="e">
        <f t="shared" si="16"/>
        <v>#DIV/0!</v>
      </c>
      <c r="M84" s="3865" t="e">
        <f t="shared" si="16"/>
        <v>#DIV/0!</v>
      </c>
      <c r="N84" s="218">
        <f t="shared" si="17"/>
        <v>0</v>
      </c>
      <c r="O84" s="218">
        <f t="shared" si="18"/>
        <v>0</v>
      </c>
      <c r="P84" s="218">
        <f>IF(K84=0, 0, (HLOOKUP(K84,'[1]G-CESTDWO'!$A$5:$G$35,J84+1,FALSE)*R34))</f>
        <v>0</v>
      </c>
      <c r="Q84" s="218">
        <f>IF(K84=0, 0, (HLOOKUP(K84,'[1]G-CESTD'!$A$5:$G$35,J84+1,FALSE)*R34))</f>
        <v>0</v>
      </c>
      <c r="R84" s="292">
        <v>1.081</v>
      </c>
      <c r="S84" s="293">
        <f t="shared" si="20"/>
        <v>0</v>
      </c>
      <c r="T84" s="293">
        <f t="shared" si="20"/>
        <v>0</v>
      </c>
      <c r="U84" s="293">
        <f t="shared" si="20"/>
        <v>0</v>
      </c>
    </row>
    <row r="85" spans="2:21" ht="13.8" x14ac:dyDescent="0.3">
      <c r="B85" s="296"/>
      <c r="C85" s="296" t="s">
        <v>233</v>
      </c>
      <c r="D85" s="299">
        <v>0</v>
      </c>
      <c r="E85" s="296" t="s">
        <v>617</v>
      </c>
      <c r="F85" s="296" t="s">
        <v>211</v>
      </c>
      <c r="G85" s="297"/>
      <c r="H85" s="297"/>
      <c r="I85" s="326">
        <v>0</v>
      </c>
      <c r="J85" s="267"/>
      <c r="K85" s="267"/>
      <c r="L85" s="3865" t="e">
        <f t="shared" si="16"/>
        <v>#DIV/0!</v>
      </c>
      <c r="M85" s="3865" t="e">
        <f t="shared" si="16"/>
        <v>#DIV/0!</v>
      </c>
      <c r="N85" s="218">
        <f t="shared" si="17"/>
        <v>0</v>
      </c>
      <c r="O85" s="218">
        <f t="shared" si="18"/>
        <v>0</v>
      </c>
      <c r="P85" s="218">
        <f>IF(K85=0, 0, (HLOOKUP(K85,'[1]G-CESTDWO'!$A$5:$G$35,J85+1,FALSE)*R35))</f>
        <v>0</v>
      </c>
      <c r="Q85" s="218">
        <f>IF(K85=0, 0, (HLOOKUP(K85,'[1]G-CESTD'!$A$5:$G$35,J85+1,FALSE)*R35))</f>
        <v>0</v>
      </c>
      <c r="R85" s="292">
        <v>1.081</v>
      </c>
      <c r="S85" s="293">
        <f t="shared" si="20"/>
        <v>0</v>
      </c>
      <c r="T85" s="293">
        <f t="shared" si="20"/>
        <v>0</v>
      </c>
      <c r="U85" s="293">
        <f t="shared" si="20"/>
        <v>0</v>
      </c>
    </row>
    <row r="86" spans="2:21" ht="13.8" x14ac:dyDescent="0.3">
      <c r="B86" s="296"/>
      <c r="C86" s="296" t="s">
        <v>234</v>
      </c>
      <c r="D86" s="299">
        <v>0</v>
      </c>
      <c r="E86" s="296" t="s">
        <v>617</v>
      </c>
      <c r="F86" s="296" t="s">
        <v>211</v>
      </c>
      <c r="G86" s="297"/>
      <c r="H86" s="297"/>
      <c r="I86" s="326">
        <v>0</v>
      </c>
      <c r="J86" s="267"/>
      <c r="K86" s="267"/>
      <c r="L86" s="3865" t="e">
        <f t="shared" si="16"/>
        <v>#DIV/0!</v>
      </c>
      <c r="M86" s="3865" t="e">
        <f t="shared" si="16"/>
        <v>#DIV/0!</v>
      </c>
      <c r="N86" s="218">
        <f t="shared" si="17"/>
        <v>0</v>
      </c>
      <c r="O86" s="218">
        <f t="shared" si="18"/>
        <v>0</v>
      </c>
      <c r="P86" s="218">
        <f>IF(K86=0, 0, (HLOOKUP(K86,'[1]G-CESTDWO'!$A$5:$G$35,J86+1,FALSE)*R36))</f>
        <v>0</v>
      </c>
      <c r="Q86" s="218">
        <f>IF(K86=0, 0, (HLOOKUP(K86,'[1]G-CESTD'!$A$5:$G$35,J86+1,FALSE)*R36))</f>
        <v>0</v>
      </c>
      <c r="R86" s="292">
        <v>1.081</v>
      </c>
      <c r="S86" s="293">
        <f t="shared" si="20"/>
        <v>0</v>
      </c>
      <c r="T86" s="293">
        <f t="shared" si="20"/>
        <v>0</v>
      </c>
      <c r="U86" s="293">
        <f t="shared" si="20"/>
        <v>0</v>
      </c>
    </row>
    <row r="87" spans="2:21" ht="13.8" x14ac:dyDescent="0.3">
      <c r="B87" s="296"/>
      <c r="C87" s="296" t="s">
        <v>235</v>
      </c>
      <c r="D87" s="299">
        <v>0</v>
      </c>
      <c r="E87" s="296" t="s">
        <v>617</v>
      </c>
      <c r="F87" s="296" t="s">
        <v>211</v>
      </c>
      <c r="G87" s="297"/>
      <c r="H87" s="297"/>
      <c r="I87" s="326">
        <v>0</v>
      </c>
      <c r="J87" s="267"/>
      <c r="K87" s="267"/>
      <c r="L87" s="3865" t="e">
        <f t="shared" si="16"/>
        <v>#DIV/0!</v>
      </c>
      <c r="M87" s="3865" t="e">
        <f t="shared" si="16"/>
        <v>#DIV/0!</v>
      </c>
      <c r="N87" s="218">
        <f t="shared" si="17"/>
        <v>0</v>
      </c>
      <c r="O87" s="218">
        <f t="shared" si="18"/>
        <v>0</v>
      </c>
      <c r="P87" s="218">
        <f>IF(K87=0, 0, (HLOOKUP(K87,'[1]G-CESTDWO'!$A$5:$G$35,J87+1,FALSE)*R37))</f>
        <v>0</v>
      </c>
      <c r="Q87" s="218">
        <f>IF(K87=0, 0, (HLOOKUP(K87,'[1]G-CESTD'!$A$5:$G$35,J87+1,FALSE)*R37))</f>
        <v>0</v>
      </c>
      <c r="R87" s="292">
        <v>1.081</v>
      </c>
      <c r="S87" s="293">
        <f t="shared" si="20"/>
        <v>0</v>
      </c>
      <c r="T87" s="293">
        <f t="shared" si="20"/>
        <v>0</v>
      </c>
      <c r="U87" s="293">
        <f t="shared" si="20"/>
        <v>0</v>
      </c>
    </row>
    <row r="88" spans="2:21" ht="13.8" x14ac:dyDescent="0.3">
      <c r="B88" s="296"/>
      <c r="C88" s="296" t="s">
        <v>236</v>
      </c>
      <c r="D88" s="299">
        <v>0</v>
      </c>
      <c r="E88" s="296" t="s">
        <v>617</v>
      </c>
      <c r="F88" s="296" t="s">
        <v>211</v>
      </c>
      <c r="G88" s="297"/>
      <c r="H88" s="297"/>
      <c r="I88" s="326">
        <v>0</v>
      </c>
      <c r="J88" s="267"/>
      <c r="K88" s="267"/>
      <c r="L88" s="3865" t="e">
        <f t="shared" si="16"/>
        <v>#DIV/0!</v>
      </c>
      <c r="M88" s="3865" t="e">
        <f t="shared" si="16"/>
        <v>#DIV/0!</v>
      </c>
      <c r="N88" s="218">
        <f t="shared" si="17"/>
        <v>0</v>
      </c>
      <c r="O88" s="218">
        <f t="shared" si="18"/>
        <v>0</v>
      </c>
      <c r="P88" s="218">
        <f>IF(K88=0, 0, (HLOOKUP(K88,'[1]G-CESTDWO'!$A$5:$G$35,J88+1,FALSE)*R38))</f>
        <v>0</v>
      </c>
      <c r="Q88" s="218">
        <f>IF(K88=0, 0, (HLOOKUP(K88,'[1]G-CESTD'!$A$5:$G$35,J88+1,FALSE)*R38))</f>
        <v>0</v>
      </c>
      <c r="R88" s="292">
        <v>1.081</v>
      </c>
      <c r="S88" s="293">
        <f t="shared" si="20"/>
        <v>0</v>
      </c>
      <c r="T88" s="293">
        <f t="shared" si="20"/>
        <v>0</v>
      </c>
      <c r="U88" s="293">
        <f t="shared" si="20"/>
        <v>0</v>
      </c>
    </row>
    <row r="89" spans="2:21" ht="13.8" x14ac:dyDescent="0.3">
      <c r="B89" s="296"/>
      <c r="C89" s="296" t="s">
        <v>237</v>
      </c>
      <c r="D89" s="299">
        <v>0</v>
      </c>
      <c r="E89" s="296" t="s">
        <v>617</v>
      </c>
      <c r="F89" s="296" t="s">
        <v>211</v>
      </c>
      <c r="G89" s="297"/>
      <c r="H89" s="297"/>
      <c r="I89" s="326">
        <v>0</v>
      </c>
      <c r="J89" s="267"/>
      <c r="K89" s="267"/>
      <c r="L89" s="3865" t="e">
        <f t="shared" si="16"/>
        <v>#DIV/0!</v>
      </c>
      <c r="M89" s="3865" t="e">
        <f t="shared" si="16"/>
        <v>#DIV/0!</v>
      </c>
      <c r="N89" s="218">
        <f t="shared" si="17"/>
        <v>0</v>
      </c>
      <c r="O89" s="218">
        <f t="shared" si="18"/>
        <v>0</v>
      </c>
      <c r="P89" s="218">
        <f>IF(K89=0, 0, (HLOOKUP(K89,'[1]G-CESTDWO'!$A$5:$G$35,J89+1,FALSE)*R39))</f>
        <v>0</v>
      </c>
      <c r="Q89" s="218">
        <f>IF(K89=0, 0, (HLOOKUP(K89,'[1]G-CESTD'!$A$5:$G$35,J89+1,FALSE)*R39))</f>
        <v>0</v>
      </c>
      <c r="R89" s="292">
        <v>1.081</v>
      </c>
      <c r="S89" s="293">
        <f t="shared" si="20"/>
        <v>0</v>
      </c>
      <c r="T89" s="293">
        <f t="shared" si="20"/>
        <v>0</v>
      </c>
      <c r="U89" s="293">
        <f t="shared" si="20"/>
        <v>0</v>
      </c>
    </row>
    <row r="90" spans="2:21" ht="13.8" x14ac:dyDescent="0.3">
      <c r="B90" s="296"/>
      <c r="C90" s="296" t="s">
        <v>238</v>
      </c>
      <c r="D90" s="299">
        <v>0</v>
      </c>
      <c r="E90" s="296" t="s">
        <v>617</v>
      </c>
      <c r="F90" s="296" t="s">
        <v>211</v>
      </c>
      <c r="G90" s="297"/>
      <c r="H90" s="297"/>
      <c r="I90" s="326">
        <v>0</v>
      </c>
      <c r="J90" s="267"/>
      <c r="K90" s="267"/>
      <c r="L90" s="3865" t="e">
        <f t="shared" si="16"/>
        <v>#DIV/0!</v>
      </c>
      <c r="M90" s="3865" t="e">
        <f t="shared" si="16"/>
        <v>#DIV/0!</v>
      </c>
      <c r="N90" s="218">
        <f t="shared" si="17"/>
        <v>0</v>
      </c>
      <c r="O90" s="218">
        <f t="shared" si="18"/>
        <v>0</v>
      </c>
      <c r="P90" s="218">
        <f>IF(K90=0, 0, (HLOOKUP(K90,'[1]G-CESTDWO'!$A$5:$G$35,J90+1,FALSE)*R40))</f>
        <v>0</v>
      </c>
      <c r="Q90" s="218">
        <f>IF(K90=0, 0, (HLOOKUP(K90,'[1]G-CESTD'!$A$5:$G$35,J90+1,FALSE)*R40))</f>
        <v>0</v>
      </c>
      <c r="R90" s="292">
        <v>1.081</v>
      </c>
      <c r="S90" s="293">
        <f t="shared" si="20"/>
        <v>0</v>
      </c>
      <c r="T90" s="293">
        <f t="shared" si="20"/>
        <v>0</v>
      </c>
      <c r="U90" s="293">
        <f t="shared" si="20"/>
        <v>0</v>
      </c>
    </row>
    <row r="91" spans="2:21" ht="13.8" x14ac:dyDescent="0.3">
      <c r="B91" s="296"/>
      <c r="C91" s="296" t="s">
        <v>239</v>
      </c>
      <c r="D91" s="299">
        <v>0</v>
      </c>
      <c r="E91" s="296" t="s">
        <v>617</v>
      </c>
      <c r="F91" s="296" t="s">
        <v>211</v>
      </c>
      <c r="G91" s="297"/>
      <c r="H91" s="297"/>
      <c r="I91" s="326">
        <v>0</v>
      </c>
      <c r="J91" s="267"/>
      <c r="K91" s="267"/>
      <c r="L91" s="3865" t="e">
        <f t="shared" si="16"/>
        <v>#DIV/0!</v>
      </c>
      <c r="M91" s="3865" t="e">
        <f t="shared" si="16"/>
        <v>#DIV/0!</v>
      </c>
      <c r="N91" s="218">
        <f t="shared" si="17"/>
        <v>0</v>
      </c>
      <c r="O91" s="218">
        <f t="shared" si="18"/>
        <v>0</v>
      </c>
      <c r="P91" s="218">
        <f>IF(K91=0, 0, (HLOOKUP(K91,'[1]G-CESTDWO'!$A$5:$G$35,J91+1,FALSE)*R41))</f>
        <v>0</v>
      </c>
      <c r="Q91" s="218">
        <f>IF(K91=0, 0, (HLOOKUP(K91,'[1]G-CESTD'!$A$5:$G$35,J91+1,FALSE)*R41))</f>
        <v>0</v>
      </c>
      <c r="R91" s="292">
        <v>1.081</v>
      </c>
      <c r="S91" s="293">
        <f t="shared" si="20"/>
        <v>0</v>
      </c>
      <c r="T91" s="293">
        <f t="shared" si="20"/>
        <v>0</v>
      </c>
      <c r="U91" s="293">
        <f t="shared" si="20"/>
        <v>0</v>
      </c>
    </row>
    <row r="92" spans="2:21" ht="13.8" x14ac:dyDescent="0.3">
      <c r="B92" s="296"/>
      <c r="C92" s="296" t="s">
        <v>240</v>
      </c>
      <c r="D92" s="299">
        <v>0</v>
      </c>
      <c r="E92" s="296" t="s">
        <v>617</v>
      </c>
      <c r="F92" s="296" t="s">
        <v>211</v>
      </c>
      <c r="G92" s="297"/>
      <c r="H92" s="297"/>
      <c r="I92" s="326">
        <v>0</v>
      </c>
      <c r="J92" s="267"/>
      <c r="K92" s="267"/>
      <c r="L92" s="3865" t="e">
        <f t="shared" si="16"/>
        <v>#DIV/0!</v>
      </c>
      <c r="M92" s="3865" t="e">
        <f t="shared" si="16"/>
        <v>#DIV/0!</v>
      </c>
      <c r="N92" s="218">
        <f t="shared" si="17"/>
        <v>0</v>
      </c>
      <c r="O92" s="218">
        <f t="shared" si="18"/>
        <v>0</v>
      </c>
      <c r="P92" s="218">
        <f>IF(K92=0, 0, (HLOOKUP(K92,'[1]G-CESTDWO'!$A$5:$G$35,J92+1,FALSE)*R42))</f>
        <v>0</v>
      </c>
      <c r="Q92" s="218">
        <f>IF(K92=0, 0, (HLOOKUP(K92,'[1]G-CESTD'!$A$5:$G$35,J92+1,FALSE)*R42))</f>
        <v>0</v>
      </c>
      <c r="R92" s="292">
        <v>1.081</v>
      </c>
      <c r="S92" s="293">
        <f t="shared" si="20"/>
        <v>0</v>
      </c>
      <c r="T92" s="293">
        <f t="shared" si="20"/>
        <v>0</v>
      </c>
      <c r="U92" s="293">
        <f t="shared" si="20"/>
        <v>0</v>
      </c>
    </row>
    <row r="93" spans="2:21" ht="13.8" x14ac:dyDescent="0.3">
      <c r="B93" s="296"/>
      <c r="C93" s="296" t="s">
        <v>241</v>
      </c>
      <c r="D93" s="299">
        <v>0</v>
      </c>
      <c r="E93" s="296" t="s">
        <v>617</v>
      </c>
      <c r="F93" s="296" t="s">
        <v>211</v>
      </c>
      <c r="G93" s="297"/>
      <c r="H93" s="297"/>
      <c r="I93" s="326">
        <v>0</v>
      </c>
      <c r="J93" s="267"/>
      <c r="K93" s="267"/>
      <c r="L93" s="3865" t="e">
        <f t="shared" si="16"/>
        <v>#DIV/0!</v>
      </c>
      <c r="M93" s="3865" t="e">
        <f t="shared" si="16"/>
        <v>#DIV/0!</v>
      </c>
      <c r="N93" s="218">
        <f t="shared" si="17"/>
        <v>0</v>
      </c>
      <c r="O93" s="218">
        <f t="shared" si="18"/>
        <v>0</v>
      </c>
      <c r="P93" s="218">
        <f>IF(K93=0, 0, (HLOOKUP(K93,'[1]G-CESTDWO'!$A$5:$G$35,J93+1,FALSE)*R43))</f>
        <v>0</v>
      </c>
      <c r="Q93" s="218">
        <f>IF(K93=0, 0, (HLOOKUP(K93,'[1]G-CESTD'!$A$5:$G$35,J93+1,FALSE)*R43))</f>
        <v>0</v>
      </c>
      <c r="R93" s="292">
        <v>1.081</v>
      </c>
      <c r="S93" s="293">
        <f t="shared" si="20"/>
        <v>0</v>
      </c>
      <c r="T93" s="293">
        <f t="shared" si="20"/>
        <v>0</v>
      </c>
      <c r="U93" s="293">
        <f t="shared" si="20"/>
        <v>0</v>
      </c>
    </row>
    <row r="94" spans="2:21" ht="13.8" x14ac:dyDescent="0.3">
      <c r="B94" s="296"/>
      <c r="C94" s="296" t="s">
        <v>242</v>
      </c>
      <c r="D94" s="299">
        <v>0</v>
      </c>
      <c r="E94" s="296" t="s">
        <v>617</v>
      </c>
      <c r="F94" s="296" t="s">
        <v>211</v>
      </c>
      <c r="G94" s="297"/>
      <c r="H94" s="297"/>
      <c r="I94" s="326">
        <v>0</v>
      </c>
      <c r="J94" s="267"/>
      <c r="K94" s="267"/>
      <c r="L94" s="3865" t="e">
        <f t="shared" si="16"/>
        <v>#DIV/0!</v>
      </c>
      <c r="M94" s="3865" t="e">
        <f t="shared" si="16"/>
        <v>#DIV/0!</v>
      </c>
      <c r="N94" s="218">
        <f t="shared" si="17"/>
        <v>0</v>
      </c>
      <c r="O94" s="218">
        <f t="shared" si="18"/>
        <v>0</v>
      </c>
      <c r="P94" s="218">
        <f>IF(K94=0, 0, (HLOOKUP(K94,'[1]G-CESTDWO'!$A$5:$G$35,J94+1,FALSE)*R44))</f>
        <v>0</v>
      </c>
      <c r="Q94" s="218">
        <f>IF(K94=0, 0, (HLOOKUP(K94,'[1]G-CESTD'!$A$5:$G$35,J94+1,FALSE)*R44))</f>
        <v>0</v>
      </c>
      <c r="R94" s="292">
        <v>1.081</v>
      </c>
      <c r="S94" s="293">
        <f t="shared" si="20"/>
        <v>0</v>
      </c>
      <c r="T94" s="293">
        <f t="shared" si="20"/>
        <v>0</v>
      </c>
      <c r="U94" s="293">
        <f t="shared" si="20"/>
        <v>0</v>
      </c>
    </row>
    <row r="95" spans="2:21" ht="13.8" x14ac:dyDescent="0.3">
      <c r="B95" s="296"/>
      <c r="C95" s="296" t="s">
        <v>243</v>
      </c>
      <c r="D95" s="299">
        <v>0</v>
      </c>
      <c r="E95" s="296" t="s">
        <v>617</v>
      </c>
      <c r="F95" s="296" t="s">
        <v>211</v>
      </c>
      <c r="G95" s="297"/>
      <c r="H95" s="297"/>
      <c r="I95" s="326">
        <v>0</v>
      </c>
      <c r="J95" s="267"/>
      <c r="K95" s="267"/>
      <c r="L95" s="3865" t="e">
        <f t="shared" si="16"/>
        <v>#DIV/0!</v>
      </c>
      <c r="M95" s="3865" t="e">
        <f t="shared" si="16"/>
        <v>#DIV/0!</v>
      </c>
      <c r="N95" s="218">
        <f t="shared" si="17"/>
        <v>0</v>
      </c>
      <c r="O95" s="218">
        <f t="shared" si="18"/>
        <v>0</v>
      </c>
      <c r="P95" s="218">
        <f>IF(K95=0, 0, (HLOOKUP(K95,'[1]G-CESTDWO'!$A$5:$G$35,J95+1,FALSE)*R45))</f>
        <v>0</v>
      </c>
      <c r="Q95" s="218">
        <f>IF(K95=0, 0, (HLOOKUP(K95,'[1]G-CESTD'!$A$5:$G$35,J95+1,FALSE)*R45))</f>
        <v>0</v>
      </c>
      <c r="R95" s="292">
        <v>1.081</v>
      </c>
      <c r="S95" s="293">
        <f t="shared" si="20"/>
        <v>0</v>
      </c>
      <c r="T95" s="293">
        <f t="shared" si="20"/>
        <v>0</v>
      </c>
      <c r="U95" s="293">
        <f t="shared" si="20"/>
        <v>0</v>
      </c>
    </row>
    <row r="96" spans="2:21" ht="13.8" x14ac:dyDescent="0.3">
      <c r="B96" s="296"/>
      <c r="C96" s="296" t="s">
        <v>244</v>
      </c>
      <c r="D96" s="299">
        <v>0</v>
      </c>
      <c r="E96" s="296" t="s">
        <v>617</v>
      </c>
      <c r="F96" s="296" t="s">
        <v>211</v>
      </c>
      <c r="G96" s="297"/>
      <c r="H96" s="297"/>
      <c r="I96" s="326">
        <v>0</v>
      </c>
      <c r="J96" s="267"/>
      <c r="K96" s="267"/>
      <c r="L96" s="3865" t="e">
        <f t="shared" si="16"/>
        <v>#DIV/0!</v>
      </c>
      <c r="M96" s="3865" t="e">
        <f t="shared" si="16"/>
        <v>#DIV/0!</v>
      </c>
      <c r="N96" s="218">
        <f t="shared" si="17"/>
        <v>0</v>
      </c>
      <c r="O96" s="218">
        <f t="shared" si="18"/>
        <v>0</v>
      </c>
      <c r="P96" s="218">
        <f>IF(K96=0, 0, (HLOOKUP(K96,'[1]G-CESTDWO'!$A$5:$G$35,J96+1,FALSE)*R46))</f>
        <v>0</v>
      </c>
      <c r="Q96" s="218">
        <f>IF(K96=0, 0, (HLOOKUP(K96,'[1]G-CESTD'!$A$5:$G$35,J96+1,FALSE)*R46))</f>
        <v>0</v>
      </c>
      <c r="R96" s="292">
        <v>1.081</v>
      </c>
      <c r="S96" s="293">
        <f t="shared" si="20"/>
        <v>0</v>
      </c>
      <c r="T96" s="293">
        <f t="shared" si="20"/>
        <v>0</v>
      </c>
      <c r="U96" s="293">
        <f t="shared" si="20"/>
        <v>0</v>
      </c>
    </row>
    <row r="97" spans="2:21" ht="13.8" x14ac:dyDescent="0.3">
      <c r="B97" s="296"/>
      <c r="C97" s="296" t="s">
        <v>245</v>
      </c>
      <c r="D97" s="299">
        <v>0</v>
      </c>
      <c r="E97" s="296" t="s">
        <v>617</v>
      </c>
      <c r="F97" s="296" t="s">
        <v>211</v>
      </c>
      <c r="G97" s="297"/>
      <c r="H97" s="297"/>
      <c r="I97" s="326">
        <v>0</v>
      </c>
      <c r="J97" s="267"/>
      <c r="K97" s="267"/>
      <c r="L97" s="3865" t="e">
        <f t="shared" si="16"/>
        <v>#DIV/0!</v>
      </c>
      <c r="M97" s="3865" t="e">
        <f t="shared" si="16"/>
        <v>#DIV/0!</v>
      </c>
      <c r="N97" s="218">
        <f t="shared" si="17"/>
        <v>0</v>
      </c>
      <c r="O97" s="218">
        <f t="shared" si="18"/>
        <v>0</v>
      </c>
      <c r="P97" s="218">
        <f>IF(K97=0, 0, (HLOOKUP(K97,'[1]G-CESTDWO'!$A$5:$G$35,J97+1,FALSE)*R47))</f>
        <v>0</v>
      </c>
      <c r="Q97" s="218">
        <f>IF(K97=0, 0, (HLOOKUP(K97,'[1]G-CESTD'!$A$5:$G$35,J97+1,FALSE)*R47))</f>
        <v>0</v>
      </c>
      <c r="R97" s="292">
        <v>1.081</v>
      </c>
      <c r="S97" s="293">
        <f t="shared" si="20"/>
        <v>0</v>
      </c>
      <c r="T97" s="293">
        <f t="shared" si="20"/>
        <v>0</v>
      </c>
      <c r="U97" s="293">
        <f t="shared" si="20"/>
        <v>0</v>
      </c>
    </row>
    <row r="98" spans="2:21" ht="13.8" x14ac:dyDescent="0.3">
      <c r="B98" s="296"/>
      <c r="C98" s="296" t="s">
        <v>246</v>
      </c>
      <c r="D98" s="299">
        <v>0</v>
      </c>
      <c r="E98" s="296" t="s">
        <v>617</v>
      </c>
      <c r="F98" s="296" t="s">
        <v>211</v>
      </c>
      <c r="G98" s="297"/>
      <c r="H98" s="297"/>
      <c r="I98" s="326">
        <v>0</v>
      </c>
      <c r="J98" s="267"/>
      <c r="K98" s="267"/>
      <c r="L98" s="3865" t="e">
        <f t="shared" si="16"/>
        <v>#DIV/0!</v>
      </c>
      <c r="M98" s="3865" t="e">
        <f t="shared" si="16"/>
        <v>#DIV/0!</v>
      </c>
      <c r="N98" s="218">
        <f t="shared" si="17"/>
        <v>0</v>
      </c>
      <c r="O98" s="218">
        <f t="shared" si="18"/>
        <v>0</v>
      </c>
      <c r="P98" s="218">
        <f>IF(K98=0, 0, (HLOOKUP(K98,'[1]G-CESTDWO'!$A$5:$G$35,J98+1,FALSE)*R48))</f>
        <v>0</v>
      </c>
      <c r="Q98" s="218">
        <f>IF(K98=0, 0, (HLOOKUP(K98,'[1]G-CESTD'!$A$5:$G$35,J98+1,FALSE)*R48))</f>
        <v>0</v>
      </c>
      <c r="R98" s="292">
        <v>1.081</v>
      </c>
      <c r="S98" s="293">
        <f t="shared" si="20"/>
        <v>0</v>
      </c>
      <c r="T98" s="293">
        <f t="shared" si="20"/>
        <v>0</v>
      </c>
      <c r="U98" s="293">
        <f t="shared" si="20"/>
        <v>0</v>
      </c>
    </row>
    <row r="99" spans="2:21" ht="13.8" x14ac:dyDescent="0.3">
      <c r="B99" s="296"/>
      <c r="C99" s="296" t="s">
        <v>247</v>
      </c>
      <c r="D99" s="299">
        <v>0</v>
      </c>
      <c r="E99" s="296" t="s">
        <v>617</v>
      </c>
      <c r="F99" s="296" t="s">
        <v>211</v>
      </c>
      <c r="G99" s="297"/>
      <c r="H99" s="297"/>
      <c r="I99" s="326">
        <v>0</v>
      </c>
      <c r="J99" s="267"/>
      <c r="K99" s="267"/>
      <c r="L99" s="3865" t="e">
        <f t="shared" si="16"/>
        <v>#DIV/0!</v>
      </c>
      <c r="M99" s="3865" t="e">
        <f t="shared" si="16"/>
        <v>#DIV/0!</v>
      </c>
      <c r="N99" s="218">
        <f t="shared" si="17"/>
        <v>0</v>
      </c>
      <c r="O99" s="218">
        <f t="shared" si="18"/>
        <v>0</v>
      </c>
      <c r="P99" s="218">
        <f>IF(K99=0, 0, (HLOOKUP(K99,'[1]G-CESTDWO'!$A$5:$G$35,J99+1,FALSE)*R49))</f>
        <v>0</v>
      </c>
      <c r="Q99" s="218">
        <f>IF(K99=0, 0, (HLOOKUP(K99,'[1]G-CESTD'!$A$5:$G$35,J99+1,FALSE)*R49))</f>
        <v>0</v>
      </c>
      <c r="R99" s="292">
        <v>1.081</v>
      </c>
      <c r="S99" s="293">
        <f t="shared" si="20"/>
        <v>0</v>
      </c>
      <c r="T99" s="293">
        <f t="shared" si="20"/>
        <v>0</v>
      </c>
      <c r="U99" s="293">
        <f t="shared" si="20"/>
        <v>0</v>
      </c>
    </row>
    <row r="100" spans="2:21" ht="13.8" x14ac:dyDescent="0.3">
      <c r="B100" s="296"/>
      <c r="C100" s="296" t="s">
        <v>248</v>
      </c>
      <c r="D100" s="299">
        <v>0</v>
      </c>
      <c r="E100" s="296" t="s">
        <v>617</v>
      </c>
      <c r="F100" s="296" t="s">
        <v>211</v>
      </c>
      <c r="G100" s="297"/>
      <c r="H100" s="297"/>
      <c r="I100" s="326">
        <v>0</v>
      </c>
      <c r="J100" s="267"/>
      <c r="K100" s="267"/>
      <c r="L100" s="3865" t="e">
        <f t="shared" si="16"/>
        <v>#DIV/0!</v>
      </c>
      <c r="M100" s="3865" t="e">
        <f t="shared" si="16"/>
        <v>#DIV/0!</v>
      </c>
      <c r="N100" s="218">
        <f t="shared" si="17"/>
        <v>0</v>
      </c>
      <c r="O100" s="218">
        <f t="shared" si="18"/>
        <v>0</v>
      </c>
      <c r="P100" s="218">
        <f>IF(K100=0, 0, (HLOOKUP(K100,'[1]G-CESTDWO'!$A$5:$G$35,J100+1,FALSE)*R50))</f>
        <v>0</v>
      </c>
      <c r="Q100" s="218">
        <f>IF(K100=0, 0, (HLOOKUP(K100,'[1]G-CESTD'!$A$5:$G$35,J100+1,FALSE)*R50))</f>
        <v>0</v>
      </c>
      <c r="R100" s="292">
        <v>1.081</v>
      </c>
      <c r="S100" s="293">
        <f t="shared" si="20"/>
        <v>0</v>
      </c>
      <c r="T100" s="293">
        <f t="shared" si="20"/>
        <v>0</v>
      </c>
      <c r="U100" s="293">
        <f t="shared" si="20"/>
        <v>0</v>
      </c>
    </row>
    <row r="101" spans="2:21" ht="13.8" x14ac:dyDescent="0.3">
      <c r="B101" s="296"/>
      <c r="C101" s="296" t="s">
        <v>249</v>
      </c>
      <c r="D101" s="299">
        <v>0</v>
      </c>
      <c r="E101" s="296" t="s">
        <v>617</v>
      </c>
      <c r="F101" s="296" t="s">
        <v>211</v>
      </c>
      <c r="G101" s="297"/>
      <c r="H101" s="297"/>
      <c r="I101" s="326">
        <v>0</v>
      </c>
      <c r="J101" s="267"/>
      <c r="K101" s="267"/>
      <c r="L101" s="3865" t="e">
        <f t="shared" si="16"/>
        <v>#DIV/0!</v>
      </c>
      <c r="M101" s="3865" t="e">
        <f t="shared" si="16"/>
        <v>#DIV/0!</v>
      </c>
      <c r="N101" s="218">
        <f t="shared" si="17"/>
        <v>0</v>
      </c>
      <c r="O101" s="218">
        <f t="shared" si="18"/>
        <v>0</v>
      </c>
      <c r="P101" s="218">
        <f>IF(K101=0, 0, (HLOOKUP(K101,'[1]G-CESTDWO'!$A$5:$G$35,J101+1,FALSE)*R51))</f>
        <v>0</v>
      </c>
      <c r="Q101" s="218">
        <f>IF(K101=0, 0, (HLOOKUP(K101,'[1]G-CESTD'!$A$5:$G$35,J101+1,FALSE)*R51))</f>
        <v>0</v>
      </c>
      <c r="R101" s="292">
        <v>1.081</v>
      </c>
      <c r="S101" s="293">
        <f t="shared" si="20"/>
        <v>0</v>
      </c>
      <c r="T101" s="293">
        <f t="shared" si="20"/>
        <v>0</v>
      </c>
      <c r="U101" s="293">
        <f t="shared" si="20"/>
        <v>0</v>
      </c>
    </row>
    <row r="102" spans="2:21" ht="13.8" x14ac:dyDescent="0.3">
      <c r="B102" s="296"/>
      <c r="C102" s="296" t="s">
        <v>250</v>
      </c>
      <c r="D102" s="299">
        <v>0</v>
      </c>
      <c r="E102" s="296" t="s">
        <v>617</v>
      </c>
      <c r="F102" s="296" t="s">
        <v>211</v>
      </c>
      <c r="G102" s="297"/>
      <c r="H102" s="297"/>
      <c r="I102" s="326">
        <v>0</v>
      </c>
      <c r="J102" s="267"/>
      <c r="K102" s="267"/>
      <c r="L102" s="3865" t="e">
        <f t="shared" si="16"/>
        <v>#DIV/0!</v>
      </c>
      <c r="M102" s="3865" t="e">
        <f t="shared" si="16"/>
        <v>#DIV/0!</v>
      </c>
      <c r="N102" s="218">
        <f t="shared" si="17"/>
        <v>0</v>
      </c>
      <c r="O102" s="218">
        <f t="shared" si="18"/>
        <v>0</v>
      </c>
      <c r="P102" s="218">
        <f>IF(K102=0, 0, (HLOOKUP(K102,'[1]G-CESTDWO'!$A$5:$G$35,J102+1,FALSE)*R52))</f>
        <v>0</v>
      </c>
      <c r="Q102" s="218">
        <f>IF(K102=0, 0, (HLOOKUP(K102,'[1]G-CESTD'!$A$5:$G$35,J102+1,FALSE)*R52))</f>
        <v>0</v>
      </c>
      <c r="R102" s="292">
        <v>1.081</v>
      </c>
      <c r="S102" s="293">
        <f t="shared" si="20"/>
        <v>0</v>
      </c>
      <c r="T102" s="293">
        <f t="shared" si="20"/>
        <v>0</v>
      </c>
      <c r="U102" s="293">
        <f t="shared" si="20"/>
        <v>0</v>
      </c>
    </row>
    <row r="103" spans="2:21" ht="14.4" thickBot="1" x14ac:dyDescent="0.35">
      <c r="B103" s="296"/>
      <c r="C103" s="296" t="s">
        <v>251</v>
      </c>
      <c r="D103" s="299">
        <v>0</v>
      </c>
      <c r="E103" s="296" t="s">
        <v>617</v>
      </c>
      <c r="F103" s="296" t="s">
        <v>211</v>
      </c>
      <c r="G103" s="297"/>
      <c r="H103" s="297"/>
      <c r="I103" s="326">
        <v>0</v>
      </c>
      <c r="J103" s="267"/>
      <c r="K103" s="267"/>
      <c r="L103" s="3865" t="e">
        <f t="shared" si="16"/>
        <v>#DIV/0!</v>
      </c>
      <c r="M103" s="3865" t="e">
        <f t="shared" si="16"/>
        <v>#DIV/0!</v>
      </c>
      <c r="N103" s="218">
        <f t="shared" si="17"/>
        <v>0</v>
      </c>
      <c r="O103" s="218">
        <f t="shared" si="18"/>
        <v>0</v>
      </c>
      <c r="P103" s="218">
        <f>IF(K103=0, 0, (HLOOKUP(K103,'[1]G-CESTDWO'!$A$5:$G$35,J103+1,FALSE)*R53))</f>
        <v>0</v>
      </c>
      <c r="Q103" s="218">
        <f>IF(K103=0, 0, (HLOOKUP(K103,'[1]G-CESTD'!$A$5:$G$35,J103+1,FALSE)*R53))</f>
        <v>0</v>
      </c>
      <c r="R103" s="292">
        <v>1.081</v>
      </c>
      <c r="S103" s="293">
        <f t="shared" si="20"/>
        <v>0</v>
      </c>
      <c r="T103" s="293">
        <f t="shared" si="20"/>
        <v>0</v>
      </c>
      <c r="U103" s="293">
        <f t="shared" si="20"/>
        <v>0</v>
      </c>
    </row>
    <row r="104" spans="2:21" ht="14.4" thickBot="1" x14ac:dyDescent="0.35">
      <c r="G104" s="300">
        <f>SUMPRODUCT(G62:G103,O12:O53)</f>
        <v>561300</v>
      </c>
      <c r="H104" s="301">
        <f>U104</f>
        <v>317500</v>
      </c>
      <c r="I104" s="302">
        <f>SUM(I62:I103)</f>
        <v>1</v>
      </c>
      <c r="J104" s="303">
        <f>ROUND(SUMPRODUCT(J62:J103,R12:R53)/R54,0)</f>
        <v>18</v>
      </c>
      <c r="K104" s="274" t="s">
        <v>671</v>
      </c>
      <c r="L104" s="3866">
        <f>P104/N104</f>
        <v>1.5412277869348971</v>
      </c>
      <c r="M104" s="3867">
        <f>Q104/O104</f>
        <v>1.0018798662960728</v>
      </c>
      <c r="N104" s="311">
        <f>SUM(N62:N103)</f>
        <v>418942.71970397787</v>
      </c>
      <c r="O104" s="311">
        <f>SUM(O62:O103)</f>
        <v>644474.63459759485</v>
      </c>
      <c r="P104" s="311">
        <f>SUM(P62:P103)</f>
        <v>645686.16074184875</v>
      </c>
      <c r="Q104" s="311">
        <f>SUM(Q62:Q103)</f>
        <v>645686.16074184875</v>
      </c>
      <c r="R104" s="307">
        <v>1.081</v>
      </c>
      <c r="S104" s="308">
        <f>SUM(S62:S103)</f>
        <v>228750</v>
      </c>
      <c r="T104" s="308">
        <f>SUM(T62:T103)</f>
        <v>88750</v>
      </c>
      <c r="U104" s="308">
        <f>SUM(U62:U103)</f>
        <v>317500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 right="0.2" top="0.34" bottom="0.36" header="0.3" footer="0.3"/>
  <pageSetup paperSize="17" scale="53"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X104"/>
  <sheetViews>
    <sheetView workbookViewId="0">
      <pane xSplit="1" ySplit="1" topLeftCell="K2" activePane="bottomRight" state="frozen"/>
      <selection pane="topRight" activeCell="B1" sqref="B1"/>
      <selection pane="bottomLeft" activeCell="A2" sqref="A2"/>
      <selection pane="bottomRight"/>
    </sheetView>
  </sheetViews>
  <sheetFormatPr defaultRowHeight="13.2" x14ac:dyDescent="0.25"/>
  <cols>
    <col min="1" max="1" width="15.33203125" style="3369" customWidth="1"/>
    <col min="2" max="2" width="17.33203125" customWidth="1"/>
    <col min="3" max="3" width="35" customWidth="1"/>
    <col min="4" max="4" width="15.33203125" style="19" customWidth="1"/>
    <col min="5" max="5" width="15.33203125" customWidth="1"/>
    <col min="6" max="6" width="14.88671875" bestFit="1"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5.33203125" bestFit="1" customWidth="1"/>
    <col min="262" max="262" width="14.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5.33203125" bestFit="1" customWidth="1"/>
    <col min="518" max="518" width="14.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5.33203125" bestFit="1" customWidth="1"/>
    <col min="774" max="774" width="14.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5.33203125" bestFit="1" customWidth="1"/>
    <col min="1030" max="1030" width="14.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5.33203125" bestFit="1" customWidth="1"/>
    <col min="1286" max="1286" width="14.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5.33203125" bestFit="1" customWidth="1"/>
    <col min="1542" max="1542" width="14.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5.33203125" bestFit="1" customWidth="1"/>
    <col min="1798" max="1798" width="14.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5.33203125" bestFit="1" customWidth="1"/>
    <col min="2054" max="2054" width="14.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5.33203125" bestFit="1" customWidth="1"/>
    <col min="2310" max="2310" width="14.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5.33203125" bestFit="1" customWidth="1"/>
    <col min="2566" max="2566" width="14.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5.33203125" bestFit="1" customWidth="1"/>
    <col min="2822" max="2822" width="14.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5.33203125" bestFit="1" customWidth="1"/>
    <col min="3078" max="3078" width="14.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5.33203125" bestFit="1" customWidth="1"/>
    <col min="3334" max="3334" width="14.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5.33203125" bestFit="1" customWidth="1"/>
    <col min="3590" max="3590" width="14.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5.33203125" bestFit="1" customWidth="1"/>
    <col min="3846" max="3846" width="14.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5.33203125" bestFit="1" customWidth="1"/>
    <col min="4102" max="4102" width="14.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5.33203125" bestFit="1" customWidth="1"/>
    <col min="4358" max="4358" width="14.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5.33203125" bestFit="1" customWidth="1"/>
    <col min="4614" max="4614" width="14.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5.33203125" bestFit="1" customWidth="1"/>
    <col min="4870" max="4870" width="14.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5.33203125" bestFit="1" customWidth="1"/>
    <col min="5126" max="5126" width="14.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5.33203125" bestFit="1" customWidth="1"/>
    <col min="5382" max="5382" width="14.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5.33203125" bestFit="1" customWidth="1"/>
    <col min="5638" max="5638" width="14.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5.33203125" bestFit="1" customWidth="1"/>
    <col min="5894" max="5894" width="14.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5.33203125" bestFit="1" customWidth="1"/>
    <col min="6150" max="6150" width="14.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5.33203125" bestFit="1" customWidth="1"/>
    <col min="6406" max="6406" width="14.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5.33203125" bestFit="1" customWidth="1"/>
    <col min="6662" max="6662" width="14.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5.33203125" bestFit="1" customWidth="1"/>
    <col min="6918" max="6918" width="14.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5.33203125" bestFit="1" customWidth="1"/>
    <col min="7174" max="7174" width="14.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5.33203125" bestFit="1" customWidth="1"/>
    <col min="7430" max="7430" width="14.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5.33203125" bestFit="1" customWidth="1"/>
    <col min="7686" max="7686" width="14.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5.33203125" bestFit="1" customWidth="1"/>
    <col min="7942" max="7942" width="14.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5.33203125" bestFit="1" customWidth="1"/>
    <col min="8198" max="8198" width="14.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5.33203125" bestFit="1" customWidth="1"/>
    <col min="8454" max="8454" width="14.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5.33203125" bestFit="1" customWidth="1"/>
    <col min="8710" max="8710" width="14.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5.33203125" bestFit="1" customWidth="1"/>
    <col min="8966" max="8966" width="14.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5.33203125" bestFit="1" customWidth="1"/>
    <col min="9222" max="9222" width="14.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5.33203125" bestFit="1" customWidth="1"/>
    <col min="9478" max="9478" width="14.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5.33203125" bestFit="1" customWidth="1"/>
    <col min="9734" max="9734" width="14.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5.33203125" bestFit="1" customWidth="1"/>
    <col min="9990" max="9990" width="14.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5.33203125" bestFit="1" customWidth="1"/>
    <col min="10246" max="10246" width="14.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5.33203125" bestFit="1" customWidth="1"/>
    <col min="10502" max="10502" width="14.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5.33203125" bestFit="1" customWidth="1"/>
    <col min="10758" max="10758" width="14.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5.33203125" bestFit="1" customWidth="1"/>
    <col min="11014" max="11014" width="14.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5.33203125" bestFit="1" customWidth="1"/>
    <col min="11270" max="11270" width="14.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5.33203125" bestFit="1" customWidth="1"/>
    <col min="11526" max="11526" width="14.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5.33203125" bestFit="1" customWidth="1"/>
    <col min="11782" max="11782" width="14.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5.33203125" bestFit="1" customWidth="1"/>
    <col min="12038" max="12038" width="14.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5.33203125" bestFit="1" customWidth="1"/>
    <col min="12294" max="12294" width="14.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5.33203125" bestFit="1" customWidth="1"/>
    <col min="12550" max="12550" width="14.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5.33203125" bestFit="1" customWidth="1"/>
    <col min="12806" max="12806" width="14.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5.33203125" bestFit="1" customWidth="1"/>
    <col min="13062" max="13062" width="14.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5.33203125" bestFit="1" customWidth="1"/>
    <col min="13318" max="13318" width="14.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5.33203125" bestFit="1" customWidth="1"/>
    <col min="13574" max="13574" width="14.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5.33203125" bestFit="1" customWidth="1"/>
    <col min="13830" max="13830" width="14.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5.33203125" bestFit="1" customWidth="1"/>
    <col min="14086" max="14086" width="14.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5.33203125" bestFit="1" customWidth="1"/>
    <col min="14342" max="14342" width="14.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5.33203125" bestFit="1" customWidth="1"/>
    <col min="14598" max="14598" width="14.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5.33203125" bestFit="1" customWidth="1"/>
    <col min="14854" max="14854" width="14.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5.33203125" bestFit="1" customWidth="1"/>
    <col min="15110" max="15110" width="14.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5.33203125" bestFit="1" customWidth="1"/>
    <col min="15366" max="15366" width="14.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5.33203125" bestFit="1" customWidth="1"/>
    <col min="15622" max="15622" width="14.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5.33203125" bestFit="1" customWidth="1"/>
    <col min="15878" max="15878" width="14.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5.33203125" bestFit="1" customWidth="1"/>
    <col min="16134" max="16134" width="14.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2" customHeight="1" thickBot="1" x14ac:dyDescent="0.35">
      <c r="B1" s="3881"/>
      <c r="F1" s="202"/>
      <c r="G1" s="202">
        <f>C3</f>
        <v>18230442</v>
      </c>
      <c r="H1" s="202" t="str">
        <f>C4</f>
        <v>Energy Star Manufactured Home Gas</v>
      </c>
      <c r="I1" s="202"/>
    </row>
    <row r="2" spans="2:22" ht="16.2" thickBot="1" x14ac:dyDescent="0.35">
      <c r="B2" s="202" t="s">
        <v>131</v>
      </c>
      <c r="C2" s="203" t="s">
        <v>657</v>
      </c>
      <c r="G2" s="204" t="s">
        <v>8</v>
      </c>
      <c r="Q2" s="4765" t="s">
        <v>612</v>
      </c>
      <c r="R2" s="4765"/>
      <c r="S2" s="4762" t="s">
        <v>132</v>
      </c>
      <c r="T2" s="4763"/>
      <c r="U2" s="4764"/>
      <c r="V2" s="4766" t="s">
        <v>133</v>
      </c>
    </row>
    <row r="3" spans="2:22" ht="16.2" thickBot="1" x14ac:dyDescent="0.35">
      <c r="B3" s="203" t="s">
        <v>6</v>
      </c>
      <c r="C3" s="203">
        <v>18230442</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658</v>
      </c>
      <c r="F4" s="202">
        <v>2011</v>
      </c>
      <c r="G4" s="210">
        <f>B12</f>
        <v>3000</v>
      </c>
      <c r="H4" s="211">
        <f>B17</f>
        <v>2000</v>
      </c>
      <c r="I4" s="211">
        <f>B22</f>
        <v>3150</v>
      </c>
      <c r="J4" s="211">
        <f>B27</f>
        <v>1946</v>
      </c>
      <c r="K4" s="211">
        <f>B32</f>
        <v>250</v>
      </c>
      <c r="L4" s="211">
        <f>B37</f>
        <v>0</v>
      </c>
      <c r="M4" s="211">
        <f>B42</f>
        <v>0</v>
      </c>
      <c r="N4" s="211">
        <f>B47</f>
        <v>0</v>
      </c>
      <c r="O4" s="211">
        <f>B52</f>
        <v>2250</v>
      </c>
      <c r="P4" s="211">
        <f>B53</f>
        <v>0</v>
      </c>
      <c r="Q4" s="213">
        <f>B54</f>
        <v>12596</v>
      </c>
      <c r="R4" s="372">
        <f>T54</f>
        <v>3000</v>
      </c>
      <c r="S4" s="331">
        <f>O4/Q4</f>
        <v>0.17862813591616386</v>
      </c>
      <c r="T4" s="331">
        <f>(J4+(H4*1.63))/Q4</f>
        <v>0.41330581136868849</v>
      </c>
      <c r="U4" s="331">
        <f>L4/Q4</f>
        <v>0</v>
      </c>
      <c r="V4" s="216">
        <f>Q4/R4</f>
        <v>4.198666666666667</v>
      </c>
    </row>
    <row r="5" spans="2:22" ht="16.2" thickBot="1" x14ac:dyDescent="0.35">
      <c r="B5" s="202" t="s">
        <v>34</v>
      </c>
      <c r="F5" s="202">
        <v>2012</v>
      </c>
      <c r="G5" s="217">
        <f>D12</f>
        <v>2998</v>
      </c>
      <c r="H5" s="218">
        <f>D17</f>
        <v>2000</v>
      </c>
      <c r="I5" s="218">
        <f>D22</f>
        <v>3148.74</v>
      </c>
      <c r="J5" s="218">
        <f>D27</f>
        <v>2337</v>
      </c>
      <c r="K5" s="218">
        <f>D32</f>
        <v>250</v>
      </c>
      <c r="L5" s="218">
        <f>D37</f>
        <v>0</v>
      </c>
      <c r="M5" s="218">
        <f>D42</f>
        <v>0</v>
      </c>
      <c r="N5" s="218">
        <f>D47</f>
        <v>0</v>
      </c>
      <c r="O5" s="218">
        <f>D52</f>
        <v>2250</v>
      </c>
      <c r="P5" s="218">
        <f>D53</f>
        <v>0</v>
      </c>
      <c r="Q5" s="219">
        <f>SUM(G5:P5)</f>
        <v>12983.74</v>
      </c>
      <c r="R5" s="373">
        <f>P54</f>
        <v>3000</v>
      </c>
      <c r="S5" s="332">
        <f>O5/Q5</f>
        <v>0.17329367347158831</v>
      </c>
      <c r="T5" s="332">
        <f>(J5+(H5*1.63))/Q5</f>
        <v>0.43107764018687988</v>
      </c>
      <c r="U5" s="332">
        <f>L5/Q5</f>
        <v>0</v>
      </c>
      <c r="V5" s="222">
        <f>Q5/R5</f>
        <v>4.3279133333333331</v>
      </c>
    </row>
    <row r="6" spans="2:22" ht="16.2" thickBot="1" x14ac:dyDescent="0.35">
      <c r="C6" s="202" t="s">
        <v>489</v>
      </c>
      <c r="F6" s="202">
        <v>2013</v>
      </c>
      <c r="G6" s="374">
        <f>E12</f>
        <v>2998</v>
      </c>
      <c r="H6" s="375">
        <f>E17</f>
        <v>2000</v>
      </c>
      <c r="I6" s="375">
        <f>E22</f>
        <v>3148.74</v>
      </c>
      <c r="J6" s="375">
        <f>E27</f>
        <v>2337</v>
      </c>
      <c r="K6" s="375">
        <f>E32</f>
        <v>250</v>
      </c>
      <c r="L6" s="375">
        <f>E37</f>
        <v>0</v>
      </c>
      <c r="M6" s="375">
        <f>E42</f>
        <v>0</v>
      </c>
      <c r="N6" s="375">
        <f>E47</f>
        <v>0</v>
      </c>
      <c r="O6" s="375">
        <f>E52</f>
        <v>2250</v>
      </c>
      <c r="P6" s="375">
        <f>E53</f>
        <v>0</v>
      </c>
      <c r="Q6" s="219">
        <f>SUM(G6:P6)</f>
        <v>12983.74</v>
      </c>
      <c r="R6" s="373">
        <f>Q54</f>
        <v>3000</v>
      </c>
      <c r="S6" s="332">
        <f>O6/Q6</f>
        <v>0.17329367347158831</v>
      </c>
      <c r="T6" s="332">
        <f>(J6+(H6*1.63))/Q6</f>
        <v>0.43107764018687988</v>
      </c>
      <c r="U6" s="332">
        <f>L6/Q6</f>
        <v>0</v>
      </c>
      <c r="V6" s="222">
        <f>Q6/R6</f>
        <v>4.3279133333333331</v>
      </c>
    </row>
    <row r="7" spans="2:22" ht="16.2" thickBot="1" x14ac:dyDescent="0.35">
      <c r="C7" s="227" t="s">
        <v>490</v>
      </c>
      <c r="F7" s="376" t="s">
        <v>178</v>
      </c>
      <c r="G7" s="377">
        <f>SUM(G5:G6)</f>
        <v>5996</v>
      </c>
      <c r="H7" s="377">
        <f t="shared" ref="H7:P7" si="0">SUM(H5:H6)</f>
        <v>4000</v>
      </c>
      <c r="I7" s="377">
        <f t="shared" si="0"/>
        <v>6297.48</v>
      </c>
      <c r="J7" s="377">
        <f t="shared" si="0"/>
        <v>4674</v>
      </c>
      <c r="K7" s="377">
        <f t="shared" si="0"/>
        <v>500</v>
      </c>
      <c r="L7" s="377">
        <f t="shared" si="0"/>
        <v>0</v>
      </c>
      <c r="M7" s="377">
        <f t="shared" si="0"/>
        <v>0</v>
      </c>
      <c r="N7" s="377">
        <f t="shared" si="0"/>
        <v>0</v>
      </c>
      <c r="O7" s="377">
        <f t="shared" si="0"/>
        <v>4500</v>
      </c>
      <c r="P7" s="377">
        <f t="shared" si="0"/>
        <v>0</v>
      </c>
      <c r="Q7" s="378">
        <f>SUM(G7:P7)</f>
        <v>25967.48</v>
      </c>
      <c r="R7" s="379">
        <f>R54</f>
        <v>6000</v>
      </c>
      <c r="S7" s="332">
        <f>O7/Q7</f>
        <v>0.17329367347158831</v>
      </c>
      <c r="T7" s="332">
        <f>(J7+(H7*1.63))/Q7</f>
        <v>0.43107764018687988</v>
      </c>
      <c r="U7" s="332">
        <f>L7/Q7</f>
        <v>0</v>
      </c>
      <c r="V7" s="222">
        <f>Q7/R7</f>
        <v>4.3279133333333331</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3000</v>
      </c>
      <c r="C12" s="244" t="s">
        <v>161</v>
      </c>
      <c r="D12" s="245">
        <f>SUM(D13:D16)</f>
        <v>2998</v>
      </c>
      <c r="E12" s="245">
        <f>SUM(E13:E16)</f>
        <v>2998</v>
      </c>
      <c r="F12" s="246">
        <f>D12+E12</f>
        <v>5996</v>
      </c>
      <c r="H12" s="135"/>
      <c r="I12" s="247" t="str">
        <f t="shared" ref="I12:I53" si="1">C62</f>
        <v>Manufactured Home Gas</v>
      </c>
      <c r="J12" s="248"/>
      <c r="K12" s="249"/>
      <c r="L12" s="380">
        <f t="shared" ref="L12:L53" si="2">D62</f>
        <v>200</v>
      </c>
      <c r="M12" s="267">
        <v>15</v>
      </c>
      <c r="N12" s="267">
        <v>15</v>
      </c>
      <c r="O12" s="252">
        <f>M12+N12</f>
        <v>30</v>
      </c>
      <c r="P12" s="381">
        <f t="shared" ref="P12:R27" si="3">M12*$D62</f>
        <v>3000</v>
      </c>
      <c r="Q12" s="381">
        <f t="shared" si="3"/>
        <v>3000</v>
      </c>
      <c r="R12" s="382">
        <f t="shared" si="3"/>
        <v>6000</v>
      </c>
      <c r="T12" s="267">
        <v>3000</v>
      </c>
    </row>
    <row r="13" spans="2:22" ht="13.8" x14ac:dyDescent="0.3">
      <c r="B13" s="256"/>
      <c r="C13" s="257" t="s">
        <v>34</v>
      </c>
      <c r="D13" s="258">
        <v>1153</v>
      </c>
      <c r="E13" s="258">
        <v>1153</v>
      </c>
      <c r="F13" s="258">
        <f>SUM(D13:E13)</f>
        <v>2306</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row>
    <row r="14" spans="2:22" ht="13.8" x14ac:dyDescent="0.3">
      <c r="B14" s="264"/>
      <c r="C14" s="265" t="s">
        <v>266</v>
      </c>
      <c r="D14" s="266">
        <v>1153</v>
      </c>
      <c r="E14" s="266">
        <v>1153</v>
      </c>
      <c r="F14" s="258">
        <f t="shared" ref="F14:F24" si="5">SUM(D14:E14)</f>
        <v>2306</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ht="13.8" x14ac:dyDescent="0.3">
      <c r="B15" s="264"/>
      <c r="C15" s="265" t="s">
        <v>655</v>
      </c>
      <c r="D15" s="268">
        <v>692</v>
      </c>
      <c r="E15" s="268">
        <v>692</v>
      </c>
      <c r="F15" s="258">
        <f t="shared" si="5"/>
        <v>1384</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4.4" thickBot="1" x14ac:dyDescent="0.35">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4.4" thickBot="1" x14ac:dyDescent="0.35">
      <c r="B17" s="272">
        <v>2000</v>
      </c>
      <c r="C17" s="244" t="s">
        <v>166</v>
      </c>
      <c r="D17" s="245">
        <f>SUM(D18:D21)</f>
        <v>2000</v>
      </c>
      <c r="E17" s="245">
        <f>SUM(E18:E21)</f>
        <v>2000</v>
      </c>
      <c r="F17" s="246">
        <f>D17+E17</f>
        <v>4000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257" t="s">
        <v>493</v>
      </c>
      <c r="D18" s="258">
        <v>2000</v>
      </c>
      <c r="E18" s="258">
        <v>2000</v>
      </c>
      <c r="F18" s="258">
        <f t="shared" si="5"/>
        <v>4000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3150</v>
      </c>
      <c r="C22" s="244" t="s">
        <v>167</v>
      </c>
      <c r="D22" s="245">
        <f>SUM(D23:D26)</f>
        <v>3148.74</v>
      </c>
      <c r="E22" s="245">
        <f>SUM(E23:E26)</f>
        <v>3148.74</v>
      </c>
      <c r="F22" s="246">
        <f>D22+E22</f>
        <v>6297.48</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1888.74</v>
      </c>
      <c r="E23" s="258">
        <f>0.63*E12</f>
        <v>1888.74</v>
      </c>
      <c r="F23" s="258">
        <f t="shared" si="5"/>
        <v>3777.48</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1260</v>
      </c>
      <c r="E24" s="266">
        <f>0.63*E17</f>
        <v>1260</v>
      </c>
      <c r="F24" s="258">
        <f t="shared" si="5"/>
        <v>2520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1946</v>
      </c>
      <c r="C27" s="244" t="s">
        <v>170</v>
      </c>
      <c r="D27" s="245">
        <f>SUM(D28:D31)</f>
        <v>2337</v>
      </c>
      <c r="E27" s="245">
        <f>SUM(E28:E31)</f>
        <v>2337</v>
      </c>
      <c r="F27" s="246">
        <f>D27+E27</f>
        <v>4674</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494</v>
      </c>
      <c r="D28" s="258">
        <v>2337</v>
      </c>
      <c r="E28" s="258">
        <v>2337</v>
      </c>
      <c r="F28" s="258">
        <f t="shared" ref="F28:F36" si="6">SUM(D28:E28)</f>
        <v>4674</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250</v>
      </c>
      <c r="C32" s="244" t="s">
        <v>171</v>
      </c>
      <c r="D32" s="245">
        <f>SUM(D33:D36)</f>
        <v>250</v>
      </c>
      <c r="E32" s="245">
        <f>SUM(E33:E36)</f>
        <v>250</v>
      </c>
      <c r="F32" s="246">
        <f>D32+E32</f>
        <v>500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66">
        <v>250</v>
      </c>
      <c r="E33" s="266">
        <v>250</v>
      </c>
      <c r="F33" s="258">
        <f t="shared" si="6"/>
        <v>500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266">
        <v>0</v>
      </c>
      <c r="E38" s="266"/>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0</v>
      </c>
      <c r="E43" s="266"/>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66">
        <v>0</v>
      </c>
      <c r="E48" s="266"/>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2250</v>
      </c>
      <c r="C52" s="244" t="s">
        <v>175</v>
      </c>
      <c r="D52" s="245">
        <f>S104</f>
        <v>2250</v>
      </c>
      <c r="E52" s="245">
        <f>T104</f>
        <v>2250</v>
      </c>
      <c r="F52" s="246">
        <f>U104</f>
        <v>4500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12596</v>
      </c>
      <c r="C54" s="274" t="s">
        <v>178</v>
      </c>
      <c r="D54" s="273">
        <f>D12+D17+D22+D27+D32+D37+D42+D47+D52+D53</f>
        <v>12983.74</v>
      </c>
      <c r="E54" s="273">
        <f>E12+E17+E22+E27+E32+E37+E42+E47+E52+E53</f>
        <v>12983.74</v>
      </c>
      <c r="F54" s="273">
        <f>F12+F17+F22+F27+F32+F37+F42+F47+F52+F53</f>
        <v>25967.48</v>
      </c>
      <c r="P54" s="385">
        <f>SUM(P12:P53)</f>
        <v>3000</v>
      </c>
      <c r="Q54" s="385">
        <f>SUM(Q12:Q53)</f>
        <v>3000</v>
      </c>
      <c r="R54" s="385">
        <f>SUM(R12:R53)</f>
        <v>6000</v>
      </c>
      <c r="T54" s="385">
        <f>SUM(T12:T53)</f>
        <v>3000</v>
      </c>
    </row>
    <row r="55" spans="2:24" ht="13.8" x14ac:dyDescent="0.3">
      <c r="C55" s="274"/>
      <c r="D55" s="273"/>
      <c r="E55" s="273"/>
      <c r="F55" s="273"/>
    </row>
    <row r="56" spans="2:24" ht="13.8" x14ac:dyDescent="0.3">
      <c r="C56" s="274" t="s">
        <v>179</v>
      </c>
      <c r="D56" s="273">
        <f>D54-D52</f>
        <v>10733.74</v>
      </c>
      <c r="E56" s="273">
        <f>E54-E52</f>
        <v>10733.74</v>
      </c>
      <c r="F56" s="273">
        <f>F54-F52</f>
        <v>21467.48</v>
      </c>
    </row>
    <row r="57" spans="2:24" ht="13.8" x14ac:dyDescent="0.3">
      <c r="C57" s="274" t="s">
        <v>180</v>
      </c>
      <c r="D57" s="276">
        <f>D52</f>
        <v>2250</v>
      </c>
      <c r="E57" s="276">
        <f>E52</f>
        <v>2250</v>
      </c>
      <c r="F57" s="276">
        <f>F52</f>
        <v>4500</v>
      </c>
      <c r="G57" s="335">
        <f>F57/(F56+F57)</f>
        <v>0.17329367347158831</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394" t="s">
        <v>656</v>
      </c>
      <c r="D62" s="267">
        <v>200</v>
      </c>
      <c r="E62" s="267" t="s">
        <v>617</v>
      </c>
      <c r="F62" s="267" t="s">
        <v>211</v>
      </c>
      <c r="G62" s="297">
        <v>1377</v>
      </c>
      <c r="H62" s="297">
        <v>150</v>
      </c>
      <c r="I62" s="326">
        <v>1</v>
      </c>
      <c r="J62" s="267">
        <v>18</v>
      </c>
      <c r="K62" s="267" t="s">
        <v>618</v>
      </c>
      <c r="L62" s="3865">
        <f>P62/N62</f>
        <v>2.3295493098150781</v>
      </c>
      <c r="M62" s="3865">
        <f>Q62/O62</f>
        <v>1.1541618253797985</v>
      </c>
      <c r="N62" s="218">
        <f>(($I62*$F$56)+$U62)/$R62</f>
        <v>24021.72062904718</v>
      </c>
      <c r="O62" s="218">
        <f>(($I62*$F$56)+($G62*$O12))/$R62</f>
        <v>58073.524514338576</v>
      </c>
      <c r="P62" s="218">
        <f>IF(K62=0, 0, (HLOOKUP(K62,'[1]G-CESTDWO'!$A$5:$G$35,J62+1,FALSE)*R12))</f>
        <v>55959.782711967484</v>
      </c>
      <c r="Q62" s="218">
        <f>IF(K62=0, 0, (HLOOKUP(K62,'[1]G-CESTD'!$A$5:$G$35,J62+1,FALSE)*R12))</f>
        <v>67026.245059707493</v>
      </c>
      <c r="R62" s="292">
        <v>1.081</v>
      </c>
      <c r="S62" s="293">
        <f t="shared" ref="S62:U77" si="10">M12*$H62</f>
        <v>2250</v>
      </c>
      <c r="T62" s="293">
        <f t="shared" si="10"/>
        <v>2250</v>
      </c>
      <c r="U62" s="293">
        <f t="shared" si="10"/>
        <v>4500</v>
      </c>
      <c r="V62" s="338">
        <f>U62/(U62+(I62*F$56))</f>
        <v>0.17329367347158831</v>
      </c>
      <c r="W62" s="338">
        <f t="shared" ref="W62:W80" si="11">(I62*((F$17*1.63)+F$27))/(U62+(I62*F$56))</f>
        <v>0.43107764018687988</v>
      </c>
      <c r="X62" s="338">
        <f>(I62*F$37)/(U62+(I62*F$56))</f>
        <v>0</v>
      </c>
    </row>
    <row r="63" spans="2:24" ht="13.8" x14ac:dyDescent="0.3">
      <c r="B63" s="296"/>
      <c r="C63" s="296" t="s">
        <v>410</v>
      </c>
      <c r="D63" s="296">
        <v>0</v>
      </c>
      <c r="E63" s="296" t="s">
        <v>617</v>
      </c>
      <c r="F63" s="296" t="s">
        <v>211</v>
      </c>
      <c r="G63" s="297"/>
      <c r="H63" s="297"/>
      <c r="I63" s="326">
        <v>0</v>
      </c>
      <c r="J63" s="267"/>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ht="13.8" x14ac:dyDescent="0.3">
      <c r="B64" s="296"/>
      <c r="C64" s="296" t="s">
        <v>411</v>
      </c>
      <c r="D64" s="267">
        <v>0</v>
      </c>
      <c r="E64" s="296" t="s">
        <v>617</v>
      </c>
      <c r="F64" s="296" t="s">
        <v>211</v>
      </c>
      <c r="G64" s="297"/>
      <c r="H64" s="297"/>
      <c r="I64" s="326">
        <v>0</v>
      </c>
      <c r="J64" s="267"/>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41310</v>
      </c>
      <c r="H104" s="301">
        <f>U104</f>
        <v>4500</v>
      </c>
      <c r="I104" s="302">
        <f>SUM(I62:I103)</f>
        <v>1</v>
      </c>
      <c r="J104" s="303">
        <f>ROUND(SUMPRODUCT(J62:J103,R12:R53)/R54,0)</f>
        <v>18</v>
      </c>
      <c r="K104" s="274"/>
      <c r="L104" s="3866">
        <f>P104/N104</f>
        <v>2.3295493098150781</v>
      </c>
      <c r="M104" s="3867">
        <f>Q104/O104</f>
        <v>1.1541618253797985</v>
      </c>
      <c r="N104" s="311">
        <f>SUM(N62:N103)</f>
        <v>24021.72062904718</v>
      </c>
      <c r="O104" s="311">
        <f>SUM(O62:O103)</f>
        <v>58073.524514338576</v>
      </c>
      <c r="P104" s="311">
        <f>SUM(P62:P103)</f>
        <v>55959.782711967484</v>
      </c>
      <c r="Q104" s="311">
        <f>SUM(Q62:Q103)</f>
        <v>67026.245059707493</v>
      </c>
      <c r="R104" s="307">
        <v>1.081</v>
      </c>
      <c r="S104" s="308">
        <f>SUM(S62:S103)</f>
        <v>2250</v>
      </c>
      <c r="T104" s="308">
        <f>SUM(T62:T103)</f>
        <v>2250</v>
      </c>
      <c r="U104" s="308">
        <f>SUM(U62:U103)</f>
        <v>4500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3" top="0.34" bottom="0.37" header="0.3" footer="0.3"/>
  <pageSetup paperSize="17" scale="53" orientation="landscape"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04"/>
  <sheetViews>
    <sheetView workbookViewId="0">
      <pane xSplit="1" ySplit="1" topLeftCell="J2" activePane="bottomRight" state="frozen"/>
      <selection pane="topRight" activeCell="B1" sqref="B1"/>
      <selection pane="bottomLeft" activeCell="A2" sqref="A2"/>
      <selection pane="bottomRight" activeCell="G32" sqref="G32"/>
    </sheetView>
  </sheetViews>
  <sheetFormatPr defaultRowHeight="13.2" x14ac:dyDescent="0.25"/>
  <cols>
    <col min="1" max="1" width="15.109375" style="3369" customWidth="1"/>
    <col min="2" max="2" width="16.88671875" customWidth="1"/>
    <col min="3" max="3" width="31.88671875" customWidth="1"/>
    <col min="4" max="4" width="15.6640625" style="19" customWidth="1"/>
    <col min="5" max="5" width="15.6640625" customWidth="1"/>
    <col min="6" max="6" width="17.441406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9.6640625" bestFit="1" customWidth="1"/>
    <col min="17" max="17" width="22.109375" bestFit="1" customWidth="1"/>
    <col min="18" max="18" width="17.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5.33203125" bestFit="1" customWidth="1"/>
    <col min="262" max="262" width="18.664062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9.6640625" bestFit="1" customWidth="1"/>
    <col min="273" max="273" width="22.109375" bestFit="1" customWidth="1"/>
    <col min="274" max="274" width="17.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5.33203125" bestFit="1" customWidth="1"/>
    <col min="518" max="518" width="18.664062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9.6640625" bestFit="1" customWidth="1"/>
    <col min="529" max="529" width="22.109375" bestFit="1" customWidth="1"/>
    <col min="530" max="530" width="17.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5.33203125" bestFit="1" customWidth="1"/>
    <col min="774" max="774" width="18.664062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9.6640625" bestFit="1" customWidth="1"/>
    <col min="785" max="785" width="22.109375" bestFit="1" customWidth="1"/>
    <col min="786" max="786" width="17.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5.33203125" bestFit="1" customWidth="1"/>
    <col min="1030" max="1030" width="18.664062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9.6640625" bestFit="1" customWidth="1"/>
    <col min="1041" max="1041" width="22.109375" bestFit="1" customWidth="1"/>
    <col min="1042" max="1042" width="17.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5.33203125" bestFit="1" customWidth="1"/>
    <col min="1286" max="1286" width="18.664062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9.6640625" bestFit="1" customWidth="1"/>
    <col min="1297" max="1297" width="22.109375" bestFit="1" customWidth="1"/>
    <col min="1298" max="1298" width="17.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5.33203125" bestFit="1" customWidth="1"/>
    <col min="1542" max="1542" width="18.664062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9.6640625" bestFit="1" customWidth="1"/>
    <col min="1553" max="1553" width="22.109375" bestFit="1" customWidth="1"/>
    <col min="1554" max="1554" width="17.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5.33203125" bestFit="1" customWidth="1"/>
    <col min="1798" max="1798" width="18.664062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9.6640625" bestFit="1" customWidth="1"/>
    <col min="1809" max="1809" width="22.109375" bestFit="1" customWidth="1"/>
    <col min="1810" max="1810" width="17.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5.33203125" bestFit="1" customWidth="1"/>
    <col min="2054" max="2054" width="18.664062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9.6640625" bestFit="1" customWidth="1"/>
    <col min="2065" max="2065" width="22.109375" bestFit="1" customWidth="1"/>
    <col min="2066" max="2066" width="17.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5.33203125" bestFit="1" customWidth="1"/>
    <col min="2310" max="2310" width="18.664062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9.6640625" bestFit="1" customWidth="1"/>
    <col min="2321" max="2321" width="22.109375" bestFit="1" customWidth="1"/>
    <col min="2322" max="2322" width="17.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5.33203125" bestFit="1" customWidth="1"/>
    <col min="2566" max="2566" width="18.664062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9.6640625" bestFit="1" customWidth="1"/>
    <col min="2577" max="2577" width="22.109375" bestFit="1" customWidth="1"/>
    <col min="2578" max="2578" width="17.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5.33203125" bestFit="1" customWidth="1"/>
    <col min="2822" max="2822" width="18.664062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9.6640625" bestFit="1" customWidth="1"/>
    <col min="2833" max="2833" width="22.109375" bestFit="1" customWidth="1"/>
    <col min="2834" max="2834" width="17.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5.33203125" bestFit="1" customWidth="1"/>
    <col min="3078" max="3078" width="18.664062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9.6640625" bestFit="1" customWidth="1"/>
    <col min="3089" max="3089" width="22.109375" bestFit="1" customWidth="1"/>
    <col min="3090" max="3090" width="17.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5.33203125" bestFit="1" customWidth="1"/>
    <col min="3334" max="3334" width="18.664062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9.6640625" bestFit="1" customWidth="1"/>
    <col min="3345" max="3345" width="22.109375" bestFit="1" customWidth="1"/>
    <col min="3346" max="3346" width="17.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5.33203125" bestFit="1" customWidth="1"/>
    <col min="3590" max="3590" width="18.664062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9.6640625" bestFit="1" customWidth="1"/>
    <col min="3601" max="3601" width="22.109375" bestFit="1" customWidth="1"/>
    <col min="3602" max="3602" width="17.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5.33203125" bestFit="1" customWidth="1"/>
    <col min="3846" max="3846" width="18.664062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9.6640625" bestFit="1" customWidth="1"/>
    <col min="3857" max="3857" width="22.109375" bestFit="1" customWidth="1"/>
    <col min="3858" max="3858" width="17.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5.33203125" bestFit="1" customWidth="1"/>
    <col min="4102" max="4102" width="18.664062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9.6640625" bestFit="1" customWidth="1"/>
    <col min="4113" max="4113" width="22.109375" bestFit="1" customWidth="1"/>
    <col min="4114" max="4114" width="17.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5.33203125" bestFit="1" customWidth="1"/>
    <col min="4358" max="4358" width="18.664062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9.6640625" bestFit="1" customWidth="1"/>
    <col min="4369" max="4369" width="22.109375" bestFit="1" customWidth="1"/>
    <col min="4370" max="4370" width="17.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5.33203125" bestFit="1" customWidth="1"/>
    <col min="4614" max="4614" width="18.664062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9.6640625" bestFit="1" customWidth="1"/>
    <col min="4625" max="4625" width="22.109375" bestFit="1" customWidth="1"/>
    <col min="4626" max="4626" width="17.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5.33203125" bestFit="1" customWidth="1"/>
    <col min="4870" max="4870" width="18.664062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9.6640625" bestFit="1" customWidth="1"/>
    <col min="4881" max="4881" width="22.109375" bestFit="1" customWidth="1"/>
    <col min="4882" max="4882" width="17.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5.33203125" bestFit="1" customWidth="1"/>
    <col min="5126" max="5126" width="18.664062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9.6640625" bestFit="1" customWidth="1"/>
    <col min="5137" max="5137" width="22.109375" bestFit="1" customWidth="1"/>
    <col min="5138" max="5138" width="17.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5.33203125" bestFit="1" customWidth="1"/>
    <col min="5382" max="5382" width="18.664062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9.6640625" bestFit="1" customWidth="1"/>
    <col min="5393" max="5393" width="22.109375" bestFit="1" customWidth="1"/>
    <col min="5394" max="5394" width="17.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5.33203125" bestFit="1" customWidth="1"/>
    <col min="5638" max="5638" width="18.664062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9.6640625" bestFit="1" customWidth="1"/>
    <col min="5649" max="5649" width="22.109375" bestFit="1" customWidth="1"/>
    <col min="5650" max="5650" width="17.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5.33203125" bestFit="1" customWidth="1"/>
    <col min="5894" max="5894" width="18.664062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9.6640625" bestFit="1" customWidth="1"/>
    <col min="5905" max="5905" width="22.109375" bestFit="1" customWidth="1"/>
    <col min="5906" max="5906" width="17.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5.33203125" bestFit="1" customWidth="1"/>
    <col min="6150" max="6150" width="18.664062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9.6640625" bestFit="1" customWidth="1"/>
    <col min="6161" max="6161" width="22.109375" bestFit="1" customWidth="1"/>
    <col min="6162" max="6162" width="17.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5.33203125" bestFit="1" customWidth="1"/>
    <col min="6406" max="6406" width="18.664062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9.6640625" bestFit="1" customWidth="1"/>
    <col min="6417" max="6417" width="22.109375" bestFit="1" customWidth="1"/>
    <col min="6418" max="6418" width="17.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5.33203125" bestFit="1" customWidth="1"/>
    <col min="6662" max="6662" width="18.664062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9.6640625" bestFit="1" customWidth="1"/>
    <col min="6673" max="6673" width="22.109375" bestFit="1" customWidth="1"/>
    <col min="6674" max="6674" width="17.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5.33203125" bestFit="1" customWidth="1"/>
    <col min="6918" max="6918" width="18.664062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9.6640625" bestFit="1" customWidth="1"/>
    <col min="6929" max="6929" width="22.109375" bestFit="1" customWidth="1"/>
    <col min="6930" max="6930" width="17.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5.33203125" bestFit="1" customWidth="1"/>
    <col min="7174" max="7174" width="18.664062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9.6640625" bestFit="1" customWidth="1"/>
    <col min="7185" max="7185" width="22.109375" bestFit="1" customWidth="1"/>
    <col min="7186" max="7186" width="17.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5.33203125" bestFit="1" customWidth="1"/>
    <col min="7430" max="7430" width="18.664062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9.6640625" bestFit="1" customWidth="1"/>
    <col min="7441" max="7441" width="22.109375" bestFit="1" customWidth="1"/>
    <col min="7442" max="7442" width="17.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5.33203125" bestFit="1" customWidth="1"/>
    <col min="7686" max="7686" width="18.664062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9.6640625" bestFit="1" customWidth="1"/>
    <col min="7697" max="7697" width="22.109375" bestFit="1" customWidth="1"/>
    <col min="7698" max="7698" width="17.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5.33203125" bestFit="1" customWidth="1"/>
    <col min="7942" max="7942" width="18.664062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9.6640625" bestFit="1" customWidth="1"/>
    <col min="7953" max="7953" width="22.109375" bestFit="1" customWidth="1"/>
    <col min="7954" max="7954" width="17.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5.33203125" bestFit="1" customWidth="1"/>
    <col min="8198" max="8198" width="18.664062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9.6640625" bestFit="1" customWidth="1"/>
    <col min="8209" max="8209" width="22.109375" bestFit="1" customWidth="1"/>
    <col min="8210" max="8210" width="17.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5.33203125" bestFit="1" customWidth="1"/>
    <col min="8454" max="8454" width="18.664062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9.6640625" bestFit="1" customWidth="1"/>
    <col min="8465" max="8465" width="22.109375" bestFit="1" customWidth="1"/>
    <col min="8466" max="8466" width="17.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5.33203125" bestFit="1" customWidth="1"/>
    <col min="8710" max="8710" width="18.664062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9.6640625" bestFit="1" customWidth="1"/>
    <col min="8721" max="8721" width="22.109375" bestFit="1" customWidth="1"/>
    <col min="8722" max="8722" width="17.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5.33203125" bestFit="1" customWidth="1"/>
    <col min="8966" max="8966" width="18.664062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9.6640625" bestFit="1" customWidth="1"/>
    <col min="8977" max="8977" width="22.109375" bestFit="1" customWidth="1"/>
    <col min="8978" max="8978" width="17.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5.33203125" bestFit="1" customWidth="1"/>
    <col min="9222" max="9222" width="18.664062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9.6640625" bestFit="1" customWidth="1"/>
    <col min="9233" max="9233" width="22.109375" bestFit="1" customWidth="1"/>
    <col min="9234" max="9234" width="17.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5.33203125" bestFit="1" customWidth="1"/>
    <col min="9478" max="9478" width="18.664062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9.6640625" bestFit="1" customWidth="1"/>
    <col min="9489" max="9489" width="22.109375" bestFit="1" customWidth="1"/>
    <col min="9490" max="9490" width="17.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5.33203125" bestFit="1" customWidth="1"/>
    <col min="9734" max="9734" width="18.664062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9.6640625" bestFit="1" customWidth="1"/>
    <col min="9745" max="9745" width="22.109375" bestFit="1" customWidth="1"/>
    <col min="9746" max="9746" width="17.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5.33203125" bestFit="1" customWidth="1"/>
    <col min="9990" max="9990" width="18.664062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9.6640625" bestFit="1" customWidth="1"/>
    <col min="10001" max="10001" width="22.109375" bestFit="1" customWidth="1"/>
    <col min="10002" max="10002" width="17.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5.33203125" bestFit="1" customWidth="1"/>
    <col min="10246" max="10246" width="18.664062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9.6640625" bestFit="1" customWidth="1"/>
    <col min="10257" max="10257" width="22.109375" bestFit="1" customWidth="1"/>
    <col min="10258" max="10258" width="17.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5.33203125" bestFit="1" customWidth="1"/>
    <col min="10502" max="10502" width="18.664062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9.6640625" bestFit="1" customWidth="1"/>
    <col min="10513" max="10513" width="22.109375" bestFit="1" customWidth="1"/>
    <col min="10514" max="10514" width="17.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5.33203125" bestFit="1" customWidth="1"/>
    <col min="10758" max="10758" width="18.664062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9.6640625" bestFit="1" customWidth="1"/>
    <col min="10769" max="10769" width="22.109375" bestFit="1" customWidth="1"/>
    <col min="10770" max="10770" width="17.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5.33203125" bestFit="1" customWidth="1"/>
    <col min="11014" max="11014" width="18.664062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9.6640625" bestFit="1" customWidth="1"/>
    <col min="11025" max="11025" width="22.109375" bestFit="1" customWidth="1"/>
    <col min="11026" max="11026" width="17.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5.33203125" bestFit="1" customWidth="1"/>
    <col min="11270" max="11270" width="18.664062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9.6640625" bestFit="1" customWidth="1"/>
    <col min="11281" max="11281" width="22.109375" bestFit="1" customWidth="1"/>
    <col min="11282" max="11282" width="17.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5.33203125" bestFit="1" customWidth="1"/>
    <col min="11526" max="11526" width="18.664062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9.6640625" bestFit="1" customWidth="1"/>
    <col min="11537" max="11537" width="22.109375" bestFit="1" customWidth="1"/>
    <col min="11538" max="11538" width="17.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5.33203125" bestFit="1" customWidth="1"/>
    <col min="11782" max="11782" width="18.664062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9.6640625" bestFit="1" customWidth="1"/>
    <col min="11793" max="11793" width="22.109375" bestFit="1" customWidth="1"/>
    <col min="11794" max="11794" width="17.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5.33203125" bestFit="1" customWidth="1"/>
    <col min="12038" max="12038" width="18.664062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9.6640625" bestFit="1" customWidth="1"/>
    <col min="12049" max="12049" width="22.109375" bestFit="1" customWidth="1"/>
    <col min="12050" max="12050" width="17.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5.33203125" bestFit="1" customWidth="1"/>
    <col min="12294" max="12294" width="18.664062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9.6640625" bestFit="1" customWidth="1"/>
    <col min="12305" max="12305" width="22.109375" bestFit="1" customWidth="1"/>
    <col min="12306" max="12306" width="17.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5.33203125" bestFit="1" customWidth="1"/>
    <col min="12550" max="12550" width="18.664062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9.6640625" bestFit="1" customWidth="1"/>
    <col min="12561" max="12561" width="22.109375" bestFit="1" customWidth="1"/>
    <col min="12562" max="12562" width="17.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5.33203125" bestFit="1" customWidth="1"/>
    <col min="12806" max="12806" width="18.664062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9.6640625" bestFit="1" customWidth="1"/>
    <col min="12817" max="12817" width="22.109375" bestFit="1" customWidth="1"/>
    <col min="12818" max="12818" width="17.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5.33203125" bestFit="1" customWidth="1"/>
    <col min="13062" max="13062" width="18.664062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9.6640625" bestFit="1" customWidth="1"/>
    <col min="13073" max="13073" width="22.109375" bestFit="1" customWidth="1"/>
    <col min="13074" max="13074" width="17.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5.33203125" bestFit="1" customWidth="1"/>
    <col min="13318" max="13318" width="18.664062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9.6640625" bestFit="1" customWidth="1"/>
    <col min="13329" max="13329" width="22.109375" bestFit="1" customWidth="1"/>
    <col min="13330" max="13330" width="17.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5.33203125" bestFit="1" customWidth="1"/>
    <col min="13574" max="13574" width="18.664062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9.6640625" bestFit="1" customWidth="1"/>
    <col min="13585" max="13585" width="22.109375" bestFit="1" customWidth="1"/>
    <col min="13586" max="13586" width="17.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5.33203125" bestFit="1" customWidth="1"/>
    <col min="13830" max="13830" width="18.664062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9.6640625" bestFit="1" customWidth="1"/>
    <col min="13841" max="13841" width="22.109375" bestFit="1" customWidth="1"/>
    <col min="13842" max="13842" width="17.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5.33203125" bestFit="1" customWidth="1"/>
    <col min="14086" max="14086" width="18.664062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9.6640625" bestFit="1" customWidth="1"/>
    <col min="14097" max="14097" width="22.109375" bestFit="1" customWidth="1"/>
    <col min="14098" max="14098" width="17.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5.33203125" bestFit="1" customWidth="1"/>
    <col min="14342" max="14342" width="18.664062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9.6640625" bestFit="1" customWidth="1"/>
    <col min="14353" max="14353" width="22.109375" bestFit="1" customWidth="1"/>
    <col min="14354" max="14354" width="17.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5.33203125" bestFit="1" customWidth="1"/>
    <col min="14598" max="14598" width="18.664062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9.6640625" bestFit="1" customWidth="1"/>
    <col min="14609" max="14609" width="22.109375" bestFit="1" customWidth="1"/>
    <col min="14610" max="14610" width="17.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5.33203125" bestFit="1" customWidth="1"/>
    <col min="14854" max="14854" width="18.664062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9.6640625" bestFit="1" customWidth="1"/>
    <col min="14865" max="14865" width="22.109375" bestFit="1" customWidth="1"/>
    <col min="14866" max="14866" width="17.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5.33203125" bestFit="1" customWidth="1"/>
    <col min="15110" max="15110" width="18.664062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9.6640625" bestFit="1" customWidth="1"/>
    <col min="15121" max="15121" width="22.109375" bestFit="1" customWidth="1"/>
    <col min="15122" max="15122" width="17.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5.33203125" bestFit="1" customWidth="1"/>
    <col min="15366" max="15366" width="18.664062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9.6640625" bestFit="1" customWidth="1"/>
    <col min="15377" max="15377" width="22.109375" bestFit="1" customWidth="1"/>
    <col min="15378" max="15378" width="17.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5.33203125" bestFit="1" customWidth="1"/>
    <col min="15622" max="15622" width="18.664062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9.6640625" bestFit="1" customWidth="1"/>
    <col min="15633" max="15633" width="22.109375" bestFit="1" customWidth="1"/>
    <col min="15634" max="15634" width="17.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5.33203125" bestFit="1" customWidth="1"/>
    <col min="15878" max="15878" width="18.664062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9.6640625" bestFit="1" customWidth="1"/>
    <col min="15889" max="15889" width="22.109375" bestFit="1" customWidth="1"/>
    <col min="15890" max="15890" width="17.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5.33203125" bestFit="1" customWidth="1"/>
    <col min="16134" max="16134" width="18.664062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9.6640625" bestFit="1" customWidth="1"/>
    <col min="16145" max="16145" width="22.109375" bestFit="1" customWidth="1"/>
    <col min="16146" max="16146" width="17.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4.25" customHeight="1" thickBot="1" x14ac:dyDescent="0.35">
      <c r="B1" s="3881"/>
      <c r="F1" s="202"/>
      <c r="G1" s="202">
        <f>C3</f>
        <v>18230736</v>
      </c>
      <c r="H1" s="202" t="str">
        <f>C4</f>
        <v>Multi-Family Retrofit Gas</v>
      </c>
      <c r="I1" s="202"/>
    </row>
    <row r="2" spans="2:22" ht="16.2" thickBot="1" x14ac:dyDescent="0.35">
      <c r="B2" s="202" t="s">
        <v>131</v>
      </c>
      <c r="C2" s="203" t="s">
        <v>685</v>
      </c>
      <c r="G2" s="204" t="s">
        <v>8</v>
      </c>
      <c r="Q2" s="4765" t="s">
        <v>612</v>
      </c>
      <c r="R2" s="4765"/>
      <c r="S2" s="4762" t="s">
        <v>132</v>
      </c>
      <c r="T2" s="4763"/>
      <c r="U2" s="4764"/>
      <c r="V2" s="4766" t="s">
        <v>133</v>
      </c>
    </row>
    <row r="3" spans="2:22" ht="16.2" thickBot="1" x14ac:dyDescent="0.35">
      <c r="B3" s="203" t="s">
        <v>6</v>
      </c>
      <c r="C3" s="203">
        <v>18230736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686</v>
      </c>
      <c r="F4" s="202">
        <v>2011</v>
      </c>
      <c r="G4" s="210">
        <f>B12</f>
        <v>40378</v>
      </c>
      <c r="H4" s="211">
        <f>B17</f>
        <v>6918</v>
      </c>
      <c r="I4" s="211">
        <f>B22</f>
        <v>30742</v>
      </c>
      <c r="J4" s="211">
        <f>B27</f>
        <v>6133</v>
      </c>
      <c r="K4" s="211">
        <f>B32</f>
        <v>242</v>
      </c>
      <c r="L4" s="211">
        <f>B37</f>
        <v>46680</v>
      </c>
      <c r="M4" s="211">
        <f>B42</f>
        <v>0</v>
      </c>
      <c r="N4" s="211">
        <f>B47</f>
        <v>1261</v>
      </c>
      <c r="O4" s="211">
        <f>B52</f>
        <v>474421</v>
      </c>
      <c r="P4" s="211">
        <f>B53</f>
        <v>0</v>
      </c>
      <c r="Q4" s="213">
        <f>B54</f>
        <v>606775</v>
      </c>
      <c r="R4" s="372">
        <f>T54</f>
        <v>83713</v>
      </c>
      <c r="S4" s="331">
        <f>O4/Q4</f>
        <v>0.78187301718099789</v>
      </c>
      <c r="T4" s="331">
        <f>(J4+(H4*1.63))/Q4</f>
        <v>2.8691590787359399E-2</v>
      </c>
      <c r="U4" s="331">
        <f>L4/Q4</f>
        <v>7.6931317209838909E-2</v>
      </c>
      <c r="V4" s="216">
        <f>Q4/R4</f>
        <v>7.248276850668355</v>
      </c>
    </row>
    <row r="5" spans="2:22" ht="16.2" thickBot="1" x14ac:dyDescent="0.35">
      <c r="B5" s="202" t="s">
        <v>34</v>
      </c>
      <c r="F5" s="202">
        <v>2012</v>
      </c>
      <c r="G5" s="217">
        <f>D12</f>
        <v>40131.699999999997</v>
      </c>
      <c r="H5" s="218">
        <f>D17</f>
        <v>7200</v>
      </c>
      <c r="I5" s="218">
        <f>D22</f>
        <v>29818.970999999998</v>
      </c>
      <c r="J5" s="218">
        <f>D27</f>
        <v>7500</v>
      </c>
      <c r="K5" s="218">
        <f>D32</f>
        <v>2980</v>
      </c>
      <c r="L5" s="218">
        <f>D37</f>
        <v>0</v>
      </c>
      <c r="M5" s="218">
        <f>D42</f>
        <v>500</v>
      </c>
      <c r="N5" s="218">
        <f>D47</f>
        <v>2405</v>
      </c>
      <c r="O5" s="218">
        <f>D52</f>
        <v>135989</v>
      </c>
      <c r="P5" s="218">
        <f>D53</f>
        <v>0</v>
      </c>
      <c r="Q5" s="219">
        <f>SUM(G5:P5)</f>
        <v>226524.671</v>
      </c>
      <c r="R5" s="373">
        <f>P54</f>
        <v>24968</v>
      </c>
      <c r="S5" s="332">
        <f>O5/Q5</f>
        <v>0.60032754666267674</v>
      </c>
      <c r="T5" s="332">
        <f>(J5+(H5*1.63))/Q5</f>
        <v>8.4917902827458466E-2</v>
      </c>
      <c r="U5" s="332">
        <f>L5/Q5</f>
        <v>0</v>
      </c>
      <c r="V5" s="222">
        <f>Q5/R5</f>
        <v>9.0725997677026591</v>
      </c>
    </row>
    <row r="6" spans="2:22" ht="16.2" thickBot="1" x14ac:dyDescent="0.35">
      <c r="C6" s="202" t="s">
        <v>566</v>
      </c>
      <c r="F6" s="202">
        <v>2013</v>
      </c>
      <c r="G6" s="374">
        <f>E12</f>
        <v>41335.5</v>
      </c>
      <c r="H6" s="375">
        <f>E17</f>
        <v>7380</v>
      </c>
      <c r="I6" s="375">
        <f>E22</f>
        <v>30690.764999999999</v>
      </c>
      <c r="J6" s="375">
        <f>E27</f>
        <v>7500</v>
      </c>
      <c r="K6" s="375">
        <f>E32</f>
        <v>2980</v>
      </c>
      <c r="L6" s="375">
        <f>E37</f>
        <v>0</v>
      </c>
      <c r="M6" s="375">
        <f>E42</f>
        <v>0</v>
      </c>
      <c r="N6" s="375">
        <f>E47</f>
        <v>2405</v>
      </c>
      <c r="O6" s="375">
        <f>E52</f>
        <v>135989</v>
      </c>
      <c r="P6" s="375">
        <f>E53</f>
        <v>0</v>
      </c>
      <c r="Q6" s="219">
        <f>SUM(G6:P6)</f>
        <v>228280.26500000001</v>
      </c>
      <c r="R6" s="373">
        <f>Q54</f>
        <v>24968</v>
      </c>
      <c r="S6" s="332">
        <f>O6/Q6</f>
        <v>0.59571071551016463</v>
      </c>
      <c r="T6" s="332">
        <f>(J6+(H6*1.63))/Q6</f>
        <v>8.5550102195649722E-2</v>
      </c>
      <c r="U6" s="332">
        <f>L6/Q6</f>
        <v>0</v>
      </c>
      <c r="V6" s="222">
        <f>Q6/R6</f>
        <v>9.1429135293175268</v>
      </c>
    </row>
    <row r="7" spans="2:22" ht="16.2" thickBot="1" x14ac:dyDescent="0.35">
      <c r="C7" s="227" t="s">
        <v>567</v>
      </c>
      <c r="F7" s="376" t="s">
        <v>178</v>
      </c>
      <c r="G7" s="377">
        <f>SUM(G5:G6)</f>
        <v>81467.199999999997</v>
      </c>
      <c r="H7" s="377">
        <f t="shared" ref="H7:P7" si="0">SUM(H5:H6)</f>
        <v>14580</v>
      </c>
      <c r="I7" s="377">
        <f t="shared" si="0"/>
        <v>60509.735999999997</v>
      </c>
      <c r="J7" s="377">
        <f t="shared" si="0"/>
        <v>15000</v>
      </c>
      <c r="K7" s="377">
        <f t="shared" si="0"/>
        <v>5960</v>
      </c>
      <c r="L7" s="377">
        <f t="shared" si="0"/>
        <v>0</v>
      </c>
      <c r="M7" s="377">
        <f t="shared" si="0"/>
        <v>500</v>
      </c>
      <c r="N7" s="377">
        <f t="shared" si="0"/>
        <v>4810</v>
      </c>
      <c r="O7" s="377">
        <f t="shared" si="0"/>
        <v>271978</v>
      </c>
      <c r="P7" s="377">
        <f t="shared" si="0"/>
        <v>0</v>
      </c>
      <c r="Q7" s="378">
        <f>SUM(G7:P7)</f>
        <v>454804.93599999999</v>
      </c>
      <c r="R7" s="379">
        <f>R54</f>
        <v>49936</v>
      </c>
      <c r="S7" s="332">
        <f>O7/Q7</f>
        <v>0.59801022036401119</v>
      </c>
      <c r="T7" s="332">
        <f>(J7+(H7*1.63))/Q7</f>
        <v>8.5235222688963941E-2</v>
      </c>
      <c r="U7" s="332">
        <f>L7/Q7</f>
        <v>0</v>
      </c>
      <c r="V7" s="222">
        <f>Q7/R7</f>
        <v>9.107756648510092</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40378</v>
      </c>
      <c r="C12" s="244" t="s">
        <v>161</v>
      </c>
      <c r="D12" s="245">
        <f>SUM(D13:D16)</f>
        <v>40131.699999999997</v>
      </c>
      <c r="E12" s="245">
        <f>SUM(E13:E16)</f>
        <v>41335.5</v>
      </c>
      <c r="F12" s="246">
        <f>D12+E12</f>
        <v>81467.199999999997</v>
      </c>
      <c r="H12" s="135"/>
      <c r="I12" s="247" t="str">
        <f t="shared" ref="I12:I53" si="1">C62</f>
        <v>Showerhead - Max 1.50 gpm GWH</v>
      </c>
      <c r="J12" s="248"/>
      <c r="K12" s="249"/>
      <c r="L12" s="380">
        <f t="shared" ref="L12:L53" si="2">D62</f>
        <v>13</v>
      </c>
      <c r="M12" s="3365">
        <v>500</v>
      </c>
      <c r="N12" s="3365">
        <v>500</v>
      </c>
      <c r="O12" s="252">
        <f>M12+N12</f>
        <v>1000</v>
      </c>
      <c r="P12" s="381">
        <f t="shared" ref="P12:R27" si="3">M12*$D62</f>
        <v>6500</v>
      </c>
      <c r="Q12" s="381">
        <f t="shared" si="3"/>
        <v>6500</v>
      </c>
      <c r="R12" s="382">
        <f t="shared" si="3"/>
        <v>13000</v>
      </c>
      <c r="T12" s="267"/>
    </row>
    <row r="13" spans="2:22" ht="13.8" x14ac:dyDescent="0.3">
      <c r="B13" s="256"/>
      <c r="C13" s="257" t="s">
        <v>568</v>
      </c>
      <c r="D13" s="258">
        <v>40131.699999999997</v>
      </c>
      <c r="E13" s="258">
        <v>41335.5</v>
      </c>
      <c r="F13" s="258">
        <f>SUM(D13:E13)</f>
        <v>81467.199999999997</v>
      </c>
      <c r="H13" s="135"/>
      <c r="I13" s="259" t="str">
        <f t="shared" si="1"/>
        <v>Boiler (Domestic Water) Replacement (Calculated)</v>
      </c>
      <c r="J13" s="260"/>
      <c r="K13" s="261"/>
      <c r="L13" s="380">
        <f t="shared" si="2"/>
        <v>1100</v>
      </c>
      <c r="M13" s="3365">
        <v>0</v>
      </c>
      <c r="N13" s="3365">
        <v>0</v>
      </c>
      <c r="O13" s="252">
        <f t="shared" ref="O13:O53" si="4">M13+N13</f>
        <v>0</v>
      </c>
      <c r="P13" s="381">
        <f t="shared" si="3"/>
        <v>0</v>
      </c>
      <c r="Q13" s="381">
        <f t="shared" si="3"/>
        <v>0</v>
      </c>
      <c r="R13" s="382">
        <f t="shared" si="3"/>
        <v>0</v>
      </c>
      <c r="T13" s="296"/>
    </row>
    <row r="14" spans="2:22" ht="13.8" x14ac:dyDescent="0.3">
      <c r="B14" s="264"/>
      <c r="C14" s="265" t="s">
        <v>163</v>
      </c>
      <c r="D14" s="266">
        <v>0</v>
      </c>
      <c r="E14" s="266"/>
      <c r="F14" s="258">
        <f t="shared" ref="F14:F24" si="5">SUM(D14:E14)</f>
        <v>0</v>
      </c>
      <c r="H14" s="135"/>
      <c r="I14" s="259" t="str">
        <f t="shared" si="1"/>
        <v>Boiler (Pool Heating ) (Calculated)</v>
      </c>
      <c r="J14" s="260"/>
      <c r="K14" s="261"/>
      <c r="L14" s="380">
        <f t="shared" si="2"/>
        <v>1190</v>
      </c>
      <c r="M14" s="3365">
        <v>0</v>
      </c>
      <c r="N14" s="3365">
        <v>0</v>
      </c>
      <c r="O14" s="252">
        <f t="shared" si="4"/>
        <v>0</v>
      </c>
      <c r="P14" s="381">
        <f t="shared" si="3"/>
        <v>0</v>
      </c>
      <c r="Q14" s="381">
        <f t="shared" si="3"/>
        <v>0</v>
      </c>
      <c r="R14" s="382">
        <f t="shared" si="3"/>
        <v>0</v>
      </c>
      <c r="T14" s="296"/>
    </row>
    <row r="15" spans="2:22" ht="13.8" x14ac:dyDescent="0.3">
      <c r="B15" s="264"/>
      <c r="C15" s="265" t="s">
        <v>164</v>
      </c>
      <c r="D15" s="268">
        <v>0</v>
      </c>
      <c r="E15" s="268"/>
      <c r="F15" s="258">
        <f t="shared" si="5"/>
        <v>0</v>
      </c>
      <c r="H15" s="135"/>
      <c r="I15" s="259" t="str">
        <f t="shared" si="1"/>
        <v>Solar Pool Heater (Calculated)</v>
      </c>
      <c r="J15" s="260"/>
      <c r="K15" s="261"/>
      <c r="L15" s="380">
        <f t="shared" si="2"/>
        <v>800</v>
      </c>
      <c r="M15" s="3365">
        <v>0</v>
      </c>
      <c r="N15" s="3365">
        <v>0</v>
      </c>
      <c r="O15" s="252">
        <f t="shared" si="4"/>
        <v>0</v>
      </c>
      <c r="P15" s="381">
        <f t="shared" si="3"/>
        <v>0</v>
      </c>
      <c r="Q15" s="381">
        <f t="shared" si="3"/>
        <v>0</v>
      </c>
      <c r="R15" s="382">
        <f t="shared" si="3"/>
        <v>0</v>
      </c>
      <c r="T15" s="296"/>
    </row>
    <row r="16" spans="2:22" ht="14.4" thickBot="1" x14ac:dyDescent="0.35">
      <c r="B16" s="264"/>
      <c r="C16" s="265" t="s">
        <v>165</v>
      </c>
      <c r="D16" s="268">
        <v>0</v>
      </c>
      <c r="E16" s="268"/>
      <c r="F16" s="258">
        <f t="shared" si="5"/>
        <v>0</v>
      </c>
      <c r="H16" s="135"/>
      <c r="I16" s="259" t="str">
        <f t="shared" si="1"/>
        <v>Tankless Water Heater Gas In-unit (.82 EF)</v>
      </c>
      <c r="J16" s="260"/>
      <c r="K16" s="261"/>
      <c r="L16" s="380">
        <f t="shared" si="2"/>
        <v>74</v>
      </c>
      <c r="M16" s="3365">
        <v>0</v>
      </c>
      <c r="N16" s="3365">
        <v>0</v>
      </c>
      <c r="O16" s="252">
        <f t="shared" si="4"/>
        <v>0</v>
      </c>
      <c r="P16" s="381">
        <f t="shared" si="3"/>
        <v>0</v>
      </c>
      <c r="Q16" s="381">
        <f t="shared" si="3"/>
        <v>0</v>
      </c>
      <c r="R16" s="382">
        <f t="shared" si="3"/>
        <v>0</v>
      </c>
      <c r="T16" s="296"/>
    </row>
    <row r="17" spans="2:20" ht="14.4" thickBot="1" x14ac:dyDescent="0.35">
      <c r="B17" s="272">
        <v>6918</v>
      </c>
      <c r="C17" s="244" t="s">
        <v>166</v>
      </c>
      <c r="D17" s="245">
        <f>SUM(D18:D21)</f>
        <v>7200</v>
      </c>
      <c r="E17" s="245">
        <f>SUM(E18:E21)</f>
        <v>7380</v>
      </c>
      <c r="F17" s="246">
        <f>D17+E17</f>
        <v>14580</v>
      </c>
      <c r="H17" s="135"/>
      <c r="I17" s="259" t="str">
        <f t="shared" si="1"/>
        <v>Gas Water Heater (.67 EF)</v>
      </c>
      <c r="J17" s="260"/>
      <c r="K17" s="261"/>
      <c r="L17" s="380">
        <f t="shared" si="2"/>
        <v>24</v>
      </c>
      <c r="M17" s="3365">
        <v>0</v>
      </c>
      <c r="N17" s="3365">
        <v>0</v>
      </c>
      <c r="O17" s="252">
        <f t="shared" si="4"/>
        <v>0</v>
      </c>
      <c r="P17" s="381">
        <f t="shared" si="3"/>
        <v>0</v>
      </c>
      <c r="Q17" s="381">
        <f t="shared" si="3"/>
        <v>0</v>
      </c>
      <c r="R17" s="382">
        <f t="shared" si="3"/>
        <v>0</v>
      </c>
      <c r="T17" s="296"/>
    </row>
    <row r="18" spans="2:20" ht="13.8" x14ac:dyDescent="0.3">
      <c r="B18" s="256"/>
      <c r="C18" s="257" t="s">
        <v>523</v>
      </c>
      <c r="D18" s="258">
        <v>6000</v>
      </c>
      <c r="E18" s="258">
        <v>6150</v>
      </c>
      <c r="F18" s="258">
        <f t="shared" si="5"/>
        <v>12150</v>
      </c>
      <c r="H18" s="135"/>
      <c r="I18" s="259" t="str">
        <f t="shared" si="1"/>
        <v>Attic Insulation R-0 to R-38 MF</v>
      </c>
      <c r="J18" s="260"/>
      <c r="K18" s="261"/>
      <c r="L18" s="380">
        <f t="shared" si="2"/>
        <v>0.09</v>
      </c>
      <c r="M18" s="3365">
        <v>100000</v>
      </c>
      <c r="N18" s="3365">
        <v>100000</v>
      </c>
      <c r="O18" s="252">
        <f t="shared" si="4"/>
        <v>200000</v>
      </c>
      <c r="P18" s="381">
        <f t="shared" si="3"/>
        <v>9000</v>
      </c>
      <c r="Q18" s="381">
        <f t="shared" si="3"/>
        <v>9000</v>
      </c>
      <c r="R18" s="382">
        <f t="shared" si="3"/>
        <v>18000</v>
      </c>
      <c r="T18" s="296"/>
    </row>
    <row r="19" spans="2:20" ht="13.8" x14ac:dyDescent="0.3">
      <c r="B19" s="264"/>
      <c r="C19" s="265" t="s">
        <v>524</v>
      </c>
      <c r="D19" s="266">
        <v>1200</v>
      </c>
      <c r="E19" s="266">
        <v>1230</v>
      </c>
      <c r="F19" s="258">
        <f t="shared" si="5"/>
        <v>2430</v>
      </c>
      <c r="H19" s="135"/>
      <c r="I19" s="259" t="str">
        <f t="shared" si="1"/>
        <v>Attic Insulation R-11 to R-38 MF</v>
      </c>
      <c r="J19" s="260"/>
      <c r="K19" s="261"/>
      <c r="L19" s="380">
        <f t="shared" si="2"/>
        <v>0.05</v>
      </c>
      <c r="M19" s="3365">
        <v>0</v>
      </c>
      <c r="N19" s="3365">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Attic Insulation R-19 to R-38 MF</v>
      </c>
      <c r="J20" s="260"/>
      <c r="K20" s="261"/>
      <c r="L20" s="380">
        <f t="shared" si="2"/>
        <v>0.02</v>
      </c>
      <c r="M20" s="3365">
        <v>0</v>
      </c>
      <c r="N20" s="3365">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Floor Insulation R-0 to R-30 MF</v>
      </c>
      <c r="J21" s="260"/>
      <c r="K21" s="261"/>
      <c r="L21" s="380">
        <f t="shared" si="2"/>
        <v>0.05</v>
      </c>
      <c r="M21" s="3365">
        <v>0</v>
      </c>
      <c r="N21" s="3365">
        <v>0</v>
      </c>
      <c r="O21" s="252">
        <f t="shared" si="4"/>
        <v>0</v>
      </c>
      <c r="P21" s="381">
        <f t="shared" si="3"/>
        <v>0</v>
      </c>
      <c r="Q21" s="381">
        <f t="shared" si="3"/>
        <v>0</v>
      </c>
      <c r="R21" s="382">
        <f t="shared" si="3"/>
        <v>0</v>
      </c>
      <c r="T21" s="296"/>
    </row>
    <row r="22" spans="2:20" ht="14.4" thickBot="1" x14ac:dyDescent="0.35">
      <c r="B22" s="272">
        <v>30742</v>
      </c>
      <c r="C22" s="244" t="s">
        <v>167</v>
      </c>
      <c r="D22" s="245">
        <f>SUM(D23:D26)</f>
        <v>29818.970999999998</v>
      </c>
      <c r="E22" s="245">
        <f>SUM(E23:E26)</f>
        <v>30690.764999999999</v>
      </c>
      <c r="F22" s="246">
        <f>D22+E22</f>
        <v>60509.735999999997</v>
      </c>
      <c r="G22" s="55"/>
      <c r="H22" s="135"/>
      <c r="I22" s="259" t="str">
        <f t="shared" si="1"/>
        <v>Floor Insulation R-0 to R-19 MF</v>
      </c>
      <c r="J22" s="260"/>
      <c r="K22" s="261"/>
      <c r="L22" s="380">
        <f t="shared" si="2"/>
        <v>0.04</v>
      </c>
      <c r="M22" s="3365">
        <v>0</v>
      </c>
      <c r="N22" s="3365">
        <v>0</v>
      </c>
      <c r="O22" s="252">
        <f t="shared" si="4"/>
        <v>0</v>
      </c>
      <c r="P22" s="381">
        <f t="shared" si="3"/>
        <v>0</v>
      </c>
      <c r="Q22" s="381">
        <f t="shared" si="3"/>
        <v>0</v>
      </c>
      <c r="R22" s="382">
        <f t="shared" si="3"/>
        <v>0</v>
      </c>
      <c r="T22" s="296"/>
    </row>
    <row r="23" spans="2:20" ht="13.8" x14ac:dyDescent="0.3">
      <c r="B23" s="256"/>
      <c r="C23" s="257" t="s">
        <v>168</v>
      </c>
      <c r="D23" s="258">
        <f>0.63*D12</f>
        <v>25282.970999999998</v>
      </c>
      <c r="E23" s="258">
        <f>0.63*E12</f>
        <v>26041.365000000002</v>
      </c>
      <c r="F23" s="258">
        <f t="shared" si="5"/>
        <v>51324.335999999996</v>
      </c>
      <c r="H23" s="135"/>
      <c r="I23" s="259" t="str">
        <f t="shared" si="1"/>
        <v>Floor Insulation R-11 to R-30 MF</v>
      </c>
      <c r="J23" s="260"/>
      <c r="K23" s="261"/>
      <c r="L23" s="380">
        <f t="shared" si="2"/>
        <v>0.03</v>
      </c>
      <c r="M23" s="3365">
        <v>0</v>
      </c>
      <c r="N23" s="3365">
        <v>0</v>
      </c>
      <c r="O23" s="252">
        <f t="shared" si="4"/>
        <v>0</v>
      </c>
      <c r="P23" s="381">
        <f t="shared" si="3"/>
        <v>0</v>
      </c>
      <c r="Q23" s="381">
        <f t="shared" si="3"/>
        <v>0</v>
      </c>
      <c r="R23" s="382">
        <f t="shared" si="3"/>
        <v>0</v>
      </c>
      <c r="T23" s="296"/>
    </row>
    <row r="24" spans="2:20" ht="13.8" x14ac:dyDescent="0.3">
      <c r="B24" s="256"/>
      <c r="C24" s="257" t="s">
        <v>169</v>
      </c>
      <c r="D24" s="266">
        <f>0.63*D17</f>
        <v>4536</v>
      </c>
      <c r="E24" s="266">
        <f>0.63*E17</f>
        <v>4649.3999999999996</v>
      </c>
      <c r="F24" s="258">
        <f t="shared" si="5"/>
        <v>9185.4</v>
      </c>
      <c r="H24" s="135"/>
      <c r="I24" s="259" t="str">
        <f t="shared" si="1"/>
        <v>Wall Insulation R-0 to R-11 MF</v>
      </c>
      <c r="J24" s="260"/>
      <c r="K24" s="261"/>
      <c r="L24" s="380">
        <f t="shared" si="2"/>
        <v>0.05</v>
      </c>
      <c r="M24" s="3365">
        <v>0</v>
      </c>
      <c r="N24" s="3365">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Windows (single to double paned) U= 1.2 to 0.30</v>
      </c>
      <c r="J25" s="260"/>
      <c r="K25" s="261"/>
      <c r="L25" s="380">
        <f t="shared" si="2"/>
        <v>0.88</v>
      </c>
      <c r="M25" s="3365">
        <v>0</v>
      </c>
      <c r="N25" s="3365">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Windows (single to triple paned) U= 1.2 to 0.22</v>
      </c>
      <c r="J26" s="260"/>
      <c r="K26" s="261"/>
      <c r="L26" s="380">
        <f t="shared" si="2"/>
        <v>0.96</v>
      </c>
      <c r="M26" s="3365">
        <v>0</v>
      </c>
      <c r="N26" s="3365">
        <v>0</v>
      </c>
      <c r="O26" s="252">
        <f t="shared" si="4"/>
        <v>0</v>
      </c>
      <c r="P26" s="381">
        <f t="shared" si="3"/>
        <v>0</v>
      </c>
      <c r="Q26" s="381">
        <f t="shared" si="3"/>
        <v>0</v>
      </c>
      <c r="R26" s="382">
        <f t="shared" si="3"/>
        <v>0</v>
      </c>
      <c r="T26" s="296"/>
    </row>
    <row r="27" spans="2:20" ht="14.4" thickBot="1" x14ac:dyDescent="0.35">
      <c r="B27" s="272">
        <v>6133</v>
      </c>
      <c r="C27" s="244" t="s">
        <v>170</v>
      </c>
      <c r="D27" s="245">
        <f>SUM(D28:D31)</f>
        <v>7500</v>
      </c>
      <c r="E27" s="245">
        <f>SUM(E28:E31)</f>
        <v>7500</v>
      </c>
      <c r="F27" s="246">
        <f>D27+E27</f>
        <v>15000</v>
      </c>
      <c r="H27" s="135"/>
      <c r="I27" s="259" t="str">
        <f t="shared" si="1"/>
        <v xml:space="preserve">Furnaces .90 + In Unit </v>
      </c>
      <c r="J27" s="260"/>
      <c r="K27" s="261"/>
      <c r="L27" s="380">
        <f t="shared" si="2"/>
        <v>66</v>
      </c>
      <c r="M27" s="3365">
        <v>10</v>
      </c>
      <c r="N27" s="3365">
        <v>10</v>
      </c>
      <c r="O27" s="252">
        <f t="shared" si="4"/>
        <v>20</v>
      </c>
      <c r="P27" s="381">
        <f t="shared" si="3"/>
        <v>660</v>
      </c>
      <c r="Q27" s="381">
        <f t="shared" si="3"/>
        <v>660</v>
      </c>
      <c r="R27" s="382">
        <f t="shared" si="3"/>
        <v>1320</v>
      </c>
      <c r="T27" s="296"/>
    </row>
    <row r="28" spans="2:20" ht="13.8" x14ac:dyDescent="0.3">
      <c r="B28" s="256"/>
      <c r="C28" s="257" t="s">
        <v>12</v>
      </c>
      <c r="D28" s="258">
        <v>7500</v>
      </c>
      <c r="E28" s="258">
        <v>7500</v>
      </c>
      <c r="F28" s="258">
        <f t="shared" ref="F28:F36" si="6">SUM(D28:E28)</f>
        <v>15000</v>
      </c>
      <c r="H28" s="135"/>
      <c r="I28" s="259" t="str">
        <f t="shared" si="1"/>
        <v>Boiler (Space Heating ) Replacement (Calculated)</v>
      </c>
      <c r="J28" s="260"/>
      <c r="K28" s="261"/>
      <c r="L28" s="380">
        <f t="shared" si="2"/>
        <v>734</v>
      </c>
      <c r="M28" s="3365">
        <v>12</v>
      </c>
      <c r="N28" s="3365">
        <v>12</v>
      </c>
      <c r="O28" s="252">
        <f t="shared" si="4"/>
        <v>24</v>
      </c>
      <c r="P28" s="381">
        <f t="shared" ref="P28:R43" si="7">M28*$D78</f>
        <v>8808</v>
      </c>
      <c r="Q28" s="381">
        <f t="shared" si="7"/>
        <v>8808</v>
      </c>
      <c r="R28" s="382">
        <f t="shared" si="7"/>
        <v>17616</v>
      </c>
      <c r="T28" s="296"/>
    </row>
    <row r="29" spans="2:20" ht="13.8" x14ac:dyDescent="0.3">
      <c r="B29" s="264"/>
      <c r="C29" s="265" t="s">
        <v>163</v>
      </c>
      <c r="D29" s="266">
        <v>0</v>
      </c>
      <c r="E29" s="266"/>
      <c r="F29" s="258">
        <f t="shared" si="6"/>
        <v>0</v>
      </c>
      <c r="H29" s="135"/>
      <c r="I29" s="259" t="str">
        <f t="shared" si="1"/>
        <v>Boiler (Space Heating - Steam ) Replacement (Calculated)</v>
      </c>
      <c r="J29" s="260"/>
      <c r="K29" s="261"/>
      <c r="L29" s="380">
        <f t="shared" si="2"/>
        <v>845</v>
      </c>
      <c r="M29" s="3365">
        <v>0</v>
      </c>
      <c r="N29" s="3365">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Boiler (Domestic Water + Space Heating) Replacement (Calculated)</v>
      </c>
      <c r="J30" s="260"/>
      <c r="K30" s="261"/>
      <c r="L30" s="380">
        <f t="shared" si="2"/>
        <v>1559</v>
      </c>
      <c r="M30" s="3365">
        <v>0</v>
      </c>
      <c r="N30" s="3365">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3870" t="str">
        <f t="shared" si="1"/>
        <v>Aerator</v>
      </c>
      <c r="J31" s="260"/>
      <c r="K31" s="261"/>
      <c r="L31" s="380">
        <f t="shared" si="2"/>
        <v>1</v>
      </c>
      <c r="M31" s="267">
        <v>0</v>
      </c>
      <c r="N31" s="267">
        <v>0</v>
      </c>
      <c r="O31" s="252">
        <f t="shared" si="4"/>
        <v>0</v>
      </c>
      <c r="P31" s="381">
        <f t="shared" si="7"/>
        <v>0</v>
      </c>
      <c r="Q31" s="381">
        <f t="shared" si="7"/>
        <v>0</v>
      </c>
      <c r="R31" s="382">
        <f t="shared" si="7"/>
        <v>0</v>
      </c>
      <c r="T31" s="296"/>
    </row>
    <row r="32" spans="2:20" ht="14.4" thickBot="1" x14ac:dyDescent="0.35">
      <c r="B32" s="272">
        <v>242</v>
      </c>
      <c r="C32" s="244" t="s">
        <v>171</v>
      </c>
      <c r="D32" s="245">
        <f>SUM(D33:D36)</f>
        <v>2980</v>
      </c>
      <c r="E32" s="245">
        <f>SUM(E33:E36)</f>
        <v>2980</v>
      </c>
      <c r="F32" s="246">
        <f>D32+E32</f>
        <v>5960</v>
      </c>
      <c r="H32" s="135"/>
      <c r="I32" s="3870" t="str">
        <f t="shared" si="1"/>
        <v>Custom Analysis</v>
      </c>
      <c r="J32" s="260"/>
      <c r="K32" s="261"/>
      <c r="L32" s="380">
        <f t="shared" si="2"/>
        <v>1</v>
      </c>
      <c r="M32" s="267">
        <v>0</v>
      </c>
      <c r="N32" s="267">
        <v>0</v>
      </c>
      <c r="O32" s="252">
        <f t="shared" si="4"/>
        <v>0</v>
      </c>
      <c r="P32" s="381">
        <f t="shared" si="7"/>
        <v>0</v>
      </c>
      <c r="Q32" s="381">
        <f t="shared" si="7"/>
        <v>0</v>
      </c>
      <c r="R32" s="382">
        <f t="shared" si="7"/>
        <v>0</v>
      </c>
      <c r="T32" s="296"/>
    </row>
    <row r="33" spans="2:20" ht="13.8" x14ac:dyDescent="0.3">
      <c r="B33" s="264"/>
      <c r="C33" s="265" t="s">
        <v>526</v>
      </c>
      <c r="D33" s="266">
        <v>2980</v>
      </c>
      <c r="E33" s="266">
        <v>2980</v>
      </c>
      <c r="F33" s="258">
        <f t="shared" si="6"/>
        <v>5960</v>
      </c>
      <c r="H33" s="135"/>
      <c r="I33" s="3870" t="str">
        <f t="shared" si="1"/>
        <v>Hydronic Heating</v>
      </c>
      <c r="J33" s="260"/>
      <c r="K33" s="261"/>
      <c r="L33" s="380">
        <f t="shared" si="2"/>
        <v>1</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3870" t="str">
        <f t="shared" si="1"/>
        <v>Energy Efficient Doors</v>
      </c>
      <c r="J34" s="260"/>
      <c r="K34" s="261"/>
      <c r="L34" s="380">
        <f t="shared" si="2"/>
        <v>1</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3870" t="str">
        <f t="shared" si="1"/>
        <v>Structure Air Sealing</v>
      </c>
      <c r="J35" s="260"/>
      <c r="K35" s="261"/>
      <c r="L35" s="380">
        <f t="shared" si="2"/>
        <v>9.1999999999999998E-2</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3870" t="str">
        <f t="shared" si="1"/>
        <v>ERV/HRV</v>
      </c>
      <c r="J36" s="260"/>
      <c r="K36" s="261"/>
      <c r="L36" s="380">
        <f t="shared" si="2"/>
        <v>1</v>
      </c>
      <c r="M36" s="267">
        <v>0</v>
      </c>
      <c r="N36" s="267">
        <v>0</v>
      </c>
      <c r="O36" s="252">
        <f t="shared" si="4"/>
        <v>0</v>
      </c>
      <c r="P36" s="381">
        <f t="shared" si="7"/>
        <v>0</v>
      </c>
      <c r="Q36" s="381">
        <f t="shared" si="7"/>
        <v>0</v>
      </c>
      <c r="R36" s="382">
        <f t="shared" si="7"/>
        <v>0</v>
      </c>
      <c r="T36" s="296"/>
    </row>
    <row r="37" spans="2:20" ht="14.4" thickBot="1" x14ac:dyDescent="0.35">
      <c r="B37" s="272">
        <v>46680</v>
      </c>
      <c r="C37" s="244" t="s">
        <v>172</v>
      </c>
      <c r="D37" s="245">
        <f>SUM(D38:D41)</f>
        <v>0</v>
      </c>
      <c r="E37" s="245">
        <f>SUM(E38:E41)</f>
        <v>0</v>
      </c>
      <c r="F37" s="246">
        <f>D37+E37</f>
        <v>0</v>
      </c>
      <c r="H37" s="135"/>
      <c r="I37" s="259" t="str">
        <f t="shared" si="1"/>
        <v>Air Sealing</v>
      </c>
      <c r="J37" s="260"/>
      <c r="K37" s="270"/>
      <c r="L37" s="380">
        <f t="shared" si="2"/>
        <v>0.08</v>
      </c>
      <c r="M37" s="267">
        <v>0</v>
      </c>
      <c r="N37" s="267">
        <v>0</v>
      </c>
      <c r="O37" s="252">
        <f t="shared" si="4"/>
        <v>0</v>
      </c>
      <c r="P37" s="381">
        <f t="shared" si="7"/>
        <v>0</v>
      </c>
      <c r="Q37" s="381">
        <f t="shared" si="7"/>
        <v>0</v>
      </c>
      <c r="R37" s="382">
        <f t="shared" si="7"/>
        <v>0</v>
      </c>
      <c r="T37" s="296"/>
    </row>
    <row r="38" spans="2:20" ht="13.8" x14ac:dyDescent="0.3">
      <c r="B38" s="264"/>
      <c r="C38" s="265" t="s">
        <v>162</v>
      </c>
      <c r="D38" s="266">
        <v>0</v>
      </c>
      <c r="E38" s="266"/>
      <c r="F38" s="258">
        <f t="shared" ref="F38:F51" si="8">SUM(D38:E38)</f>
        <v>0</v>
      </c>
      <c r="H38" s="135"/>
      <c r="I38" s="259" t="str">
        <f t="shared" si="1"/>
        <v>Air Sealing &amp; Insulation</v>
      </c>
      <c r="J38" s="260"/>
      <c r="K38" s="270"/>
      <c r="L38" s="380">
        <f t="shared" si="2"/>
        <v>0.14000000000000001</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v>83713</v>
      </c>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0</v>
      </c>
      <c r="C42" s="244" t="s">
        <v>173</v>
      </c>
      <c r="D42" s="245">
        <f>SUM(D43:D46)</f>
        <v>500</v>
      </c>
      <c r="E42" s="245">
        <f>SUM(E43:E46)</f>
        <v>0</v>
      </c>
      <c r="F42" s="246">
        <f>D42+E42</f>
        <v>500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66">
        <v>500</v>
      </c>
      <c r="E43" s="266"/>
      <c r="F43" s="258">
        <f t="shared" si="8"/>
        <v>500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1261</v>
      </c>
      <c r="C47" s="244" t="s">
        <v>174</v>
      </c>
      <c r="D47" s="245">
        <f>SUM(D48:D51)</f>
        <v>2405</v>
      </c>
      <c r="E47" s="245">
        <f>SUM(E48:E51)</f>
        <v>2405</v>
      </c>
      <c r="F47" s="246">
        <f>D47+E47</f>
        <v>4810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528</v>
      </c>
      <c r="D48" s="266">
        <v>120</v>
      </c>
      <c r="E48" s="266">
        <v>120</v>
      </c>
      <c r="F48" s="258">
        <f t="shared" si="8"/>
        <v>240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529</v>
      </c>
      <c r="D49" s="266">
        <v>1285</v>
      </c>
      <c r="E49" s="266">
        <v>1285</v>
      </c>
      <c r="F49" s="258">
        <f t="shared" si="8"/>
        <v>2570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530</v>
      </c>
      <c r="D50" s="266">
        <v>1000</v>
      </c>
      <c r="E50" s="266">
        <v>1000</v>
      </c>
      <c r="F50" s="258">
        <f t="shared" si="8"/>
        <v>2000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474421</v>
      </c>
      <c r="C52" s="244" t="s">
        <v>175</v>
      </c>
      <c r="D52" s="245">
        <f>S104</f>
        <v>135989</v>
      </c>
      <c r="E52" s="245">
        <f>T104</f>
        <v>135989</v>
      </c>
      <c r="F52" s="246">
        <f>U104</f>
        <v>271978</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606775</v>
      </c>
      <c r="C54" s="274" t="s">
        <v>178</v>
      </c>
      <c r="D54" s="273">
        <f>D12+D17+D22+D27+D32+D37+D42+D47+D52+D53</f>
        <v>226524.671</v>
      </c>
      <c r="E54" s="273">
        <f>E12+E17+E22+E27+E32+E37+E42+E47+E52+E53</f>
        <v>228280.26500000001</v>
      </c>
      <c r="F54" s="273">
        <f>F12+F17+F22+F27+F32+F37+F42+F47+F52+F53</f>
        <v>454804.93599999999</v>
      </c>
      <c r="P54" s="385">
        <f>SUM(P12:P53)</f>
        <v>24968</v>
      </c>
      <c r="Q54" s="385">
        <f>SUM(Q12:Q53)</f>
        <v>24968</v>
      </c>
      <c r="R54" s="385">
        <f>SUM(R12:R53)</f>
        <v>49936</v>
      </c>
      <c r="T54" s="385">
        <f>SUM(T12:T53)</f>
        <v>83713</v>
      </c>
    </row>
    <row r="55" spans="2:24" ht="13.8" x14ac:dyDescent="0.3">
      <c r="C55" s="274"/>
      <c r="D55" s="273"/>
      <c r="E55" s="273"/>
      <c r="F55" s="273"/>
    </row>
    <row r="56" spans="2:24" ht="13.8" x14ac:dyDescent="0.3">
      <c r="C56" s="274" t="s">
        <v>179</v>
      </c>
      <c r="D56" s="273">
        <f>D54-D52</f>
        <v>90535.671000000002</v>
      </c>
      <c r="E56" s="273">
        <f>E54-E52</f>
        <v>92291.265000000014</v>
      </c>
      <c r="F56" s="273">
        <f>F54-F52</f>
        <v>182826.93599999999</v>
      </c>
    </row>
    <row r="57" spans="2:24" ht="13.8" x14ac:dyDescent="0.3">
      <c r="C57" s="274" t="s">
        <v>180</v>
      </c>
      <c r="D57" s="276">
        <f>D52</f>
        <v>135989</v>
      </c>
      <c r="E57" s="276">
        <f>E52</f>
        <v>135989</v>
      </c>
      <c r="F57" s="276">
        <f>F52</f>
        <v>271978</v>
      </c>
      <c r="G57" s="335">
        <f>F57/(F56+F57)</f>
        <v>0.59801022036401119</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714" t="s">
        <v>673</v>
      </c>
      <c r="D62" s="4714">
        <v>13</v>
      </c>
      <c r="E62" s="4714" t="s">
        <v>617</v>
      </c>
      <c r="F62" s="4714" t="s">
        <v>211</v>
      </c>
      <c r="G62" s="4715">
        <v>17.329999999999998</v>
      </c>
      <c r="H62" s="4715">
        <v>17.329999999999998</v>
      </c>
      <c r="I62" s="4720">
        <v>0.26033322652995833</v>
      </c>
      <c r="J62" s="4714">
        <v>10</v>
      </c>
      <c r="K62" s="4714" t="s">
        <v>259</v>
      </c>
      <c r="L62" s="4718">
        <v>1.1166965557395694</v>
      </c>
      <c r="M62" s="4718">
        <v>1.1166965557395694</v>
      </c>
      <c r="N62" s="4719">
        <v>60060.98625852562</v>
      </c>
      <c r="O62" s="4719">
        <v>60060.98625852562</v>
      </c>
      <c r="P62" s="4719">
        <v>67069.896489217164</v>
      </c>
      <c r="Q62" s="4719">
        <v>67069.896489217164</v>
      </c>
      <c r="R62" s="4717">
        <v>1.081</v>
      </c>
      <c r="S62" s="3364">
        <f>M12*H62</f>
        <v>8665</v>
      </c>
      <c r="T62" s="3364">
        <f>N12*H62</f>
        <v>8665</v>
      </c>
      <c r="U62" s="3364">
        <f>S62+T62</f>
        <v>17330</v>
      </c>
      <c r="V62" s="338">
        <f>U62/(U62+(I62*F$56))</f>
        <v>0.26691956555494067</v>
      </c>
      <c r="W62" s="338">
        <f t="shared" ref="W62:W80" si="10">(I62*((F$17*1.63)+F$27))/(U62+(I62*F$56))</f>
        <v>0.15543746941881967</v>
      </c>
      <c r="X62" s="338">
        <f>(I62*F$37)/(U62+(I62*F$56))</f>
        <v>0</v>
      </c>
    </row>
    <row r="63" spans="2:24" ht="13.8" x14ac:dyDescent="0.3">
      <c r="B63" s="296"/>
      <c r="C63" s="4713" t="s">
        <v>674</v>
      </c>
      <c r="D63" s="4713">
        <v>1100</v>
      </c>
      <c r="E63" s="4713" t="s">
        <v>617</v>
      </c>
      <c r="F63" s="4713" t="s">
        <v>341</v>
      </c>
      <c r="G63" s="4715">
        <v>11560</v>
      </c>
      <c r="H63" s="4715">
        <v>6150</v>
      </c>
      <c r="I63" s="4720">
        <v>0</v>
      </c>
      <c r="J63" s="4714">
        <v>15</v>
      </c>
      <c r="K63" s="4714" t="s">
        <v>259</v>
      </c>
      <c r="L63" s="4718" t="e">
        <v>#DIV/0!</v>
      </c>
      <c r="M63" s="4718" t="e">
        <v>#DIV/0!</v>
      </c>
      <c r="N63" s="4719">
        <v>0</v>
      </c>
      <c r="O63" s="4719">
        <v>0</v>
      </c>
      <c r="P63" s="4719">
        <v>0</v>
      </c>
      <c r="Q63" s="4719">
        <v>0</v>
      </c>
      <c r="R63" s="4717">
        <v>1.081</v>
      </c>
      <c r="S63" s="4716">
        <f t="shared" ref="S63:S103" si="11">M13*H63</f>
        <v>0</v>
      </c>
      <c r="T63" s="4716">
        <f t="shared" ref="T63:T103" si="12">N13*H63</f>
        <v>0</v>
      </c>
      <c r="U63" s="4716">
        <f t="shared" ref="U63:U103" si="13">S63+T63</f>
        <v>0</v>
      </c>
      <c r="V63" s="338" t="e">
        <f t="shared" ref="V63:V80" si="14">U63/(U63+(I63*F$56))</f>
        <v>#DIV/0!</v>
      </c>
      <c r="W63" s="338" t="e">
        <f t="shared" si="10"/>
        <v>#DIV/0!</v>
      </c>
      <c r="X63" s="338" t="e">
        <f t="shared" ref="X63:X80" si="15">(I63*F$37)/(U63+(I63*F$56))</f>
        <v>#DIV/0!</v>
      </c>
    </row>
    <row r="64" spans="2:24" ht="13.8" x14ac:dyDescent="0.3">
      <c r="B64" s="296"/>
      <c r="C64" s="4713" t="s">
        <v>675</v>
      </c>
      <c r="D64" s="4713">
        <v>1190</v>
      </c>
      <c r="E64" s="4713" t="s">
        <v>617</v>
      </c>
      <c r="F64" s="4713" t="s">
        <v>533</v>
      </c>
      <c r="G64" s="4715">
        <v>10948</v>
      </c>
      <c r="H64" s="4715">
        <v>2846</v>
      </c>
      <c r="I64" s="4720">
        <v>0</v>
      </c>
      <c r="J64" s="4714">
        <v>15</v>
      </c>
      <c r="K64" s="4714"/>
      <c r="L64" s="4718" t="e">
        <v>#DIV/0!</v>
      </c>
      <c r="M64" s="4718" t="e">
        <v>#DIV/0!</v>
      </c>
      <c r="N64" s="4719">
        <v>0</v>
      </c>
      <c r="O64" s="4719">
        <v>0</v>
      </c>
      <c r="P64" s="4719">
        <v>0</v>
      </c>
      <c r="Q64" s="4719">
        <v>0</v>
      </c>
      <c r="R64" s="4717">
        <v>1.081</v>
      </c>
      <c r="S64" s="4716">
        <f t="shared" si="11"/>
        <v>0</v>
      </c>
      <c r="T64" s="4716">
        <f t="shared" si="12"/>
        <v>0</v>
      </c>
      <c r="U64" s="4716">
        <f t="shared" si="13"/>
        <v>0</v>
      </c>
      <c r="V64" s="338" t="e">
        <f t="shared" si="14"/>
        <v>#DIV/0!</v>
      </c>
      <c r="W64" s="338" t="e">
        <f t="shared" si="10"/>
        <v>#DIV/0!</v>
      </c>
      <c r="X64" s="338" t="e">
        <f t="shared" si="15"/>
        <v>#DIV/0!</v>
      </c>
    </row>
    <row r="65" spans="2:24" ht="13.8" x14ac:dyDescent="0.3">
      <c r="B65" s="296"/>
      <c r="C65" s="4713" t="s">
        <v>532</v>
      </c>
      <c r="D65" s="4713">
        <v>800</v>
      </c>
      <c r="E65" s="4713" t="s">
        <v>617</v>
      </c>
      <c r="F65" s="4713" t="s">
        <v>533</v>
      </c>
      <c r="G65" s="4715">
        <v>8000</v>
      </c>
      <c r="H65" s="4715">
        <v>4000</v>
      </c>
      <c r="I65" s="4720">
        <v>0</v>
      </c>
      <c r="J65" s="4714">
        <v>12</v>
      </c>
      <c r="K65" s="4714"/>
      <c r="L65" s="4718" t="e">
        <v>#DIV/0!</v>
      </c>
      <c r="M65" s="4718" t="e">
        <v>#DIV/0!</v>
      </c>
      <c r="N65" s="4719">
        <v>0</v>
      </c>
      <c r="O65" s="4719">
        <v>0</v>
      </c>
      <c r="P65" s="4719">
        <v>0</v>
      </c>
      <c r="Q65" s="4719">
        <v>0</v>
      </c>
      <c r="R65" s="4717">
        <v>1.081</v>
      </c>
      <c r="S65" s="4716">
        <f t="shared" si="11"/>
        <v>0</v>
      </c>
      <c r="T65" s="4716">
        <f t="shared" si="12"/>
        <v>0</v>
      </c>
      <c r="U65" s="4716">
        <f t="shared" si="13"/>
        <v>0</v>
      </c>
      <c r="V65" s="338" t="e">
        <f t="shared" si="14"/>
        <v>#DIV/0!</v>
      </c>
      <c r="W65" s="338" t="e">
        <f t="shared" si="10"/>
        <v>#DIV/0!</v>
      </c>
      <c r="X65" s="338" t="e">
        <f t="shared" si="15"/>
        <v>#DIV/0!</v>
      </c>
    </row>
    <row r="66" spans="2:24" ht="13.8" x14ac:dyDescent="0.3">
      <c r="B66" s="296"/>
      <c r="C66" s="4713" t="s">
        <v>676</v>
      </c>
      <c r="D66" s="4713">
        <v>74</v>
      </c>
      <c r="E66" s="4713" t="s">
        <v>617</v>
      </c>
      <c r="F66" s="4713" t="s">
        <v>211</v>
      </c>
      <c r="G66" s="4715">
        <v>855</v>
      </c>
      <c r="H66" s="4715">
        <v>150</v>
      </c>
      <c r="I66" s="4720">
        <v>0</v>
      </c>
      <c r="J66" s="4714">
        <v>20</v>
      </c>
      <c r="K66" s="4714" t="s">
        <v>259</v>
      </c>
      <c r="L66" s="4718" t="e">
        <v>#DIV/0!</v>
      </c>
      <c r="M66" s="4718" t="e">
        <v>#DIV/0!</v>
      </c>
      <c r="N66" s="4719">
        <v>0</v>
      </c>
      <c r="O66" s="4719">
        <v>0</v>
      </c>
      <c r="P66" s="4719">
        <v>0</v>
      </c>
      <c r="Q66" s="4719">
        <v>0</v>
      </c>
      <c r="R66" s="4717">
        <v>1.081</v>
      </c>
      <c r="S66" s="4716">
        <f t="shared" si="11"/>
        <v>0</v>
      </c>
      <c r="T66" s="4716">
        <f t="shared" si="12"/>
        <v>0</v>
      </c>
      <c r="U66" s="4716">
        <f t="shared" si="13"/>
        <v>0</v>
      </c>
      <c r="V66" s="338" t="e">
        <f t="shared" si="14"/>
        <v>#DIV/0!</v>
      </c>
      <c r="W66" s="338" t="e">
        <f t="shared" si="10"/>
        <v>#DIV/0!</v>
      </c>
      <c r="X66" s="338" t="e">
        <f t="shared" si="15"/>
        <v>#DIV/0!</v>
      </c>
    </row>
    <row r="67" spans="2:24" ht="13.8" x14ac:dyDescent="0.3">
      <c r="B67" s="296"/>
      <c r="C67" s="4713" t="s">
        <v>677</v>
      </c>
      <c r="D67" s="4713">
        <v>24</v>
      </c>
      <c r="E67" s="4713" t="s">
        <v>617</v>
      </c>
      <c r="F67" s="4713" t="s">
        <v>211</v>
      </c>
      <c r="G67" s="4715">
        <v>158</v>
      </c>
      <c r="H67" s="4734">
        <v>50</v>
      </c>
      <c r="I67" s="4720">
        <v>0</v>
      </c>
      <c r="J67" s="4714">
        <v>13</v>
      </c>
      <c r="K67" s="4714" t="s">
        <v>259</v>
      </c>
      <c r="L67" s="4718" t="e">
        <v>#DIV/0!</v>
      </c>
      <c r="M67" s="4718" t="e">
        <v>#DIV/0!</v>
      </c>
      <c r="N67" s="4719">
        <v>0</v>
      </c>
      <c r="O67" s="4719">
        <v>0</v>
      </c>
      <c r="P67" s="4719">
        <v>0</v>
      </c>
      <c r="Q67" s="4719">
        <v>0</v>
      </c>
      <c r="R67" s="4717">
        <v>1.081</v>
      </c>
      <c r="S67" s="4716">
        <f t="shared" si="11"/>
        <v>0</v>
      </c>
      <c r="T67" s="4716">
        <f t="shared" si="12"/>
        <v>0</v>
      </c>
      <c r="U67" s="4716">
        <f t="shared" si="13"/>
        <v>0</v>
      </c>
      <c r="V67" s="338" t="e">
        <f t="shared" si="14"/>
        <v>#DIV/0!</v>
      </c>
      <c r="W67" s="338" t="e">
        <f t="shared" si="10"/>
        <v>#DIV/0!</v>
      </c>
      <c r="X67" s="338" t="e">
        <f t="shared" si="15"/>
        <v>#DIV/0!</v>
      </c>
    </row>
    <row r="68" spans="2:24" ht="13.8" x14ac:dyDescent="0.3">
      <c r="B68" s="296"/>
      <c r="C68" s="4713" t="s">
        <v>535</v>
      </c>
      <c r="D68" s="4713">
        <v>0.09</v>
      </c>
      <c r="E68" s="4713" t="s">
        <v>617</v>
      </c>
      <c r="F68" s="4713" t="s">
        <v>295</v>
      </c>
      <c r="G68" s="4715">
        <v>1.06</v>
      </c>
      <c r="H68" s="4715">
        <v>0.75</v>
      </c>
      <c r="I68" s="4720">
        <v>0.36046139057994231</v>
      </c>
      <c r="J68" s="4714">
        <v>30</v>
      </c>
      <c r="K68" s="4714" t="s">
        <v>618</v>
      </c>
      <c r="L68" s="4718">
        <v>1.3374961556458398</v>
      </c>
      <c r="M68" s="4718">
        <v>1.0391005116526502</v>
      </c>
      <c r="N68" s="4719">
        <v>199724.37704535626</v>
      </c>
      <c r="O68" s="4719">
        <v>257078.67861797422</v>
      </c>
      <c r="P68" s="4719">
        <v>267130.58648692421</v>
      </c>
      <c r="Q68" s="4719">
        <v>267130.58648692421</v>
      </c>
      <c r="R68" s="4717">
        <v>1.081</v>
      </c>
      <c r="S68" s="4716">
        <f t="shared" si="11"/>
        <v>75000</v>
      </c>
      <c r="T68" s="4716">
        <f t="shared" si="12"/>
        <v>75000</v>
      </c>
      <c r="U68" s="4716">
        <f t="shared" si="13"/>
        <v>150000</v>
      </c>
      <c r="V68" s="338">
        <f t="shared" si="14"/>
        <v>0.69475949347442756</v>
      </c>
      <c r="W68" s="338">
        <f t="shared" si="10"/>
        <v>6.4721154281480855E-2</v>
      </c>
      <c r="X68" s="338">
        <f t="shared" si="15"/>
        <v>0</v>
      </c>
    </row>
    <row r="69" spans="2:24" ht="13.8" x14ac:dyDescent="0.3">
      <c r="B69" s="296"/>
      <c r="C69" s="4713" t="s">
        <v>536</v>
      </c>
      <c r="D69" s="4713">
        <v>0.05</v>
      </c>
      <c r="E69" s="4713" t="s">
        <v>617</v>
      </c>
      <c r="F69" s="4713" t="s">
        <v>295</v>
      </c>
      <c r="G69" s="4715">
        <v>0.95</v>
      </c>
      <c r="H69" s="4715">
        <v>0.5</v>
      </c>
      <c r="I69" s="4720">
        <v>0</v>
      </c>
      <c r="J69" s="4714">
        <v>30</v>
      </c>
      <c r="K69" s="4714" t="s">
        <v>618</v>
      </c>
      <c r="L69" s="4718" t="e">
        <v>#DIV/0!</v>
      </c>
      <c r="M69" s="4718" t="e">
        <v>#DIV/0!</v>
      </c>
      <c r="N69" s="4719">
        <v>0</v>
      </c>
      <c r="O69" s="4719">
        <v>0</v>
      </c>
      <c r="P69" s="4719">
        <v>0</v>
      </c>
      <c r="Q69" s="4719">
        <v>0</v>
      </c>
      <c r="R69" s="4717">
        <v>1.081</v>
      </c>
      <c r="S69" s="4716">
        <f t="shared" si="11"/>
        <v>0</v>
      </c>
      <c r="T69" s="4716">
        <f t="shared" si="12"/>
        <v>0</v>
      </c>
      <c r="U69" s="4716">
        <f t="shared" si="13"/>
        <v>0</v>
      </c>
      <c r="V69" s="338" t="e">
        <f t="shared" si="14"/>
        <v>#DIV/0!</v>
      </c>
      <c r="W69" s="338" t="e">
        <f t="shared" si="10"/>
        <v>#DIV/0!</v>
      </c>
      <c r="X69" s="338" t="e">
        <f t="shared" si="15"/>
        <v>#DIV/0!</v>
      </c>
    </row>
    <row r="70" spans="2:24" ht="13.8" x14ac:dyDescent="0.3">
      <c r="B70" s="296"/>
      <c r="C70" s="4713" t="s">
        <v>537</v>
      </c>
      <c r="D70" s="4713">
        <v>0.02</v>
      </c>
      <c r="E70" s="4713" t="s">
        <v>617</v>
      </c>
      <c r="F70" s="4713" t="s">
        <v>295</v>
      </c>
      <c r="G70" s="4715">
        <v>0.53</v>
      </c>
      <c r="H70" s="4715">
        <v>0.5</v>
      </c>
      <c r="I70" s="4720">
        <v>0</v>
      </c>
      <c r="J70" s="4714">
        <v>30</v>
      </c>
      <c r="K70" s="4714" t="s">
        <v>618</v>
      </c>
      <c r="L70" s="4718" t="e">
        <v>#DIV/0!</v>
      </c>
      <c r="M70" s="4718" t="e">
        <v>#DIV/0!</v>
      </c>
      <c r="N70" s="4719">
        <v>0</v>
      </c>
      <c r="O70" s="4719">
        <v>0</v>
      </c>
      <c r="P70" s="4719">
        <v>0</v>
      </c>
      <c r="Q70" s="4719">
        <v>0</v>
      </c>
      <c r="R70" s="4717">
        <v>1.081</v>
      </c>
      <c r="S70" s="4716">
        <f t="shared" si="11"/>
        <v>0</v>
      </c>
      <c r="T70" s="4716">
        <f t="shared" si="12"/>
        <v>0</v>
      </c>
      <c r="U70" s="4716">
        <f t="shared" si="13"/>
        <v>0</v>
      </c>
      <c r="V70" s="338" t="e">
        <f t="shared" si="14"/>
        <v>#DIV/0!</v>
      </c>
      <c r="W70" s="338" t="e">
        <f t="shared" si="10"/>
        <v>#DIV/0!</v>
      </c>
      <c r="X70" s="338" t="e">
        <f t="shared" si="15"/>
        <v>#DIV/0!</v>
      </c>
    </row>
    <row r="71" spans="2:24" ht="13.8" x14ac:dyDescent="0.3">
      <c r="B71" s="296"/>
      <c r="C71" s="4713" t="s">
        <v>538</v>
      </c>
      <c r="D71" s="4713">
        <v>0.05</v>
      </c>
      <c r="E71" s="4713" t="s">
        <v>617</v>
      </c>
      <c r="F71" s="4713" t="s">
        <v>295</v>
      </c>
      <c r="G71" s="4715">
        <v>1.59</v>
      </c>
      <c r="H71" s="4715">
        <v>0.5</v>
      </c>
      <c r="I71" s="4720">
        <v>0</v>
      </c>
      <c r="J71" s="4714">
        <v>30</v>
      </c>
      <c r="K71" s="4714" t="s">
        <v>618</v>
      </c>
      <c r="L71" s="4718" t="e">
        <v>#DIV/0!</v>
      </c>
      <c r="M71" s="4718" t="e">
        <v>#DIV/0!</v>
      </c>
      <c r="N71" s="4719">
        <v>0</v>
      </c>
      <c r="O71" s="4719">
        <v>0</v>
      </c>
      <c r="P71" s="4719">
        <v>0</v>
      </c>
      <c r="Q71" s="4719">
        <v>0</v>
      </c>
      <c r="R71" s="4717">
        <v>1.081</v>
      </c>
      <c r="S71" s="4716">
        <f t="shared" si="11"/>
        <v>0</v>
      </c>
      <c r="T71" s="4716">
        <f t="shared" si="12"/>
        <v>0</v>
      </c>
      <c r="U71" s="4716">
        <f t="shared" si="13"/>
        <v>0</v>
      </c>
      <c r="V71" s="338" t="e">
        <f t="shared" si="14"/>
        <v>#DIV/0!</v>
      </c>
      <c r="W71" s="338" t="e">
        <f t="shared" si="10"/>
        <v>#DIV/0!</v>
      </c>
      <c r="X71" s="338" t="e">
        <f t="shared" si="15"/>
        <v>#DIV/0!</v>
      </c>
    </row>
    <row r="72" spans="2:24" s="366" customFormat="1" ht="13.8" x14ac:dyDescent="0.3">
      <c r="B72" s="364"/>
      <c r="C72" s="4730" t="s">
        <v>539</v>
      </c>
      <c r="D72" s="4730">
        <v>0.04</v>
      </c>
      <c r="E72" s="4730" t="s">
        <v>617</v>
      </c>
      <c r="F72" s="4730" t="s">
        <v>295</v>
      </c>
      <c r="G72" s="4731">
        <v>1.01</v>
      </c>
      <c r="H72" s="4731">
        <v>0.5</v>
      </c>
      <c r="I72" s="4732">
        <v>0</v>
      </c>
      <c r="J72" s="4733">
        <v>30</v>
      </c>
      <c r="K72" s="4733" t="s">
        <v>618</v>
      </c>
      <c r="L72" s="4718" t="e">
        <v>#DIV/0!</v>
      </c>
      <c r="M72" s="4718" t="e">
        <v>#DIV/0!</v>
      </c>
      <c r="N72" s="4735">
        <v>0</v>
      </c>
      <c r="O72" s="4735">
        <v>0</v>
      </c>
      <c r="P72" s="4719">
        <v>0</v>
      </c>
      <c r="Q72" s="4735">
        <v>0</v>
      </c>
      <c r="R72" s="4736">
        <v>1.081</v>
      </c>
      <c r="S72" s="4716">
        <f t="shared" si="11"/>
        <v>0</v>
      </c>
      <c r="T72" s="4716">
        <f t="shared" si="12"/>
        <v>0</v>
      </c>
      <c r="U72" s="4716">
        <f t="shared" si="13"/>
        <v>0</v>
      </c>
      <c r="V72" s="338" t="e">
        <f t="shared" si="14"/>
        <v>#DIV/0!</v>
      </c>
      <c r="W72" s="338" t="e">
        <f t="shared" si="10"/>
        <v>#DIV/0!</v>
      </c>
      <c r="X72" s="338" t="e">
        <f t="shared" si="15"/>
        <v>#DIV/0!</v>
      </c>
    </row>
    <row r="73" spans="2:24" ht="13.8" x14ac:dyDescent="0.3">
      <c r="B73" s="296"/>
      <c r="C73" s="4713" t="s">
        <v>540</v>
      </c>
      <c r="D73" s="4713">
        <v>0.03</v>
      </c>
      <c r="E73" s="4713" t="s">
        <v>617</v>
      </c>
      <c r="F73" s="4713" t="s">
        <v>295</v>
      </c>
      <c r="G73" s="4715">
        <v>1.27</v>
      </c>
      <c r="H73" s="4715">
        <v>0.5</v>
      </c>
      <c r="I73" s="4720">
        <v>0</v>
      </c>
      <c r="J73" s="4714">
        <v>30</v>
      </c>
      <c r="K73" s="4714" t="s">
        <v>618</v>
      </c>
      <c r="L73" s="4718" t="e">
        <v>#DIV/0!</v>
      </c>
      <c r="M73" s="4718" t="e">
        <v>#DIV/0!</v>
      </c>
      <c r="N73" s="4735">
        <v>0</v>
      </c>
      <c r="O73" s="4735">
        <v>0</v>
      </c>
      <c r="P73" s="4719">
        <v>0</v>
      </c>
      <c r="Q73" s="4735">
        <v>0</v>
      </c>
      <c r="R73" s="4736">
        <v>1.081</v>
      </c>
      <c r="S73" s="4716">
        <f t="shared" si="11"/>
        <v>0</v>
      </c>
      <c r="T73" s="4716">
        <f t="shared" si="12"/>
        <v>0</v>
      </c>
      <c r="U73" s="4716">
        <f t="shared" si="13"/>
        <v>0</v>
      </c>
      <c r="V73" s="338" t="e">
        <f t="shared" si="14"/>
        <v>#DIV/0!</v>
      </c>
      <c r="W73" s="338" t="e">
        <f t="shared" si="10"/>
        <v>#DIV/0!</v>
      </c>
      <c r="X73" s="338" t="e">
        <f t="shared" si="15"/>
        <v>#DIV/0!</v>
      </c>
    </row>
    <row r="74" spans="2:24" s="366" customFormat="1" ht="13.8" x14ac:dyDescent="0.3">
      <c r="B74" s="364"/>
      <c r="C74" s="4730" t="s">
        <v>541</v>
      </c>
      <c r="D74" s="4730">
        <v>0.05</v>
      </c>
      <c r="E74" s="4730" t="s">
        <v>617</v>
      </c>
      <c r="F74" s="4730" t="s">
        <v>295</v>
      </c>
      <c r="G74" s="4731">
        <v>0.76</v>
      </c>
      <c r="H74" s="4731">
        <v>0.65</v>
      </c>
      <c r="I74" s="4732">
        <v>0</v>
      </c>
      <c r="J74" s="4733">
        <v>30</v>
      </c>
      <c r="K74" s="4733" t="s">
        <v>618</v>
      </c>
      <c r="L74" s="4718" t="e">
        <v>#DIV/0!</v>
      </c>
      <c r="M74" s="4718" t="e">
        <v>#DIV/0!</v>
      </c>
      <c r="N74" s="4735">
        <v>0</v>
      </c>
      <c r="O74" s="4735">
        <v>0</v>
      </c>
      <c r="P74" s="4719">
        <v>0</v>
      </c>
      <c r="Q74" s="4735">
        <v>0</v>
      </c>
      <c r="R74" s="4736">
        <v>1.081</v>
      </c>
      <c r="S74" s="4716">
        <f t="shared" si="11"/>
        <v>0</v>
      </c>
      <c r="T74" s="4716">
        <f t="shared" si="12"/>
        <v>0</v>
      </c>
      <c r="U74" s="4716">
        <f t="shared" si="13"/>
        <v>0</v>
      </c>
      <c r="V74" s="338" t="e">
        <f t="shared" si="14"/>
        <v>#DIV/0!</v>
      </c>
      <c r="W74" s="338" t="e">
        <f t="shared" si="10"/>
        <v>#DIV/0!</v>
      </c>
      <c r="X74" s="338" t="e">
        <f t="shared" si="15"/>
        <v>#DIV/0!</v>
      </c>
    </row>
    <row r="75" spans="2:24" ht="13.8" x14ac:dyDescent="0.3">
      <c r="B75" s="296"/>
      <c r="C75" s="4713" t="s">
        <v>542</v>
      </c>
      <c r="D75" s="4713">
        <v>0.88</v>
      </c>
      <c r="E75" s="4713" t="s">
        <v>617</v>
      </c>
      <c r="F75" s="4713" t="s">
        <v>295</v>
      </c>
      <c r="G75" s="4715">
        <v>20.61</v>
      </c>
      <c r="H75" s="4715">
        <v>4</v>
      </c>
      <c r="I75" s="4720">
        <v>0</v>
      </c>
      <c r="J75" s="4714">
        <v>30</v>
      </c>
      <c r="K75" s="4714" t="s">
        <v>618</v>
      </c>
      <c r="L75" s="4718" t="e">
        <v>#DIV/0!</v>
      </c>
      <c r="M75" s="4718" t="e">
        <v>#DIV/0!</v>
      </c>
      <c r="N75" s="4719">
        <v>0</v>
      </c>
      <c r="O75" s="4719">
        <v>0</v>
      </c>
      <c r="P75" s="4719">
        <v>0</v>
      </c>
      <c r="Q75" s="4719">
        <v>0</v>
      </c>
      <c r="R75" s="4717">
        <v>1.081</v>
      </c>
      <c r="S75" s="4716">
        <f t="shared" si="11"/>
        <v>0</v>
      </c>
      <c r="T75" s="4716">
        <f t="shared" si="12"/>
        <v>0</v>
      </c>
      <c r="U75" s="4716">
        <f t="shared" si="13"/>
        <v>0</v>
      </c>
      <c r="V75" s="338" t="e">
        <f t="shared" si="14"/>
        <v>#DIV/0!</v>
      </c>
      <c r="W75" s="338" t="e">
        <f t="shared" si="10"/>
        <v>#DIV/0!</v>
      </c>
      <c r="X75" s="338" t="e">
        <f t="shared" si="15"/>
        <v>#DIV/0!</v>
      </c>
    </row>
    <row r="76" spans="2:24" ht="13.8" x14ac:dyDescent="0.3">
      <c r="B76" s="296"/>
      <c r="C76" s="4713" t="s">
        <v>543</v>
      </c>
      <c r="D76" s="4713">
        <v>0.96</v>
      </c>
      <c r="E76" s="4713" t="s">
        <v>617</v>
      </c>
      <c r="F76" s="4713" t="s">
        <v>295</v>
      </c>
      <c r="G76" s="4715">
        <v>21.97</v>
      </c>
      <c r="H76" s="4715">
        <v>4</v>
      </c>
      <c r="I76" s="4720">
        <v>0</v>
      </c>
      <c r="J76" s="4714">
        <v>30</v>
      </c>
      <c r="K76" s="4714" t="s">
        <v>618</v>
      </c>
      <c r="L76" s="4718" t="e">
        <v>#DIV/0!</v>
      </c>
      <c r="M76" s="4718" t="e">
        <v>#DIV/0!</v>
      </c>
      <c r="N76" s="4719">
        <v>0</v>
      </c>
      <c r="O76" s="4719">
        <v>0</v>
      </c>
      <c r="P76" s="4719">
        <v>0</v>
      </c>
      <c r="Q76" s="4719">
        <v>0</v>
      </c>
      <c r="R76" s="4717">
        <v>1.081</v>
      </c>
      <c r="S76" s="4716">
        <f t="shared" si="11"/>
        <v>0</v>
      </c>
      <c r="T76" s="4716">
        <f t="shared" si="12"/>
        <v>0</v>
      </c>
      <c r="U76" s="4716">
        <f t="shared" si="13"/>
        <v>0</v>
      </c>
      <c r="V76" s="338" t="e">
        <f t="shared" si="14"/>
        <v>#DIV/0!</v>
      </c>
      <c r="W76" s="338" t="e">
        <f t="shared" si="10"/>
        <v>#DIV/0!</v>
      </c>
      <c r="X76" s="338" t="e">
        <f t="shared" si="15"/>
        <v>#DIV/0!</v>
      </c>
    </row>
    <row r="77" spans="2:24" ht="13.8" x14ac:dyDescent="0.3">
      <c r="B77" s="296"/>
      <c r="C77" s="4713" t="s">
        <v>678</v>
      </c>
      <c r="D77" s="4713">
        <v>66</v>
      </c>
      <c r="E77" s="4713" t="s">
        <v>617</v>
      </c>
      <c r="F77" s="4713" t="s">
        <v>211</v>
      </c>
      <c r="G77" s="4715">
        <v>692</v>
      </c>
      <c r="H77" s="4715">
        <v>250</v>
      </c>
      <c r="I77" s="4720">
        <v>2.6433835309195769E-2</v>
      </c>
      <c r="J77" s="4714">
        <v>18</v>
      </c>
      <c r="K77" s="4714" t="s">
        <v>618</v>
      </c>
      <c r="L77" s="4718">
        <v>1.621120520350265</v>
      </c>
      <c r="M77" s="4718">
        <v>0.85365702993885428</v>
      </c>
      <c r="N77" s="4719">
        <v>9096.0380354383669</v>
      </c>
      <c r="O77" s="4719">
        <v>17273.65135643744</v>
      </c>
      <c r="P77" s="4719">
        <v>14745.773913135647</v>
      </c>
      <c r="Q77" s="4719">
        <v>14745.773913135647</v>
      </c>
      <c r="R77" s="4717">
        <v>1.081</v>
      </c>
      <c r="S77" s="4716">
        <f t="shared" si="11"/>
        <v>2500</v>
      </c>
      <c r="T77" s="4716">
        <f t="shared" si="12"/>
        <v>2500</v>
      </c>
      <c r="U77" s="4716">
        <f t="shared" si="13"/>
        <v>5000</v>
      </c>
      <c r="V77" s="338">
        <f t="shared" si="14"/>
        <v>0.50850127088267683</v>
      </c>
      <c r="W77" s="338">
        <f t="shared" si="10"/>
        <v>0.10421410132763305</v>
      </c>
      <c r="X77" s="338">
        <f t="shared" si="15"/>
        <v>0</v>
      </c>
    </row>
    <row r="78" spans="2:24" ht="13.8" x14ac:dyDescent="0.3">
      <c r="B78" s="296"/>
      <c r="C78" s="4713" t="s">
        <v>679</v>
      </c>
      <c r="D78" s="4713">
        <v>734</v>
      </c>
      <c r="E78" s="4713" t="s">
        <v>617</v>
      </c>
      <c r="F78" s="4713" t="s">
        <v>341</v>
      </c>
      <c r="G78" s="4715">
        <v>7679</v>
      </c>
      <c r="H78" s="4715">
        <v>4152</v>
      </c>
      <c r="I78" s="4720">
        <v>0.35277154758090357</v>
      </c>
      <c r="J78" s="4714">
        <v>24</v>
      </c>
      <c r="K78" s="4714" t="s">
        <v>618</v>
      </c>
      <c r="L78" s="4718">
        <v>1.5439139644814708</v>
      </c>
      <c r="M78" s="4718">
        <v>1.0186191193139928</v>
      </c>
      <c r="N78" s="4719">
        <v>151844.7189196992</v>
      </c>
      <c r="O78" s="4719">
        <v>230149.99181516634</v>
      </c>
      <c r="P78" s="4719">
        <v>234435.1819728874</v>
      </c>
      <c r="Q78" s="4719">
        <v>234435.1819728874</v>
      </c>
      <c r="R78" s="4717">
        <v>1.081</v>
      </c>
      <c r="S78" s="4716">
        <f t="shared" si="11"/>
        <v>49824</v>
      </c>
      <c r="T78" s="4716">
        <f t="shared" si="12"/>
        <v>49824</v>
      </c>
      <c r="U78" s="4716">
        <f t="shared" si="13"/>
        <v>99648</v>
      </c>
      <c r="V78" s="338">
        <f t="shared" si="14"/>
        <v>0.60707619108747934</v>
      </c>
      <c r="W78" s="338">
        <f t="shared" si="10"/>
        <v>8.3312934927802021E-2</v>
      </c>
      <c r="X78" s="338">
        <f t="shared" si="15"/>
        <v>0</v>
      </c>
    </row>
    <row r="79" spans="2:24" ht="13.8" x14ac:dyDescent="0.3">
      <c r="B79" s="296"/>
      <c r="C79" s="4713" t="s">
        <v>680</v>
      </c>
      <c r="D79" s="4713">
        <v>845</v>
      </c>
      <c r="E79" s="4713" t="s">
        <v>617</v>
      </c>
      <c r="F79" s="4713" t="s">
        <v>341</v>
      </c>
      <c r="G79" s="4734">
        <v>11280</v>
      </c>
      <c r="H79" s="4734">
        <v>6387</v>
      </c>
      <c r="I79" s="4720">
        <v>0</v>
      </c>
      <c r="J79" s="4714">
        <v>24</v>
      </c>
      <c r="K79" s="4714" t="s">
        <v>618</v>
      </c>
      <c r="L79" s="4718" t="e">
        <v>#DIV/0!</v>
      </c>
      <c r="M79" s="4718" t="e">
        <v>#DIV/0!</v>
      </c>
      <c r="N79" s="4719">
        <v>0</v>
      </c>
      <c r="O79" s="4719">
        <v>0</v>
      </c>
      <c r="P79" s="4719">
        <v>0</v>
      </c>
      <c r="Q79" s="4719">
        <v>0</v>
      </c>
      <c r="R79" s="4717">
        <v>1.081</v>
      </c>
      <c r="S79" s="4716">
        <f t="shared" si="11"/>
        <v>0</v>
      </c>
      <c r="T79" s="4716">
        <f t="shared" si="12"/>
        <v>0</v>
      </c>
      <c r="U79" s="4716">
        <f t="shared" si="13"/>
        <v>0</v>
      </c>
      <c r="V79" s="338" t="e">
        <f t="shared" si="14"/>
        <v>#DIV/0!</v>
      </c>
      <c r="W79" s="338" t="e">
        <f t="shared" si="10"/>
        <v>#DIV/0!</v>
      </c>
      <c r="X79" s="338" t="e">
        <f t="shared" si="15"/>
        <v>#DIV/0!</v>
      </c>
    </row>
    <row r="80" spans="2:24" ht="13.8" x14ac:dyDescent="0.3">
      <c r="B80" s="296"/>
      <c r="C80" s="4713" t="s">
        <v>681</v>
      </c>
      <c r="D80" s="4713">
        <v>1559</v>
      </c>
      <c r="E80" s="4713" t="s">
        <v>617</v>
      </c>
      <c r="F80" s="4713" t="s">
        <v>341</v>
      </c>
      <c r="G80" s="4715">
        <v>36251</v>
      </c>
      <c r="H80" s="4715">
        <v>11660</v>
      </c>
      <c r="I80" s="4720">
        <v>0</v>
      </c>
      <c r="J80" s="4714">
        <v>24</v>
      </c>
      <c r="K80" s="4714" t="s">
        <v>618</v>
      </c>
      <c r="L80" s="4718" t="e">
        <v>#DIV/0!</v>
      </c>
      <c r="M80" s="4718" t="e">
        <v>#DIV/0!</v>
      </c>
      <c r="N80" s="4719">
        <v>0</v>
      </c>
      <c r="O80" s="4719">
        <v>0</v>
      </c>
      <c r="P80" s="4719">
        <v>0</v>
      </c>
      <c r="Q80" s="4719">
        <v>0</v>
      </c>
      <c r="R80" s="4717">
        <v>1.081</v>
      </c>
      <c r="S80" s="4716">
        <f t="shared" si="11"/>
        <v>0</v>
      </c>
      <c r="T80" s="4716">
        <f t="shared" si="12"/>
        <v>0</v>
      </c>
      <c r="U80" s="4716">
        <f t="shared" si="13"/>
        <v>0</v>
      </c>
      <c r="V80" s="338" t="e">
        <f t="shared" si="14"/>
        <v>#DIV/0!</v>
      </c>
      <c r="W80" s="338" t="e">
        <f t="shared" si="10"/>
        <v>#DIV/0!</v>
      </c>
      <c r="X80" s="338" t="e">
        <f t="shared" si="15"/>
        <v>#DIV/0!</v>
      </c>
    </row>
    <row r="81" spans="2:21" ht="13.8" x14ac:dyDescent="0.3">
      <c r="B81" s="296"/>
      <c r="C81" s="4725" t="s">
        <v>682</v>
      </c>
      <c r="D81" s="4725">
        <v>1</v>
      </c>
      <c r="E81" s="4725" t="s">
        <v>617</v>
      </c>
      <c r="F81" s="4725" t="s">
        <v>211</v>
      </c>
      <c r="G81" s="4727"/>
      <c r="H81" s="4727"/>
      <c r="I81" s="4728">
        <v>0</v>
      </c>
      <c r="J81" s="4729">
        <v>10</v>
      </c>
      <c r="K81" s="4729" t="s">
        <v>259</v>
      </c>
      <c r="L81" s="4718" t="e">
        <v>#DIV/0!</v>
      </c>
      <c r="M81" s="4718" t="e">
        <v>#DIV/0!</v>
      </c>
      <c r="N81" s="4719">
        <v>0</v>
      </c>
      <c r="O81" s="4719">
        <v>0</v>
      </c>
      <c r="P81" s="4719">
        <v>0</v>
      </c>
      <c r="Q81" s="4719">
        <v>0</v>
      </c>
      <c r="R81" s="4717">
        <v>1.081</v>
      </c>
      <c r="S81" s="4716">
        <f t="shared" si="11"/>
        <v>0</v>
      </c>
      <c r="T81" s="4716">
        <f t="shared" si="12"/>
        <v>0</v>
      </c>
      <c r="U81" s="4716">
        <f t="shared" si="13"/>
        <v>0</v>
      </c>
    </row>
    <row r="82" spans="2:21" ht="13.8" x14ac:dyDescent="0.3">
      <c r="B82" s="296"/>
      <c r="C82" s="4725" t="s">
        <v>563</v>
      </c>
      <c r="D82" s="4725">
        <v>1</v>
      </c>
      <c r="E82" s="4725" t="s">
        <v>617</v>
      </c>
      <c r="F82" s="4725" t="s">
        <v>341</v>
      </c>
      <c r="G82" s="4727"/>
      <c r="H82" s="4727"/>
      <c r="I82" s="4728">
        <v>0</v>
      </c>
      <c r="J82" s="4729">
        <v>30</v>
      </c>
      <c r="K82" s="4729" t="s">
        <v>618</v>
      </c>
      <c r="L82" s="4718" t="e">
        <v>#DIV/0!</v>
      </c>
      <c r="M82" s="4718" t="e">
        <v>#DIV/0!</v>
      </c>
      <c r="N82" s="4719">
        <v>0</v>
      </c>
      <c r="O82" s="4719">
        <v>0</v>
      </c>
      <c r="P82" s="4719">
        <v>0</v>
      </c>
      <c r="Q82" s="4719">
        <v>0</v>
      </c>
      <c r="R82" s="4717">
        <v>1.081</v>
      </c>
      <c r="S82" s="4716">
        <f t="shared" si="11"/>
        <v>0</v>
      </c>
      <c r="T82" s="4716">
        <f t="shared" si="12"/>
        <v>0</v>
      </c>
      <c r="U82" s="4716">
        <f t="shared" si="13"/>
        <v>0</v>
      </c>
    </row>
    <row r="83" spans="2:21" ht="13.8" x14ac:dyDescent="0.3">
      <c r="B83" s="296"/>
      <c r="C83" s="4725" t="s">
        <v>683</v>
      </c>
      <c r="D83" s="4725">
        <v>1</v>
      </c>
      <c r="E83" s="4725" t="s">
        <v>617</v>
      </c>
      <c r="F83" s="4725" t="s">
        <v>211</v>
      </c>
      <c r="G83" s="4727"/>
      <c r="H83" s="4727"/>
      <c r="I83" s="4728">
        <v>0</v>
      </c>
      <c r="J83" s="4729">
        <v>20</v>
      </c>
      <c r="K83" s="4729" t="s">
        <v>618</v>
      </c>
      <c r="L83" s="4718" t="e">
        <v>#DIV/0!</v>
      </c>
      <c r="M83" s="4718" t="e">
        <v>#DIV/0!</v>
      </c>
      <c r="N83" s="4719">
        <v>0</v>
      </c>
      <c r="O83" s="4719">
        <v>0</v>
      </c>
      <c r="P83" s="4719">
        <v>0</v>
      </c>
      <c r="Q83" s="4719">
        <v>0</v>
      </c>
      <c r="R83" s="4717">
        <v>1.081</v>
      </c>
      <c r="S83" s="4716">
        <f t="shared" si="11"/>
        <v>0</v>
      </c>
      <c r="T83" s="4716">
        <f t="shared" si="12"/>
        <v>0</v>
      </c>
      <c r="U83" s="4716">
        <f t="shared" si="13"/>
        <v>0</v>
      </c>
    </row>
    <row r="84" spans="2:21" ht="13.8" x14ac:dyDescent="0.3">
      <c r="B84" s="296"/>
      <c r="C84" s="4725" t="s">
        <v>560</v>
      </c>
      <c r="D84" s="4726">
        <v>1</v>
      </c>
      <c r="E84" s="4725" t="s">
        <v>617</v>
      </c>
      <c r="F84" s="4725" t="s">
        <v>211</v>
      </c>
      <c r="G84" s="4727"/>
      <c r="H84" s="4727"/>
      <c r="I84" s="4728">
        <v>0</v>
      </c>
      <c r="J84" s="4729">
        <v>30</v>
      </c>
      <c r="K84" s="4729" t="s">
        <v>618</v>
      </c>
      <c r="L84" s="4718" t="e">
        <v>#DIV/0!</v>
      </c>
      <c r="M84" s="4718" t="e">
        <v>#DIV/0!</v>
      </c>
      <c r="N84" s="4719">
        <v>0</v>
      </c>
      <c r="O84" s="4719">
        <v>0</v>
      </c>
      <c r="P84" s="4719">
        <v>0</v>
      </c>
      <c r="Q84" s="4719">
        <v>0</v>
      </c>
      <c r="R84" s="4717">
        <v>1.081</v>
      </c>
      <c r="S84" s="4716">
        <f t="shared" si="11"/>
        <v>0</v>
      </c>
      <c r="T84" s="4716">
        <f t="shared" si="12"/>
        <v>0</v>
      </c>
      <c r="U84" s="4716">
        <f t="shared" si="13"/>
        <v>0</v>
      </c>
    </row>
    <row r="85" spans="2:21" ht="13.8" x14ac:dyDescent="0.3">
      <c r="B85" s="296"/>
      <c r="C85" s="4724" t="s">
        <v>1076</v>
      </c>
      <c r="D85" s="4737">
        <v>9.1999999999999998E-2</v>
      </c>
      <c r="E85" s="4724" t="s">
        <v>617</v>
      </c>
      <c r="F85" s="4724" t="s">
        <v>341</v>
      </c>
      <c r="G85" s="4738">
        <v>1.54</v>
      </c>
      <c r="H85" s="4738">
        <v>1.54</v>
      </c>
      <c r="I85" s="4739">
        <v>0</v>
      </c>
      <c r="J85" s="4723">
        <v>30</v>
      </c>
      <c r="K85" s="4723" t="s">
        <v>618</v>
      </c>
      <c r="L85" s="4718" t="e">
        <v>#DIV/0!</v>
      </c>
      <c r="M85" s="4718" t="e">
        <v>#DIV/0!</v>
      </c>
      <c r="N85" s="4719">
        <v>0</v>
      </c>
      <c r="O85" s="4719">
        <v>0</v>
      </c>
      <c r="P85" s="4719">
        <v>0</v>
      </c>
      <c r="Q85" s="4719">
        <v>0</v>
      </c>
      <c r="R85" s="4717">
        <v>1.081</v>
      </c>
      <c r="S85" s="4716">
        <f t="shared" si="11"/>
        <v>0</v>
      </c>
      <c r="T85" s="4716">
        <f t="shared" si="12"/>
        <v>0</v>
      </c>
      <c r="U85" s="4716">
        <f t="shared" si="13"/>
        <v>0</v>
      </c>
    </row>
    <row r="86" spans="2:21" ht="13.8" x14ac:dyDescent="0.3">
      <c r="B86" s="296"/>
      <c r="C86" s="4725" t="s">
        <v>684</v>
      </c>
      <c r="D86" s="4726">
        <v>1</v>
      </c>
      <c r="E86" s="4725" t="s">
        <v>617</v>
      </c>
      <c r="F86" s="4725" t="s">
        <v>211</v>
      </c>
      <c r="G86" s="4727"/>
      <c r="H86" s="4727"/>
      <c r="I86" s="4728">
        <v>0</v>
      </c>
      <c r="J86" s="4729">
        <v>15</v>
      </c>
      <c r="K86" s="4729" t="s">
        <v>618</v>
      </c>
      <c r="L86" s="4718" t="e">
        <v>#DIV/0!</v>
      </c>
      <c r="M86" s="4718" t="e">
        <v>#DIV/0!</v>
      </c>
      <c r="N86" s="4719">
        <v>0</v>
      </c>
      <c r="O86" s="4719">
        <v>0</v>
      </c>
      <c r="P86" s="4719">
        <v>0</v>
      </c>
      <c r="Q86" s="4719">
        <v>0</v>
      </c>
      <c r="R86" s="4717">
        <v>1.081</v>
      </c>
      <c r="S86" s="4716">
        <f t="shared" si="11"/>
        <v>0</v>
      </c>
      <c r="T86" s="4716">
        <f t="shared" si="12"/>
        <v>0</v>
      </c>
      <c r="U86" s="4716">
        <f t="shared" si="13"/>
        <v>0</v>
      </c>
    </row>
    <row r="87" spans="2:21" ht="13.8" x14ac:dyDescent="0.3">
      <c r="B87" s="296"/>
      <c r="C87" s="4724" t="s">
        <v>643</v>
      </c>
      <c r="D87" s="4722">
        <v>0.08</v>
      </c>
      <c r="E87" s="4724" t="s">
        <v>617</v>
      </c>
      <c r="F87" s="4724" t="s">
        <v>211</v>
      </c>
      <c r="G87" s="4721">
        <v>1.36</v>
      </c>
      <c r="H87" s="4721">
        <v>1.36</v>
      </c>
      <c r="I87" s="4728">
        <v>0</v>
      </c>
      <c r="J87" s="4723">
        <v>30</v>
      </c>
      <c r="K87" s="4729" t="s">
        <v>618</v>
      </c>
      <c r="L87" s="4718" t="e">
        <v>#DIV/0!</v>
      </c>
      <c r="M87" s="4718" t="e">
        <v>#DIV/0!</v>
      </c>
      <c r="N87" s="4719">
        <v>0</v>
      </c>
      <c r="O87" s="4719">
        <v>0</v>
      </c>
      <c r="P87" s="4719">
        <v>0</v>
      </c>
      <c r="Q87" s="4719">
        <v>0</v>
      </c>
      <c r="R87" s="4717">
        <v>1.081</v>
      </c>
      <c r="S87" s="4716">
        <f t="shared" si="11"/>
        <v>0</v>
      </c>
      <c r="T87" s="4716">
        <f t="shared" si="12"/>
        <v>0</v>
      </c>
      <c r="U87" s="4716">
        <f t="shared" si="13"/>
        <v>0</v>
      </c>
    </row>
    <row r="88" spans="2:21" ht="13.8" x14ac:dyDescent="0.3">
      <c r="B88" s="296"/>
      <c r="C88" s="4724" t="s">
        <v>1077</v>
      </c>
      <c r="D88" s="4722">
        <v>0.14000000000000001</v>
      </c>
      <c r="E88" s="4724" t="s">
        <v>617</v>
      </c>
      <c r="F88" s="4724" t="s">
        <v>211</v>
      </c>
      <c r="G88" s="4721">
        <v>2.2400000000000002</v>
      </c>
      <c r="H88" s="4721">
        <v>2.2400000000000002</v>
      </c>
      <c r="I88" s="4728">
        <v>0</v>
      </c>
      <c r="J88" s="4723">
        <v>30</v>
      </c>
      <c r="K88" s="4729" t="s">
        <v>618</v>
      </c>
      <c r="L88" s="4718" t="e">
        <v>#DIV/0!</v>
      </c>
      <c r="M88" s="4718" t="e">
        <v>#DIV/0!</v>
      </c>
      <c r="N88" s="4719">
        <v>0</v>
      </c>
      <c r="O88" s="4719">
        <v>0</v>
      </c>
      <c r="P88" s="4719">
        <v>0</v>
      </c>
      <c r="Q88" s="4719">
        <v>0</v>
      </c>
      <c r="R88" s="4717">
        <v>1.081</v>
      </c>
      <c r="S88" s="4716">
        <f t="shared" si="11"/>
        <v>0</v>
      </c>
      <c r="T88" s="4716">
        <f t="shared" si="12"/>
        <v>0</v>
      </c>
      <c r="U88" s="4716">
        <f t="shared" si="13"/>
        <v>0</v>
      </c>
    </row>
    <row r="89" spans="2:21" ht="13.8" x14ac:dyDescent="0.3">
      <c r="B89" s="296"/>
      <c r="C89" s="296" t="s">
        <v>237</v>
      </c>
      <c r="D89" s="299">
        <v>0</v>
      </c>
      <c r="E89" s="296" t="s">
        <v>617</v>
      </c>
      <c r="F89" s="296" t="s">
        <v>211</v>
      </c>
      <c r="G89" s="297"/>
      <c r="H89" s="297"/>
      <c r="I89" s="3854">
        <v>0</v>
      </c>
      <c r="J89" s="3863"/>
      <c r="K89" s="3863"/>
      <c r="L89" s="3865" t="e">
        <f t="shared" ref="L89:L103" si="16">P89/N89</f>
        <v>#DIV/0!</v>
      </c>
      <c r="M89" s="3865" t="e">
        <f t="shared" ref="M89:M103" si="17">P89/O89</f>
        <v>#DIV/0!</v>
      </c>
      <c r="N89" s="218">
        <f t="shared" ref="N89:N103" si="18">(($I89*$F$56)+$U89)/$R89</f>
        <v>0</v>
      </c>
      <c r="O89" s="218">
        <f t="shared" ref="O89:O103" si="19">(($I89*$F$56)+($G89*$O39))/$R89</f>
        <v>0</v>
      </c>
      <c r="P89" s="218">
        <f>IF(K89=0, 0, (HLOOKUP(K89,'[1]G-CESTD'!$A$5:$G$35,J89+1,FALSE)*R39))</f>
        <v>0</v>
      </c>
      <c r="Q89" s="218">
        <f>IF(K89=0, 0, (HLOOKUP(K89,'[1]G-CESTD'!$A$5:$G$35,J89+1,FALSE)*R39))</f>
        <v>0</v>
      </c>
      <c r="R89" s="292">
        <v>1.081</v>
      </c>
      <c r="S89" s="4716">
        <f t="shared" si="11"/>
        <v>0</v>
      </c>
      <c r="T89" s="4716">
        <f t="shared" si="12"/>
        <v>0</v>
      </c>
      <c r="U89" s="4716">
        <f t="shared" si="13"/>
        <v>0</v>
      </c>
    </row>
    <row r="90" spans="2:21" ht="13.8" x14ac:dyDescent="0.3">
      <c r="B90" s="296"/>
      <c r="C90" s="296" t="s">
        <v>238</v>
      </c>
      <c r="D90" s="299">
        <v>0</v>
      </c>
      <c r="E90" s="296" t="s">
        <v>617</v>
      </c>
      <c r="F90" s="296" t="s">
        <v>211</v>
      </c>
      <c r="G90" s="297"/>
      <c r="H90" s="297"/>
      <c r="I90" s="3854">
        <v>0</v>
      </c>
      <c r="J90" s="3863"/>
      <c r="K90" s="3863"/>
      <c r="L90" s="3865" t="e">
        <f t="shared" si="16"/>
        <v>#DIV/0!</v>
      </c>
      <c r="M90" s="3865" t="e">
        <f t="shared" si="17"/>
        <v>#DIV/0!</v>
      </c>
      <c r="N90" s="218">
        <f t="shared" si="18"/>
        <v>0</v>
      </c>
      <c r="O90" s="218">
        <f t="shared" si="19"/>
        <v>0</v>
      </c>
      <c r="P90" s="218">
        <f>IF(K90=0, 0, (HLOOKUP(K90,'[1]G-CESTD'!$A$5:$G$35,J90+1,FALSE)*R40))</f>
        <v>0</v>
      </c>
      <c r="Q90" s="218">
        <f>IF(K90=0, 0, (HLOOKUP(K90,'[1]G-CESTD'!$A$5:$G$35,J90+1,FALSE)*R40))</f>
        <v>0</v>
      </c>
      <c r="R90" s="292">
        <v>1.081</v>
      </c>
      <c r="S90" s="4716">
        <f t="shared" si="11"/>
        <v>0</v>
      </c>
      <c r="T90" s="4716">
        <f t="shared" si="12"/>
        <v>0</v>
      </c>
      <c r="U90" s="4716">
        <f t="shared" si="13"/>
        <v>0</v>
      </c>
    </row>
    <row r="91" spans="2:21" ht="13.8" x14ac:dyDescent="0.3">
      <c r="B91" s="296"/>
      <c r="C91" s="296" t="s">
        <v>239</v>
      </c>
      <c r="D91" s="299">
        <v>0</v>
      </c>
      <c r="E91" s="296" t="s">
        <v>617</v>
      </c>
      <c r="F91" s="296" t="s">
        <v>211</v>
      </c>
      <c r="G91" s="297"/>
      <c r="H91" s="297"/>
      <c r="I91" s="3854">
        <v>0</v>
      </c>
      <c r="J91" s="3863"/>
      <c r="K91" s="3863"/>
      <c r="L91" s="3865" t="e">
        <f t="shared" si="16"/>
        <v>#DIV/0!</v>
      </c>
      <c r="M91" s="3865" t="e">
        <f t="shared" si="17"/>
        <v>#DIV/0!</v>
      </c>
      <c r="N91" s="218">
        <f t="shared" si="18"/>
        <v>0</v>
      </c>
      <c r="O91" s="218">
        <f t="shared" si="19"/>
        <v>0</v>
      </c>
      <c r="P91" s="218">
        <f>IF(K91=0, 0, (HLOOKUP(K91,'[1]G-CESTD'!$A$5:$G$35,J91+1,FALSE)*R41))</f>
        <v>0</v>
      </c>
      <c r="Q91" s="218">
        <f>IF(K91=0, 0, (HLOOKUP(K91,'[1]G-CESTD'!$A$5:$G$35,J91+1,FALSE)*R41))</f>
        <v>0</v>
      </c>
      <c r="R91" s="292">
        <v>1.081</v>
      </c>
      <c r="S91" s="4716">
        <f t="shared" si="11"/>
        <v>0</v>
      </c>
      <c r="T91" s="4716">
        <f t="shared" si="12"/>
        <v>0</v>
      </c>
      <c r="U91" s="4716">
        <f t="shared" si="13"/>
        <v>0</v>
      </c>
    </row>
    <row r="92" spans="2:21" ht="13.8" x14ac:dyDescent="0.3">
      <c r="B92" s="296"/>
      <c r="C92" s="296" t="s">
        <v>240</v>
      </c>
      <c r="D92" s="299">
        <v>0</v>
      </c>
      <c r="E92" s="296" t="s">
        <v>617</v>
      </c>
      <c r="F92" s="296" t="s">
        <v>211</v>
      </c>
      <c r="G92" s="297"/>
      <c r="H92" s="297"/>
      <c r="I92" s="3854">
        <v>0</v>
      </c>
      <c r="J92" s="3863"/>
      <c r="K92" s="3863"/>
      <c r="L92" s="3865" t="e">
        <f t="shared" si="16"/>
        <v>#DIV/0!</v>
      </c>
      <c r="M92" s="3865" t="e">
        <f t="shared" si="17"/>
        <v>#DIV/0!</v>
      </c>
      <c r="N92" s="218">
        <f t="shared" si="18"/>
        <v>0</v>
      </c>
      <c r="O92" s="218">
        <f t="shared" si="19"/>
        <v>0</v>
      </c>
      <c r="P92" s="218">
        <f>IF(K92=0, 0, (HLOOKUP(K92,'[1]G-CESTD'!$A$5:$G$35,J92+1,FALSE)*R42))</f>
        <v>0</v>
      </c>
      <c r="Q92" s="218">
        <f>IF(K92=0, 0, (HLOOKUP(K92,'[1]G-CESTD'!$A$5:$G$35,J92+1,FALSE)*R42))</f>
        <v>0</v>
      </c>
      <c r="R92" s="292">
        <v>1.081</v>
      </c>
      <c r="S92" s="4716">
        <f t="shared" si="11"/>
        <v>0</v>
      </c>
      <c r="T92" s="4716">
        <f t="shared" si="12"/>
        <v>0</v>
      </c>
      <c r="U92" s="4716">
        <f t="shared" si="13"/>
        <v>0</v>
      </c>
    </row>
    <row r="93" spans="2:21" ht="13.8" x14ac:dyDescent="0.3">
      <c r="B93" s="296"/>
      <c r="C93" s="296" t="s">
        <v>241</v>
      </c>
      <c r="D93" s="299">
        <v>0</v>
      </c>
      <c r="E93" s="296" t="s">
        <v>617</v>
      </c>
      <c r="F93" s="296" t="s">
        <v>211</v>
      </c>
      <c r="G93" s="297"/>
      <c r="H93" s="297"/>
      <c r="I93" s="3854">
        <v>0</v>
      </c>
      <c r="J93" s="3863"/>
      <c r="K93" s="3863"/>
      <c r="L93" s="3865" t="e">
        <f t="shared" si="16"/>
        <v>#DIV/0!</v>
      </c>
      <c r="M93" s="3865" t="e">
        <f t="shared" si="17"/>
        <v>#DIV/0!</v>
      </c>
      <c r="N93" s="218">
        <f t="shared" si="18"/>
        <v>0</v>
      </c>
      <c r="O93" s="218">
        <f t="shared" si="19"/>
        <v>0</v>
      </c>
      <c r="P93" s="218">
        <f>IF(K93=0, 0, (HLOOKUP(K93,'[1]G-CESTD'!$A$5:$G$35,J93+1,FALSE)*R43))</f>
        <v>0</v>
      </c>
      <c r="Q93" s="218">
        <f>IF(K93=0, 0, (HLOOKUP(K93,'[1]G-CESTD'!$A$5:$G$35,J93+1,FALSE)*R43))</f>
        <v>0</v>
      </c>
      <c r="R93" s="292">
        <v>1.081</v>
      </c>
      <c r="S93" s="4716">
        <f t="shared" si="11"/>
        <v>0</v>
      </c>
      <c r="T93" s="4716">
        <f t="shared" si="12"/>
        <v>0</v>
      </c>
      <c r="U93" s="4716">
        <f t="shared" si="13"/>
        <v>0</v>
      </c>
    </row>
    <row r="94" spans="2:21" ht="13.8" x14ac:dyDescent="0.3">
      <c r="B94" s="296"/>
      <c r="C94" s="296" t="s">
        <v>242</v>
      </c>
      <c r="D94" s="299">
        <v>0</v>
      </c>
      <c r="E94" s="296" t="s">
        <v>617</v>
      </c>
      <c r="F94" s="296" t="s">
        <v>211</v>
      </c>
      <c r="G94" s="297"/>
      <c r="H94" s="297"/>
      <c r="I94" s="3854">
        <v>0</v>
      </c>
      <c r="J94" s="3863"/>
      <c r="K94" s="3863"/>
      <c r="L94" s="3865" t="e">
        <f t="shared" si="16"/>
        <v>#DIV/0!</v>
      </c>
      <c r="M94" s="3865" t="e">
        <f t="shared" si="17"/>
        <v>#DIV/0!</v>
      </c>
      <c r="N94" s="218">
        <f t="shared" si="18"/>
        <v>0</v>
      </c>
      <c r="O94" s="218">
        <f t="shared" si="19"/>
        <v>0</v>
      </c>
      <c r="P94" s="218">
        <f>IF(K94=0, 0, (HLOOKUP(K94,'[1]G-CESTD'!$A$5:$G$35,J94+1,FALSE)*R44))</f>
        <v>0</v>
      </c>
      <c r="Q94" s="218">
        <f>IF(K94=0, 0, (HLOOKUP(K94,'[1]G-CESTD'!$A$5:$G$35,J94+1,FALSE)*R44))</f>
        <v>0</v>
      </c>
      <c r="R94" s="292">
        <v>1.081</v>
      </c>
      <c r="S94" s="4716">
        <f t="shared" si="11"/>
        <v>0</v>
      </c>
      <c r="T94" s="4716">
        <f t="shared" si="12"/>
        <v>0</v>
      </c>
      <c r="U94" s="4716">
        <f t="shared" si="13"/>
        <v>0</v>
      </c>
    </row>
    <row r="95" spans="2:21" ht="13.8" x14ac:dyDescent="0.3">
      <c r="B95" s="296"/>
      <c r="C95" s="296" t="s">
        <v>243</v>
      </c>
      <c r="D95" s="299">
        <v>0</v>
      </c>
      <c r="E95" s="296" t="s">
        <v>617</v>
      </c>
      <c r="F95" s="296" t="s">
        <v>211</v>
      </c>
      <c r="G95" s="297"/>
      <c r="H95" s="297"/>
      <c r="I95" s="3854">
        <v>0</v>
      </c>
      <c r="J95" s="3863"/>
      <c r="K95" s="3863"/>
      <c r="L95" s="3865" t="e">
        <f t="shared" si="16"/>
        <v>#DIV/0!</v>
      </c>
      <c r="M95" s="3865" t="e">
        <f t="shared" si="17"/>
        <v>#DIV/0!</v>
      </c>
      <c r="N95" s="218">
        <f t="shared" si="18"/>
        <v>0</v>
      </c>
      <c r="O95" s="218">
        <f t="shared" si="19"/>
        <v>0</v>
      </c>
      <c r="P95" s="218">
        <f>IF(K95=0, 0, (HLOOKUP(K95,'[1]G-CESTD'!$A$5:$G$35,J95+1,FALSE)*R45))</f>
        <v>0</v>
      </c>
      <c r="Q95" s="218">
        <f>IF(K95=0, 0, (HLOOKUP(K95,'[1]G-CESTD'!$A$5:$G$35,J95+1,FALSE)*R45))</f>
        <v>0</v>
      </c>
      <c r="R95" s="292">
        <v>1.081</v>
      </c>
      <c r="S95" s="4716">
        <f t="shared" si="11"/>
        <v>0</v>
      </c>
      <c r="T95" s="4716">
        <f t="shared" si="12"/>
        <v>0</v>
      </c>
      <c r="U95" s="4716">
        <f t="shared" si="13"/>
        <v>0</v>
      </c>
    </row>
    <row r="96" spans="2:21" ht="13.8" x14ac:dyDescent="0.3">
      <c r="B96" s="296"/>
      <c r="C96" s="296" t="s">
        <v>244</v>
      </c>
      <c r="D96" s="299">
        <v>0</v>
      </c>
      <c r="E96" s="296" t="s">
        <v>617</v>
      </c>
      <c r="F96" s="296" t="s">
        <v>211</v>
      </c>
      <c r="G96" s="297"/>
      <c r="H96" s="297"/>
      <c r="I96" s="3854">
        <v>0</v>
      </c>
      <c r="J96" s="3863"/>
      <c r="K96" s="3863"/>
      <c r="L96" s="3865" t="e">
        <f t="shared" si="16"/>
        <v>#DIV/0!</v>
      </c>
      <c r="M96" s="3865" t="e">
        <f t="shared" si="17"/>
        <v>#DIV/0!</v>
      </c>
      <c r="N96" s="218">
        <f t="shared" si="18"/>
        <v>0</v>
      </c>
      <c r="O96" s="218">
        <f t="shared" si="19"/>
        <v>0</v>
      </c>
      <c r="P96" s="218">
        <f>IF(K96=0, 0, (HLOOKUP(K96,'[1]G-CESTD'!$A$5:$G$35,J96+1,FALSE)*R46))</f>
        <v>0</v>
      </c>
      <c r="Q96" s="218">
        <f>IF(K96=0, 0, (HLOOKUP(K96,'[1]G-CESTD'!$A$5:$G$35,J96+1,FALSE)*R46))</f>
        <v>0</v>
      </c>
      <c r="R96" s="292">
        <v>1.081</v>
      </c>
      <c r="S96" s="4716">
        <f t="shared" si="11"/>
        <v>0</v>
      </c>
      <c r="T96" s="4716">
        <f t="shared" si="12"/>
        <v>0</v>
      </c>
      <c r="U96" s="4716">
        <f t="shared" si="13"/>
        <v>0</v>
      </c>
    </row>
    <row r="97" spans="2:21" ht="13.8" x14ac:dyDescent="0.3">
      <c r="B97" s="296"/>
      <c r="C97" s="296" t="s">
        <v>245</v>
      </c>
      <c r="D97" s="299">
        <v>0</v>
      </c>
      <c r="E97" s="296" t="s">
        <v>617</v>
      </c>
      <c r="F97" s="296" t="s">
        <v>211</v>
      </c>
      <c r="G97" s="297"/>
      <c r="H97" s="297"/>
      <c r="I97" s="3854">
        <v>0</v>
      </c>
      <c r="J97" s="3863"/>
      <c r="K97" s="3863"/>
      <c r="L97" s="3865" t="e">
        <f t="shared" si="16"/>
        <v>#DIV/0!</v>
      </c>
      <c r="M97" s="3865" t="e">
        <f t="shared" si="17"/>
        <v>#DIV/0!</v>
      </c>
      <c r="N97" s="218">
        <f t="shared" si="18"/>
        <v>0</v>
      </c>
      <c r="O97" s="218">
        <f t="shared" si="19"/>
        <v>0</v>
      </c>
      <c r="P97" s="218">
        <f>IF(K97=0, 0, (HLOOKUP(K97,'[1]G-CESTD'!$A$5:$G$35,J97+1,FALSE)*R47))</f>
        <v>0</v>
      </c>
      <c r="Q97" s="218">
        <f>IF(K97=0, 0, (HLOOKUP(K97,'[1]G-CESTD'!$A$5:$G$35,J97+1,FALSE)*R47))</f>
        <v>0</v>
      </c>
      <c r="R97" s="292">
        <v>1.081</v>
      </c>
      <c r="S97" s="4716">
        <f t="shared" si="11"/>
        <v>0</v>
      </c>
      <c r="T97" s="4716">
        <f t="shared" si="12"/>
        <v>0</v>
      </c>
      <c r="U97" s="4716">
        <f t="shared" si="13"/>
        <v>0</v>
      </c>
    </row>
    <row r="98" spans="2:21" ht="13.8" x14ac:dyDescent="0.3">
      <c r="B98" s="296"/>
      <c r="C98" s="296" t="s">
        <v>246</v>
      </c>
      <c r="D98" s="299">
        <v>0</v>
      </c>
      <c r="E98" s="296" t="s">
        <v>617</v>
      </c>
      <c r="F98" s="296" t="s">
        <v>211</v>
      </c>
      <c r="G98" s="297"/>
      <c r="H98" s="297"/>
      <c r="I98" s="3854">
        <v>0</v>
      </c>
      <c r="J98" s="3863"/>
      <c r="K98" s="3863"/>
      <c r="L98" s="3865" t="e">
        <f t="shared" si="16"/>
        <v>#DIV/0!</v>
      </c>
      <c r="M98" s="3865" t="e">
        <f t="shared" si="17"/>
        <v>#DIV/0!</v>
      </c>
      <c r="N98" s="218">
        <f t="shared" si="18"/>
        <v>0</v>
      </c>
      <c r="O98" s="218">
        <f t="shared" si="19"/>
        <v>0</v>
      </c>
      <c r="P98" s="218">
        <f>IF(K98=0, 0, (HLOOKUP(K98,'[1]G-CESTD'!$A$5:$G$35,J98+1,FALSE)*R48))</f>
        <v>0</v>
      </c>
      <c r="Q98" s="218">
        <f>IF(K98=0, 0, (HLOOKUP(K98,'[1]G-CESTD'!$A$5:$G$35,J98+1,FALSE)*R48))</f>
        <v>0</v>
      </c>
      <c r="R98" s="292">
        <v>1.081</v>
      </c>
      <c r="S98" s="4716">
        <f t="shared" si="11"/>
        <v>0</v>
      </c>
      <c r="T98" s="4716">
        <f t="shared" si="12"/>
        <v>0</v>
      </c>
      <c r="U98" s="4716">
        <f t="shared" si="13"/>
        <v>0</v>
      </c>
    </row>
    <row r="99" spans="2:21" ht="13.8" x14ac:dyDescent="0.3">
      <c r="B99" s="296"/>
      <c r="C99" s="296" t="s">
        <v>247</v>
      </c>
      <c r="D99" s="299">
        <v>0</v>
      </c>
      <c r="E99" s="296" t="s">
        <v>617</v>
      </c>
      <c r="F99" s="296" t="s">
        <v>211</v>
      </c>
      <c r="G99" s="297"/>
      <c r="H99" s="297"/>
      <c r="I99" s="3854">
        <v>0</v>
      </c>
      <c r="J99" s="3863"/>
      <c r="K99" s="3863"/>
      <c r="L99" s="3865" t="e">
        <f t="shared" si="16"/>
        <v>#DIV/0!</v>
      </c>
      <c r="M99" s="3865" t="e">
        <f t="shared" si="17"/>
        <v>#DIV/0!</v>
      </c>
      <c r="N99" s="218">
        <f t="shared" si="18"/>
        <v>0</v>
      </c>
      <c r="O99" s="218">
        <f t="shared" si="19"/>
        <v>0</v>
      </c>
      <c r="P99" s="218">
        <f>IF(K99=0, 0, (HLOOKUP(K99,'[1]G-CESTD'!$A$5:$G$35,J99+1,FALSE)*R49))</f>
        <v>0</v>
      </c>
      <c r="Q99" s="218">
        <f>IF(K99=0, 0, (HLOOKUP(K99,'[1]G-CESTD'!$A$5:$G$35,J99+1,FALSE)*R49))</f>
        <v>0</v>
      </c>
      <c r="R99" s="292">
        <v>1.081</v>
      </c>
      <c r="S99" s="4716">
        <f t="shared" si="11"/>
        <v>0</v>
      </c>
      <c r="T99" s="4716">
        <f t="shared" si="12"/>
        <v>0</v>
      </c>
      <c r="U99" s="4716">
        <f t="shared" si="13"/>
        <v>0</v>
      </c>
    </row>
    <row r="100" spans="2:21" ht="13.8" x14ac:dyDescent="0.3">
      <c r="B100" s="296"/>
      <c r="C100" s="296" t="s">
        <v>248</v>
      </c>
      <c r="D100" s="299">
        <v>0</v>
      </c>
      <c r="E100" s="296" t="s">
        <v>617</v>
      </c>
      <c r="F100" s="296" t="s">
        <v>211</v>
      </c>
      <c r="G100" s="297"/>
      <c r="H100" s="297"/>
      <c r="I100" s="3854">
        <v>0</v>
      </c>
      <c r="J100" s="3863"/>
      <c r="K100" s="3863"/>
      <c r="L100" s="3865" t="e">
        <f t="shared" si="16"/>
        <v>#DIV/0!</v>
      </c>
      <c r="M100" s="3865" t="e">
        <f t="shared" si="17"/>
        <v>#DIV/0!</v>
      </c>
      <c r="N100" s="218">
        <f t="shared" si="18"/>
        <v>0</v>
      </c>
      <c r="O100" s="218">
        <f t="shared" si="19"/>
        <v>0</v>
      </c>
      <c r="P100" s="218">
        <f>IF(K100=0, 0, (HLOOKUP(K100,'[1]G-CESTD'!$A$5:$G$35,J100+1,FALSE)*R50))</f>
        <v>0</v>
      </c>
      <c r="Q100" s="218">
        <f>IF(K100=0, 0, (HLOOKUP(K100,'[1]G-CESTD'!$A$5:$G$35,J100+1,FALSE)*R50))</f>
        <v>0</v>
      </c>
      <c r="R100" s="292">
        <v>1.081</v>
      </c>
      <c r="S100" s="4716">
        <f t="shared" si="11"/>
        <v>0</v>
      </c>
      <c r="T100" s="4716">
        <f t="shared" si="12"/>
        <v>0</v>
      </c>
      <c r="U100" s="4716">
        <f t="shared" si="13"/>
        <v>0</v>
      </c>
    </row>
    <row r="101" spans="2:21" ht="13.8" x14ac:dyDescent="0.3">
      <c r="B101" s="296"/>
      <c r="C101" s="296" t="s">
        <v>249</v>
      </c>
      <c r="D101" s="299">
        <v>0</v>
      </c>
      <c r="E101" s="296" t="s">
        <v>617</v>
      </c>
      <c r="F101" s="296" t="s">
        <v>211</v>
      </c>
      <c r="G101" s="297"/>
      <c r="H101" s="297"/>
      <c r="I101" s="3854">
        <v>0</v>
      </c>
      <c r="J101" s="3863"/>
      <c r="K101" s="3863"/>
      <c r="L101" s="3865" t="e">
        <f t="shared" si="16"/>
        <v>#DIV/0!</v>
      </c>
      <c r="M101" s="3865" t="e">
        <f t="shared" si="17"/>
        <v>#DIV/0!</v>
      </c>
      <c r="N101" s="218">
        <f t="shared" si="18"/>
        <v>0</v>
      </c>
      <c r="O101" s="218">
        <f t="shared" si="19"/>
        <v>0</v>
      </c>
      <c r="P101" s="218">
        <f>IF(K101=0, 0, (HLOOKUP(K101,'[1]G-CESTD'!$A$5:$G$35,J101+1,FALSE)*R51))</f>
        <v>0</v>
      </c>
      <c r="Q101" s="218">
        <f>IF(K101=0, 0, (HLOOKUP(K101,'[1]G-CESTD'!$A$5:$G$35,J101+1,FALSE)*R51))</f>
        <v>0</v>
      </c>
      <c r="R101" s="292">
        <v>1.081</v>
      </c>
      <c r="S101" s="4716">
        <f t="shared" si="11"/>
        <v>0</v>
      </c>
      <c r="T101" s="4716">
        <f t="shared" si="12"/>
        <v>0</v>
      </c>
      <c r="U101" s="4716">
        <f t="shared" si="13"/>
        <v>0</v>
      </c>
    </row>
    <row r="102" spans="2:21" ht="13.8" x14ac:dyDescent="0.3">
      <c r="B102" s="296"/>
      <c r="C102" s="296" t="s">
        <v>250</v>
      </c>
      <c r="D102" s="299">
        <v>0</v>
      </c>
      <c r="E102" s="296" t="s">
        <v>617</v>
      </c>
      <c r="F102" s="296" t="s">
        <v>211</v>
      </c>
      <c r="G102" s="297"/>
      <c r="H102" s="297"/>
      <c r="I102" s="3854">
        <v>0</v>
      </c>
      <c r="J102" s="3863"/>
      <c r="K102" s="3863"/>
      <c r="L102" s="3865" t="e">
        <f t="shared" si="16"/>
        <v>#DIV/0!</v>
      </c>
      <c r="M102" s="3865" t="e">
        <f t="shared" si="17"/>
        <v>#DIV/0!</v>
      </c>
      <c r="N102" s="218">
        <f t="shared" si="18"/>
        <v>0</v>
      </c>
      <c r="O102" s="218">
        <f t="shared" si="19"/>
        <v>0</v>
      </c>
      <c r="P102" s="218">
        <f>IF(K102=0, 0, (HLOOKUP(K102,'[1]G-CESTD'!$A$5:$G$35,J102+1,FALSE)*R52))</f>
        <v>0</v>
      </c>
      <c r="Q102" s="218">
        <f>IF(K102=0, 0, (HLOOKUP(K102,'[1]G-CESTD'!$A$5:$G$35,J102+1,FALSE)*R52))</f>
        <v>0</v>
      </c>
      <c r="R102" s="292">
        <v>1.081</v>
      </c>
      <c r="S102" s="4716">
        <f t="shared" si="11"/>
        <v>0</v>
      </c>
      <c r="T102" s="4716">
        <f t="shared" si="12"/>
        <v>0</v>
      </c>
      <c r="U102" s="4716">
        <f t="shared" si="13"/>
        <v>0</v>
      </c>
    </row>
    <row r="103" spans="2:21" ht="14.4" thickBot="1" x14ac:dyDescent="0.35">
      <c r="B103" s="296"/>
      <c r="C103" s="296" t="s">
        <v>251</v>
      </c>
      <c r="D103" s="299">
        <v>0</v>
      </c>
      <c r="E103" s="296" t="s">
        <v>617</v>
      </c>
      <c r="F103" s="296" t="s">
        <v>211</v>
      </c>
      <c r="G103" s="297"/>
      <c r="H103" s="297"/>
      <c r="I103" s="3854">
        <v>0</v>
      </c>
      <c r="J103" s="3863"/>
      <c r="K103" s="3863"/>
      <c r="L103" s="3869" t="e">
        <f t="shared" si="16"/>
        <v>#DIV/0!</v>
      </c>
      <c r="M103" s="3869" t="e">
        <f t="shared" si="17"/>
        <v>#DIV/0!</v>
      </c>
      <c r="N103" s="218">
        <f t="shared" si="18"/>
        <v>0</v>
      </c>
      <c r="O103" s="218">
        <f t="shared" si="19"/>
        <v>0</v>
      </c>
      <c r="P103" s="218">
        <f>IF(K103=0, 0, (HLOOKUP(K103,'[1]G-CESTD'!$A$5:$G$35,J103+1,FALSE)*R53))</f>
        <v>0</v>
      </c>
      <c r="Q103" s="218">
        <f>IF(K103=0, 0, (HLOOKUP(K103,'[1]G-CESTD'!$A$5:$G$35,J103+1,FALSE)*R53))</f>
        <v>0</v>
      </c>
      <c r="R103" s="292">
        <v>1.081</v>
      </c>
      <c r="S103" s="4716">
        <f t="shared" si="11"/>
        <v>0</v>
      </c>
      <c r="T103" s="4716">
        <f t="shared" si="12"/>
        <v>0</v>
      </c>
      <c r="U103" s="4716">
        <f t="shared" si="13"/>
        <v>0</v>
      </c>
    </row>
    <row r="104" spans="2:21" ht="14.4" thickBot="1" x14ac:dyDescent="0.35">
      <c r="G104" s="300">
        <f>SUMPRODUCT(G62:G103,O12:O53)</f>
        <v>427466</v>
      </c>
      <c r="H104" s="301">
        <f>U104</f>
        <v>271978</v>
      </c>
      <c r="I104" s="3871">
        <f>SUM(I62:I103)</f>
        <v>0.99999999999999989</v>
      </c>
      <c r="J104" s="3872">
        <f>ROUND(SUMPRODUCT(J62:J103,R12:R53)/R54,0)</f>
        <v>22</v>
      </c>
      <c r="K104" s="3873"/>
      <c r="L104" s="3866">
        <f>P104/N104</f>
        <v>1.3866061810067947</v>
      </c>
      <c r="M104" s="3867">
        <f>Q104/O104</f>
        <v>1.0333321888720006</v>
      </c>
      <c r="N104" s="311">
        <f>SUM(N62:N103)</f>
        <v>420726.12025901943</v>
      </c>
      <c r="O104" s="311">
        <f>SUM(O62:O103)</f>
        <v>564563.30804810359</v>
      </c>
      <c r="P104" s="311">
        <f>SUM(P62:P103)</f>
        <v>583381.43886216439</v>
      </c>
      <c r="Q104" s="311">
        <f>SUM(Q62:Q103)</f>
        <v>583381.43886216439</v>
      </c>
      <c r="R104" s="307">
        <v>1.081</v>
      </c>
      <c r="S104" s="308">
        <f>SUM(S62:S103)</f>
        <v>135989</v>
      </c>
      <c r="T104" s="308">
        <f>SUM(T62:T103)</f>
        <v>135989</v>
      </c>
      <c r="U104" s="308">
        <f>SUM(U62:U103)</f>
        <v>271978</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1" top="0.35" bottom="0.34" header="0.3" footer="0.3"/>
  <pageSetup paperSize="17" scale="53" orientation="landscape" r:id="rId2"/>
  <drawing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7"/>
  <sheetViews>
    <sheetView workbookViewId="0">
      <pane xSplit="1" ySplit="1" topLeftCell="K2" activePane="bottomRight" state="frozen"/>
      <selection pane="topRight" activeCell="B1" sqref="B1"/>
      <selection pane="bottomLeft" activeCell="A2" sqref="A2"/>
      <selection pane="bottomRight" activeCell="M12" sqref="M12:N19"/>
    </sheetView>
  </sheetViews>
  <sheetFormatPr defaultRowHeight="13.2" x14ac:dyDescent="0.25"/>
  <cols>
    <col min="1" max="1" width="15.5546875" style="3369" customWidth="1"/>
    <col min="2" max="2" width="18.88671875" customWidth="1"/>
    <col min="3" max="3" width="32.109375" customWidth="1"/>
    <col min="4" max="4" width="17" style="19" customWidth="1"/>
    <col min="5" max="5" width="17" customWidth="1"/>
    <col min="6" max="6" width="16.88671875" bestFit="1" customWidth="1"/>
    <col min="7" max="7" width="13.44140625" customWidth="1"/>
    <col min="8" max="8" width="15.44140625" bestFit="1" customWidth="1"/>
    <col min="9" max="9" width="14.33203125" bestFit="1" customWidth="1"/>
    <col min="10" max="10" width="15.33203125" customWidth="1"/>
    <col min="11" max="11" width="15.88671875" customWidth="1"/>
    <col min="12" max="12" width="17.33203125" bestFit="1" customWidth="1"/>
    <col min="13" max="13" width="12.6640625" customWidth="1"/>
    <col min="14" max="14" width="13.6640625" customWidth="1"/>
    <col min="15" max="15" width="14.109375" bestFit="1" customWidth="1"/>
    <col min="16" max="16" width="17.33203125" bestFit="1" customWidth="1"/>
    <col min="17" max="17" width="16.109375" customWidth="1"/>
    <col min="18" max="18" width="17.5546875" bestFit="1" customWidth="1"/>
    <col min="19" max="19" width="16.33203125" bestFit="1" customWidth="1"/>
    <col min="20"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88671875" bestFit="1" customWidth="1"/>
    <col min="261" max="261" width="14.88671875" bestFit="1" customWidth="1"/>
    <col min="262" max="262" width="16.88671875" bestFit="1" customWidth="1"/>
    <col min="263" max="263" width="13.44140625" customWidth="1"/>
    <col min="264" max="264" width="15.44140625" bestFit="1" customWidth="1"/>
    <col min="265" max="265" width="14.33203125" bestFit="1" customWidth="1"/>
    <col min="266" max="266" width="15.33203125" customWidth="1"/>
    <col min="267" max="267" width="15.88671875" customWidth="1"/>
    <col min="268" max="268" width="17.33203125" bestFit="1" customWidth="1"/>
    <col min="269" max="269" width="12.6640625" customWidth="1"/>
    <col min="270" max="270" width="13.6640625" customWidth="1"/>
    <col min="271" max="271" width="14.109375" bestFit="1" customWidth="1"/>
    <col min="272" max="272" width="17.33203125" bestFit="1" customWidth="1"/>
    <col min="273" max="273" width="16.109375" customWidth="1"/>
    <col min="274" max="274" width="17.5546875" bestFit="1" customWidth="1"/>
    <col min="275" max="275" width="16.33203125" bestFit="1" customWidth="1"/>
    <col min="276"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88671875" bestFit="1" customWidth="1"/>
    <col min="517" max="517" width="14.88671875" bestFit="1" customWidth="1"/>
    <col min="518" max="518" width="16.88671875" bestFit="1" customWidth="1"/>
    <col min="519" max="519" width="13.44140625" customWidth="1"/>
    <col min="520" max="520" width="15.44140625" bestFit="1" customWidth="1"/>
    <col min="521" max="521" width="14.33203125" bestFit="1" customWidth="1"/>
    <col min="522" max="522" width="15.33203125" customWidth="1"/>
    <col min="523" max="523" width="15.88671875" customWidth="1"/>
    <col min="524" max="524" width="17.33203125" bestFit="1" customWidth="1"/>
    <col min="525" max="525" width="12.6640625" customWidth="1"/>
    <col min="526" max="526" width="13.6640625" customWidth="1"/>
    <col min="527" max="527" width="14.109375" bestFit="1" customWidth="1"/>
    <col min="528" max="528" width="17.33203125" bestFit="1" customWidth="1"/>
    <col min="529" max="529" width="16.109375" customWidth="1"/>
    <col min="530" max="530" width="17.5546875" bestFit="1" customWidth="1"/>
    <col min="531" max="531" width="16.33203125" bestFit="1" customWidth="1"/>
    <col min="532"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88671875" bestFit="1" customWidth="1"/>
    <col min="773" max="773" width="14.88671875" bestFit="1" customWidth="1"/>
    <col min="774" max="774" width="16.88671875" bestFit="1" customWidth="1"/>
    <col min="775" max="775" width="13.44140625" customWidth="1"/>
    <col min="776" max="776" width="15.44140625" bestFit="1" customWidth="1"/>
    <col min="777" max="777" width="14.33203125" bestFit="1" customWidth="1"/>
    <col min="778" max="778" width="15.33203125" customWidth="1"/>
    <col min="779" max="779" width="15.88671875" customWidth="1"/>
    <col min="780" max="780" width="17.33203125" bestFit="1" customWidth="1"/>
    <col min="781" max="781" width="12.6640625" customWidth="1"/>
    <col min="782" max="782" width="13.6640625" customWidth="1"/>
    <col min="783" max="783" width="14.109375" bestFit="1" customWidth="1"/>
    <col min="784" max="784" width="17.33203125" bestFit="1" customWidth="1"/>
    <col min="785" max="785" width="16.109375" customWidth="1"/>
    <col min="786" max="786" width="17.5546875" bestFit="1" customWidth="1"/>
    <col min="787" max="787" width="16.33203125" bestFit="1" customWidth="1"/>
    <col min="788"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88671875" bestFit="1" customWidth="1"/>
    <col min="1029" max="1029" width="14.88671875" bestFit="1" customWidth="1"/>
    <col min="1030" max="1030" width="16.88671875" bestFit="1" customWidth="1"/>
    <col min="1031" max="1031" width="13.44140625" customWidth="1"/>
    <col min="1032" max="1032" width="15.44140625" bestFit="1" customWidth="1"/>
    <col min="1033" max="1033" width="14.33203125" bestFit="1" customWidth="1"/>
    <col min="1034" max="1034" width="15.33203125" customWidth="1"/>
    <col min="1035" max="1035" width="15.88671875" customWidth="1"/>
    <col min="1036" max="1036" width="17.33203125" bestFit="1" customWidth="1"/>
    <col min="1037" max="1037" width="12.6640625" customWidth="1"/>
    <col min="1038" max="1038" width="13.6640625" customWidth="1"/>
    <col min="1039" max="1039" width="14.109375" bestFit="1" customWidth="1"/>
    <col min="1040" max="1040" width="17.33203125" bestFit="1" customWidth="1"/>
    <col min="1041" max="1041" width="16.109375" customWidth="1"/>
    <col min="1042" max="1042" width="17.5546875" bestFit="1" customWidth="1"/>
    <col min="1043" max="1043" width="16.33203125" bestFit="1" customWidth="1"/>
    <col min="1044"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88671875" bestFit="1" customWidth="1"/>
    <col min="1285" max="1285" width="14.88671875" bestFit="1" customWidth="1"/>
    <col min="1286" max="1286" width="16.88671875" bestFit="1" customWidth="1"/>
    <col min="1287" max="1287" width="13.44140625" customWidth="1"/>
    <col min="1288" max="1288" width="15.44140625" bestFit="1" customWidth="1"/>
    <col min="1289" max="1289" width="14.33203125" bestFit="1" customWidth="1"/>
    <col min="1290" max="1290" width="15.33203125" customWidth="1"/>
    <col min="1291" max="1291" width="15.88671875" customWidth="1"/>
    <col min="1292" max="1292" width="17.33203125" bestFit="1" customWidth="1"/>
    <col min="1293" max="1293" width="12.6640625" customWidth="1"/>
    <col min="1294" max="1294" width="13.6640625" customWidth="1"/>
    <col min="1295" max="1295" width="14.109375" bestFit="1" customWidth="1"/>
    <col min="1296" max="1296" width="17.33203125" bestFit="1" customWidth="1"/>
    <col min="1297" max="1297" width="16.109375" customWidth="1"/>
    <col min="1298" max="1298" width="17.5546875" bestFit="1" customWidth="1"/>
    <col min="1299" max="1299" width="16.33203125" bestFit="1" customWidth="1"/>
    <col min="1300"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88671875" bestFit="1" customWidth="1"/>
    <col min="1541" max="1541" width="14.88671875" bestFit="1" customWidth="1"/>
    <col min="1542" max="1542" width="16.88671875" bestFit="1" customWidth="1"/>
    <col min="1543" max="1543" width="13.44140625" customWidth="1"/>
    <col min="1544" max="1544" width="15.44140625" bestFit="1" customWidth="1"/>
    <col min="1545" max="1545" width="14.33203125" bestFit="1" customWidth="1"/>
    <col min="1546" max="1546" width="15.33203125" customWidth="1"/>
    <col min="1547" max="1547" width="15.88671875" customWidth="1"/>
    <col min="1548" max="1548" width="17.33203125" bestFit="1" customWidth="1"/>
    <col min="1549" max="1549" width="12.6640625" customWidth="1"/>
    <col min="1550" max="1550" width="13.6640625" customWidth="1"/>
    <col min="1551" max="1551" width="14.109375" bestFit="1" customWidth="1"/>
    <col min="1552" max="1552" width="17.33203125" bestFit="1" customWidth="1"/>
    <col min="1553" max="1553" width="16.109375" customWidth="1"/>
    <col min="1554" max="1554" width="17.5546875" bestFit="1" customWidth="1"/>
    <col min="1555" max="1555" width="16.33203125" bestFit="1" customWidth="1"/>
    <col min="1556"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88671875" bestFit="1" customWidth="1"/>
    <col min="1797" max="1797" width="14.88671875" bestFit="1" customWidth="1"/>
    <col min="1798" max="1798" width="16.88671875" bestFit="1" customWidth="1"/>
    <col min="1799" max="1799" width="13.44140625" customWidth="1"/>
    <col min="1800" max="1800" width="15.44140625" bestFit="1" customWidth="1"/>
    <col min="1801" max="1801" width="14.33203125" bestFit="1" customWidth="1"/>
    <col min="1802" max="1802" width="15.33203125" customWidth="1"/>
    <col min="1803" max="1803" width="15.88671875" customWidth="1"/>
    <col min="1804" max="1804" width="17.33203125" bestFit="1" customWidth="1"/>
    <col min="1805" max="1805" width="12.6640625" customWidth="1"/>
    <col min="1806" max="1806" width="13.6640625" customWidth="1"/>
    <col min="1807" max="1807" width="14.109375" bestFit="1" customWidth="1"/>
    <col min="1808" max="1808" width="17.33203125" bestFit="1" customWidth="1"/>
    <col min="1809" max="1809" width="16.109375" customWidth="1"/>
    <col min="1810" max="1810" width="17.5546875" bestFit="1" customWidth="1"/>
    <col min="1811" max="1811" width="16.33203125" bestFit="1" customWidth="1"/>
    <col min="1812"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88671875" bestFit="1" customWidth="1"/>
    <col min="2053" max="2053" width="14.88671875" bestFit="1" customWidth="1"/>
    <col min="2054" max="2054" width="16.88671875" bestFit="1" customWidth="1"/>
    <col min="2055" max="2055" width="13.44140625" customWidth="1"/>
    <col min="2056" max="2056" width="15.44140625" bestFit="1" customWidth="1"/>
    <col min="2057" max="2057" width="14.33203125" bestFit="1" customWidth="1"/>
    <col min="2058" max="2058" width="15.33203125" customWidth="1"/>
    <col min="2059" max="2059" width="15.88671875" customWidth="1"/>
    <col min="2060" max="2060" width="17.33203125" bestFit="1" customWidth="1"/>
    <col min="2061" max="2061" width="12.6640625" customWidth="1"/>
    <col min="2062" max="2062" width="13.6640625" customWidth="1"/>
    <col min="2063" max="2063" width="14.109375" bestFit="1" customWidth="1"/>
    <col min="2064" max="2064" width="17.33203125" bestFit="1" customWidth="1"/>
    <col min="2065" max="2065" width="16.109375" customWidth="1"/>
    <col min="2066" max="2066" width="17.5546875" bestFit="1" customWidth="1"/>
    <col min="2067" max="2067" width="16.33203125" bestFit="1" customWidth="1"/>
    <col min="2068"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88671875" bestFit="1" customWidth="1"/>
    <col min="2309" max="2309" width="14.88671875" bestFit="1" customWidth="1"/>
    <col min="2310" max="2310" width="16.88671875" bestFit="1" customWidth="1"/>
    <col min="2311" max="2311" width="13.44140625" customWidth="1"/>
    <col min="2312" max="2312" width="15.44140625" bestFit="1" customWidth="1"/>
    <col min="2313" max="2313" width="14.33203125" bestFit="1" customWidth="1"/>
    <col min="2314" max="2314" width="15.33203125" customWidth="1"/>
    <col min="2315" max="2315" width="15.88671875" customWidth="1"/>
    <col min="2316" max="2316" width="17.33203125" bestFit="1" customWidth="1"/>
    <col min="2317" max="2317" width="12.6640625" customWidth="1"/>
    <col min="2318" max="2318" width="13.6640625" customWidth="1"/>
    <col min="2319" max="2319" width="14.109375" bestFit="1" customWidth="1"/>
    <col min="2320" max="2320" width="17.33203125" bestFit="1" customWidth="1"/>
    <col min="2321" max="2321" width="16.109375" customWidth="1"/>
    <col min="2322" max="2322" width="17.5546875" bestFit="1" customWidth="1"/>
    <col min="2323" max="2323" width="16.33203125" bestFit="1" customWidth="1"/>
    <col min="2324"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88671875" bestFit="1" customWidth="1"/>
    <col min="2565" max="2565" width="14.88671875" bestFit="1" customWidth="1"/>
    <col min="2566" max="2566" width="16.88671875" bestFit="1" customWidth="1"/>
    <col min="2567" max="2567" width="13.44140625" customWidth="1"/>
    <col min="2568" max="2568" width="15.44140625" bestFit="1" customWidth="1"/>
    <col min="2569" max="2569" width="14.33203125" bestFit="1" customWidth="1"/>
    <col min="2570" max="2570" width="15.33203125" customWidth="1"/>
    <col min="2571" max="2571" width="15.88671875" customWidth="1"/>
    <col min="2572" max="2572" width="17.33203125" bestFit="1" customWidth="1"/>
    <col min="2573" max="2573" width="12.6640625" customWidth="1"/>
    <col min="2574" max="2574" width="13.6640625" customWidth="1"/>
    <col min="2575" max="2575" width="14.109375" bestFit="1" customWidth="1"/>
    <col min="2576" max="2576" width="17.33203125" bestFit="1" customWidth="1"/>
    <col min="2577" max="2577" width="16.109375" customWidth="1"/>
    <col min="2578" max="2578" width="17.5546875" bestFit="1" customWidth="1"/>
    <col min="2579" max="2579" width="16.33203125" bestFit="1" customWidth="1"/>
    <col min="2580"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88671875" bestFit="1" customWidth="1"/>
    <col min="2821" max="2821" width="14.88671875" bestFit="1" customWidth="1"/>
    <col min="2822" max="2822" width="16.88671875" bestFit="1" customWidth="1"/>
    <col min="2823" max="2823" width="13.44140625" customWidth="1"/>
    <col min="2824" max="2824" width="15.44140625" bestFit="1" customWidth="1"/>
    <col min="2825" max="2825" width="14.33203125" bestFit="1" customWidth="1"/>
    <col min="2826" max="2826" width="15.33203125" customWidth="1"/>
    <col min="2827" max="2827" width="15.88671875" customWidth="1"/>
    <col min="2828" max="2828" width="17.33203125" bestFit="1" customWidth="1"/>
    <col min="2829" max="2829" width="12.6640625" customWidth="1"/>
    <col min="2830" max="2830" width="13.6640625" customWidth="1"/>
    <col min="2831" max="2831" width="14.109375" bestFit="1" customWidth="1"/>
    <col min="2832" max="2832" width="17.33203125" bestFit="1" customWidth="1"/>
    <col min="2833" max="2833" width="16.109375" customWidth="1"/>
    <col min="2834" max="2834" width="17.5546875" bestFit="1" customWidth="1"/>
    <col min="2835" max="2835" width="16.33203125" bestFit="1" customWidth="1"/>
    <col min="2836"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88671875" bestFit="1" customWidth="1"/>
    <col min="3077" max="3077" width="14.88671875" bestFit="1" customWidth="1"/>
    <col min="3078" max="3078" width="16.88671875" bestFit="1" customWidth="1"/>
    <col min="3079" max="3079" width="13.44140625" customWidth="1"/>
    <col min="3080" max="3080" width="15.44140625" bestFit="1" customWidth="1"/>
    <col min="3081" max="3081" width="14.33203125" bestFit="1" customWidth="1"/>
    <col min="3082" max="3082" width="15.33203125" customWidth="1"/>
    <col min="3083" max="3083" width="15.88671875" customWidth="1"/>
    <col min="3084" max="3084" width="17.33203125" bestFit="1" customWidth="1"/>
    <col min="3085" max="3085" width="12.6640625" customWidth="1"/>
    <col min="3086" max="3086" width="13.6640625" customWidth="1"/>
    <col min="3087" max="3087" width="14.109375" bestFit="1" customWidth="1"/>
    <col min="3088" max="3088" width="17.33203125" bestFit="1" customWidth="1"/>
    <col min="3089" max="3089" width="16.109375" customWidth="1"/>
    <col min="3090" max="3090" width="17.5546875" bestFit="1" customWidth="1"/>
    <col min="3091" max="3091" width="16.33203125" bestFit="1" customWidth="1"/>
    <col min="3092"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88671875" bestFit="1" customWidth="1"/>
    <col min="3333" max="3333" width="14.88671875" bestFit="1" customWidth="1"/>
    <col min="3334" max="3334" width="16.88671875" bestFit="1" customWidth="1"/>
    <col min="3335" max="3335" width="13.44140625" customWidth="1"/>
    <col min="3336" max="3336" width="15.44140625" bestFit="1" customWidth="1"/>
    <col min="3337" max="3337" width="14.33203125" bestFit="1" customWidth="1"/>
    <col min="3338" max="3338" width="15.33203125" customWidth="1"/>
    <col min="3339" max="3339" width="15.88671875" customWidth="1"/>
    <col min="3340" max="3340" width="17.33203125" bestFit="1" customWidth="1"/>
    <col min="3341" max="3341" width="12.6640625" customWidth="1"/>
    <col min="3342" max="3342" width="13.6640625" customWidth="1"/>
    <col min="3343" max="3343" width="14.109375" bestFit="1" customWidth="1"/>
    <col min="3344" max="3344" width="17.33203125" bestFit="1" customWidth="1"/>
    <col min="3345" max="3345" width="16.109375" customWidth="1"/>
    <col min="3346" max="3346" width="17.5546875" bestFit="1" customWidth="1"/>
    <col min="3347" max="3347" width="16.33203125" bestFit="1" customWidth="1"/>
    <col min="3348"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88671875" bestFit="1" customWidth="1"/>
    <col min="3589" max="3589" width="14.88671875" bestFit="1" customWidth="1"/>
    <col min="3590" max="3590" width="16.88671875" bestFit="1" customWidth="1"/>
    <col min="3591" max="3591" width="13.44140625" customWidth="1"/>
    <col min="3592" max="3592" width="15.44140625" bestFit="1" customWidth="1"/>
    <col min="3593" max="3593" width="14.33203125" bestFit="1" customWidth="1"/>
    <col min="3594" max="3594" width="15.33203125" customWidth="1"/>
    <col min="3595" max="3595" width="15.88671875" customWidth="1"/>
    <col min="3596" max="3596" width="17.33203125" bestFit="1" customWidth="1"/>
    <col min="3597" max="3597" width="12.6640625" customWidth="1"/>
    <col min="3598" max="3598" width="13.6640625" customWidth="1"/>
    <col min="3599" max="3599" width="14.109375" bestFit="1" customWidth="1"/>
    <col min="3600" max="3600" width="17.33203125" bestFit="1" customWidth="1"/>
    <col min="3601" max="3601" width="16.109375" customWidth="1"/>
    <col min="3602" max="3602" width="17.5546875" bestFit="1" customWidth="1"/>
    <col min="3603" max="3603" width="16.33203125" bestFit="1" customWidth="1"/>
    <col min="3604"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88671875" bestFit="1" customWidth="1"/>
    <col min="3845" max="3845" width="14.88671875" bestFit="1" customWidth="1"/>
    <col min="3846" max="3846" width="16.88671875" bestFit="1" customWidth="1"/>
    <col min="3847" max="3847" width="13.44140625" customWidth="1"/>
    <col min="3848" max="3848" width="15.44140625" bestFit="1" customWidth="1"/>
    <col min="3849" max="3849" width="14.33203125" bestFit="1" customWidth="1"/>
    <col min="3850" max="3850" width="15.33203125" customWidth="1"/>
    <col min="3851" max="3851" width="15.88671875" customWidth="1"/>
    <col min="3852" max="3852" width="17.33203125" bestFit="1" customWidth="1"/>
    <col min="3853" max="3853" width="12.6640625" customWidth="1"/>
    <col min="3854" max="3854" width="13.6640625" customWidth="1"/>
    <col min="3855" max="3855" width="14.109375" bestFit="1" customWidth="1"/>
    <col min="3856" max="3856" width="17.33203125" bestFit="1" customWidth="1"/>
    <col min="3857" max="3857" width="16.109375" customWidth="1"/>
    <col min="3858" max="3858" width="17.5546875" bestFit="1" customWidth="1"/>
    <col min="3859" max="3859" width="16.33203125" bestFit="1" customWidth="1"/>
    <col min="3860"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88671875" bestFit="1" customWidth="1"/>
    <col min="4101" max="4101" width="14.88671875" bestFit="1" customWidth="1"/>
    <col min="4102" max="4102" width="16.88671875" bestFit="1" customWidth="1"/>
    <col min="4103" max="4103" width="13.44140625" customWidth="1"/>
    <col min="4104" max="4104" width="15.44140625" bestFit="1" customWidth="1"/>
    <col min="4105" max="4105" width="14.33203125" bestFit="1" customWidth="1"/>
    <col min="4106" max="4106" width="15.33203125" customWidth="1"/>
    <col min="4107" max="4107" width="15.88671875" customWidth="1"/>
    <col min="4108" max="4108" width="17.33203125" bestFit="1" customWidth="1"/>
    <col min="4109" max="4109" width="12.6640625" customWidth="1"/>
    <col min="4110" max="4110" width="13.6640625" customWidth="1"/>
    <col min="4111" max="4111" width="14.109375" bestFit="1" customWidth="1"/>
    <col min="4112" max="4112" width="17.33203125" bestFit="1" customWidth="1"/>
    <col min="4113" max="4113" width="16.109375" customWidth="1"/>
    <col min="4114" max="4114" width="17.5546875" bestFit="1" customWidth="1"/>
    <col min="4115" max="4115" width="16.33203125" bestFit="1" customWidth="1"/>
    <col min="4116"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88671875" bestFit="1" customWidth="1"/>
    <col min="4357" max="4357" width="14.88671875" bestFit="1" customWidth="1"/>
    <col min="4358" max="4358" width="16.88671875" bestFit="1" customWidth="1"/>
    <col min="4359" max="4359" width="13.44140625" customWidth="1"/>
    <col min="4360" max="4360" width="15.44140625" bestFit="1" customWidth="1"/>
    <col min="4361" max="4361" width="14.33203125" bestFit="1" customWidth="1"/>
    <col min="4362" max="4362" width="15.33203125" customWidth="1"/>
    <col min="4363" max="4363" width="15.88671875" customWidth="1"/>
    <col min="4364" max="4364" width="17.33203125" bestFit="1" customWidth="1"/>
    <col min="4365" max="4365" width="12.6640625" customWidth="1"/>
    <col min="4366" max="4366" width="13.6640625" customWidth="1"/>
    <col min="4367" max="4367" width="14.109375" bestFit="1" customWidth="1"/>
    <col min="4368" max="4368" width="17.33203125" bestFit="1" customWidth="1"/>
    <col min="4369" max="4369" width="16.109375" customWidth="1"/>
    <col min="4370" max="4370" width="17.5546875" bestFit="1" customWidth="1"/>
    <col min="4371" max="4371" width="16.33203125" bestFit="1" customWidth="1"/>
    <col min="4372"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88671875" bestFit="1" customWidth="1"/>
    <col min="4613" max="4613" width="14.88671875" bestFit="1" customWidth="1"/>
    <col min="4614" max="4614" width="16.88671875" bestFit="1" customWidth="1"/>
    <col min="4615" max="4615" width="13.44140625" customWidth="1"/>
    <col min="4616" max="4616" width="15.44140625" bestFit="1" customWidth="1"/>
    <col min="4617" max="4617" width="14.33203125" bestFit="1" customWidth="1"/>
    <col min="4618" max="4618" width="15.33203125" customWidth="1"/>
    <col min="4619" max="4619" width="15.88671875" customWidth="1"/>
    <col min="4620" max="4620" width="17.33203125" bestFit="1" customWidth="1"/>
    <col min="4621" max="4621" width="12.6640625" customWidth="1"/>
    <col min="4622" max="4622" width="13.6640625" customWidth="1"/>
    <col min="4623" max="4623" width="14.109375" bestFit="1" customWidth="1"/>
    <col min="4624" max="4624" width="17.33203125" bestFit="1" customWidth="1"/>
    <col min="4625" max="4625" width="16.109375" customWidth="1"/>
    <col min="4626" max="4626" width="17.5546875" bestFit="1" customWidth="1"/>
    <col min="4627" max="4627" width="16.33203125" bestFit="1" customWidth="1"/>
    <col min="4628"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88671875" bestFit="1" customWidth="1"/>
    <col min="4869" max="4869" width="14.88671875" bestFit="1" customWidth="1"/>
    <col min="4870" max="4870" width="16.88671875" bestFit="1" customWidth="1"/>
    <col min="4871" max="4871" width="13.44140625" customWidth="1"/>
    <col min="4872" max="4872" width="15.44140625" bestFit="1" customWidth="1"/>
    <col min="4873" max="4873" width="14.33203125" bestFit="1" customWidth="1"/>
    <col min="4874" max="4874" width="15.33203125" customWidth="1"/>
    <col min="4875" max="4875" width="15.88671875" customWidth="1"/>
    <col min="4876" max="4876" width="17.33203125" bestFit="1" customWidth="1"/>
    <col min="4877" max="4877" width="12.6640625" customWidth="1"/>
    <col min="4878" max="4878" width="13.6640625" customWidth="1"/>
    <col min="4879" max="4879" width="14.109375" bestFit="1" customWidth="1"/>
    <col min="4880" max="4880" width="17.33203125" bestFit="1" customWidth="1"/>
    <col min="4881" max="4881" width="16.109375" customWidth="1"/>
    <col min="4882" max="4882" width="17.5546875" bestFit="1" customWidth="1"/>
    <col min="4883" max="4883" width="16.33203125" bestFit="1" customWidth="1"/>
    <col min="4884"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88671875" bestFit="1" customWidth="1"/>
    <col min="5125" max="5125" width="14.88671875" bestFit="1" customWidth="1"/>
    <col min="5126" max="5126" width="16.88671875" bestFit="1" customWidth="1"/>
    <col min="5127" max="5127" width="13.44140625" customWidth="1"/>
    <col min="5128" max="5128" width="15.44140625" bestFit="1" customWidth="1"/>
    <col min="5129" max="5129" width="14.33203125" bestFit="1" customWidth="1"/>
    <col min="5130" max="5130" width="15.33203125" customWidth="1"/>
    <col min="5131" max="5131" width="15.88671875" customWidth="1"/>
    <col min="5132" max="5132" width="17.33203125" bestFit="1" customWidth="1"/>
    <col min="5133" max="5133" width="12.6640625" customWidth="1"/>
    <col min="5134" max="5134" width="13.6640625" customWidth="1"/>
    <col min="5135" max="5135" width="14.109375" bestFit="1" customWidth="1"/>
    <col min="5136" max="5136" width="17.33203125" bestFit="1" customWidth="1"/>
    <col min="5137" max="5137" width="16.109375" customWidth="1"/>
    <col min="5138" max="5138" width="17.5546875" bestFit="1" customWidth="1"/>
    <col min="5139" max="5139" width="16.33203125" bestFit="1" customWidth="1"/>
    <col min="5140"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88671875" bestFit="1" customWidth="1"/>
    <col min="5381" max="5381" width="14.88671875" bestFit="1" customWidth="1"/>
    <col min="5382" max="5382" width="16.88671875" bestFit="1" customWidth="1"/>
    <col min="5383" max="5383" width="13.44140625" customWidth="1"/>
    <col min="5384" max="5384" width="15.44140625" bestFit="1" customWidth="1"/>
    <col min="5385" max="5385" width="14.33203125" bestFit="1" customWidth="1"/>
    <col min="5386" max="5386" width="15.33203125" customWidth="1"/>
    <col min="5387" max="5387" width="15.88671875" customWidth="1"/>
    <col min="5388" max="5388" width="17.33203125" bestFit="1" customWidth="1"/>
    <col min="5389" max="5389" width="12.6640625" customWidth="1"/>
    <col min="5390" max="5390" width="13.6640625" customWidth="1"/>
    <col min="5391" max="5391" width="14.109375" bestFit="1" customWidth="1"/>
    <col min="5392" max="5392" width="17.33203125" bestFit="1" customWidth="1"/>
    <col min="5393" max="5393" width="16.109375" customWidth="1"/>
    <col min="5394" max="5394" width="17.5546875" bestFit="1" customWidth="1"/>
    <col min="5395" max="5395" width="16.33203125" bestFit="1" customWidth="1"/>
    <col min="5396"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88671875" bestFit="1" customWidth="1"/>
    <col min="5637" max="5637" width="14.88671875" bestFit="1" customWidth="1"/>
    <col min="5638" max="5638" width="16.88671875" bestFit="1" customWidth="1"/>
    <col min="5639" max="5639" width="13.44140625" customWidth="1"/>
    <col min="5640" max="5640" width="15.44140625" bestFit="1" customWidth="1"/>
    <col min="5641" max="5641" width="14.33203125" bestFit="1" customWidth="1"/>
    <col min="5642" max="5642" width="15.33203125" customWidth="1"/>
    <col min="5643" max="5643" width="15.88671875" customWidth="1"/>
    <col min="5644" max="5644" width="17.33203125" bestFit="1" customWidth="1"/>
    <col min="5645" max="5645" width="12.6640625" customWidth="1"/>
    <col min="5646" max="5646" width="13.6640625" customWidth="1"/>
    <col min="5647" max="5647" width="14.109375" bestFit="1" customWidth="1"/>
    <col min="5648" max="5648" width="17.33203125" bestFit="1" customWidth="1"/>
    <col min="5649" max="5649" width="16.109375" customWidth="1"/>
    <col min="5650" max="5650" width="17.5546875" bestFit="1" customWidth="1"/>
    <col min="5651" max="5651" width="16.33203125" bestFit="1" customWidth="1"/>
    <col min="5652"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88671875" bestFit="1" customWidth="1"/>
    <col min="5893" max="5893" width="14.88671875" bestFit="1" customWidth="1"/>
    <col min="5894" max="5894" width="16.88671875" bestFit="1" customWidth="1"/>
    <col min="5895" max="5895" width="13.44140625" customWidth="1"/>
    <col min="5896" max="5896" width="15.44140625" bestFit="1" customWidth="1"/>
    <col min="5897" max="5897" width="14.33203125" bestFit="1" customWidth="1"/>
    <col min="5898" max="5898" width="15.33203125" customWidth="1"/>
    <col min="5899" max="5899" width="15.88671875" customWidth="1"/>
    <col min="5900" max="5900" width="17.33203125" bestFit="1" customWidth="1"/>
    <col min="5901" max="5901" width="12.6640625" customWidth="1"/>
    <col min="5902" max="5902" width="13.6640625" customWidth="1"/>
    <col min="5903" max="5903" width="14.109375" bestFit="1" customWidth="1"/>
    <col min="5904" max="5904" width="17.33203125" bestFit="1" customWidth="1"/>
    <col min="5905" max="5905" width="16.109375" customWidth="1"/>
    <col min="5906" max="5906" width="17.5546875" bestFit="1" customWidth="1"/>
    <col min="5907" max="5907" width="16.33203125" bestFit="1" customWidth="1"/>
    <col min="5908"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88671875" bestFit="1" customWidth="1"/>
    <col min="6149" max="6149" width="14.88671875" bestFit="1" customWidth="1"/>
    <col min="6150" max="6150" width="16.88671875" bestFit="1" customWidth="1"/>
    <col min="6151" max="6151" width="13.44140625" customWidth="1"/>
    <col min="6152" max="6152" width="15.44140625" bestFit="1" customWidth="1"/>
    <col min="6153" max="6153" width="14.33203125" bestFit="1" customWidth="1"/>
    <col min="6154" max="6154" width="15.33203125" customWidth="1"/>
    <col min="6155" max="6155" width="15.88671875" customWidth="1"/>
    <col min="6156" max="6156" width="17.33203125" bestFit="1" customWidth="1"/>
    <col min="6157" max="6157" width="12.6640625" customWidth="1"/>
    <col min="6158" max="6158" width="13.6640625" customWidth="1"/>
    <col min="6159" max="6159" width="14.109375" bestFit="1" customWidth="1"/>
    <col min="6160" max="6160" width="17.33203125" bestFit="1" customWidth="1"/>
    <col min="6161" max="6161" width="16.109375" customWidth="1"/>
    <col min="6162" max="6162" width="17.5546875" bestFit="1" customWidth="1"/>
    <col min="6163" max="6163" width="16.33203125" bestFit="1" customWidth="1"/>
    <col min="6164"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88671875" bestFit="1" customWidth="1"/>
    <col min="6405" max="6405" width="14.88671875" bestFit="1" customWidth="1"/>
    <col min="6406" max="6406" width="16.88671875" bestFit="1" customWidth="1"/>
    <col min="6407" max="6407" width="13.44140625" customWidth="1"/>
    <col min="6408" max="6408" width="15.44140625" bestFit="1" customWidth="1"/>
    <col min="6409" max="6409" width="14.33203125" bestFit="1" customWidth="1"/>
    <col min="6410" max="6410" width="15.33203125" customWidth="1"/>
    <col min="6411" max="6411" width="15.88671875" customWidth="1"/>
    <col min="6412" max="6412" width="17.33203125" bestFit="1" customWidth="1"/>
    <col min="6413" max="6413" width="12.6640625" customWidth="1"/>
    <col min="6414" max="6414" width="13.6640625" customWidth="1"/>
    <col min="6415" max="6415" width="14.109375" bestFit="1" customWidth="1"/>
    <col min="6416" max="6416" width="17.33203125" bestFit="1" customWidth="1"/>
    <col min="6417" max="6417" width="16.109375" customWidth="1"/>
    <col min="6418" max="6418" width="17.5546875" bestFit="1" customWidth="1"/>
    <col min="6419" max="6419" width="16.33203125" bestFit="1" customWidth="1"/>
    <col min="6420"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88671875" bestFit="1" customWidth="1"/>
    <col min="6661" max="6661" width="14.88671875" bestFit="1" customWidth="1"/>
    <col min="6662" max="6662" width="16.88671875" bestFit="1" customWidth="1"/>
    <col min="6663" max="6663" width="13.44140625" customWidth="1"/>
    <col min="6664" max="6664" width="15.44140625" bestFit="1" customWidth="1"/>
    <col min="6665" max="6665" width="14.33203125" bestFit="1" customWidth="1"/>
    <col min="6666" max="6666" width="15.33203125" customWidth="1"/>
    <col min="6667" max="6667" width="15.88671875" customWidth="1"/>
    <col min="6668" max="6668" width="17.33203125" bestFit="1" customWidth="1"/>
    <col min="6669" max="6669" width="12.6640625" customWidth="1"/>
    <col min="6670" max="6670" width="13.6640625" customWidth="1"/>
    <col min="6671" max="6671" width="14.109375" bestFit="1" customWidth="1"/>
    <col min="6672" max="6672" width="17.33203125" bestFit="1" customWidth="1"/>
    <col min="6673" max="6673" width="16.109375" customWidth="1"/>
    <col min="6674" max="6674" width="17.5546875" bestFit="1" customWidth="1"/>
    <col min="6675" max="6675" width="16.33203125" bestFit="1" customWidth="1"/>
    <col min="6676"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88671875" bestFit="1" customWidth="1"/>
    <col min="6917" max="6917" width="14.88671875" bestFit="1" customWidth="1"/>
    <col min="6918" max="6918" width="16.88671875" bestFit="1" customWidth="1"/>
    <col min="6919" max="6919" width="13.44140625" customWidth="1"/>
    <col min="6920" max="6920" width="15.44140625" bestFit="1" customWidth="1"/>
    <col min="6921" max="6921" width="14.33203125" bestFit="1" customWidth="1"/>
    <col min="6922" max="6922" width="15.33203125" customWidth="1"/>
    <col min="6923" max="6923" width="15.88671875" customWidth="1"/>
    <col min="6924" max="6924" width="17.33203125" bestFit="1" customWidth="1"/>
    <col min="6925" max="6925" width="12.6640625" customWidth="1"/>
    <col min="6926" max="6926" width="13.6640625" customWidth="1"/>
    <col min="6927" max="6927" width="14.109375" bestFit="1" customWidth="1"/>
    <col min="6928" max="6928" width="17.33203125" bestFit="1" customWidth="1"/>
    <col min="6929" max="6929" width="16.109375" customWidth="1"/>
    <col min="6930" max="6930" width="17.5546875" bestFit="1" customWidth="1"/>
    <col min="6931" max="6931" width="16.33203125" bestFit="1" customWidth="1"/>
    <col min="6932"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88671875" bestFit="1" customWidth="1"/>
    <col min="7173" max="7173" width="14.88671875" bestFit="1" customWidth="1"/>
    <col min="7174" max="7174" width="16.88671875" bestFit="1" customWidth="1"/>
    <col min="7175" max="7175" width="13.44140625" customWidth="1"/>
    <col min="7176" max="7176" width="15.44140625" bestFit="1" customWidth="1"/>
    <col min="7177" max="7177" width="14.33203125" bestFit="1" customWidth="1"/>
    <col min="7178" max="7178" width="15.33203125" customWidth="1"/>
    <col min="7179" max="7179" width="15.88671875" customWidth="1"/>
    <col min="7180" max="7180" width="17.33203125" bestFit="1" customWidth="1"/>
    <col min="7181" max="7181" width="12.6640625" customWidth="1"/>
    <col min="7182" max="7182" width="13.6640625" customWidth="1"/>
    <col min="7183" max="7183" width="14.109375" bestFit="1" customWidth="1"/>
    <col min="7184" max="7184" width="17.33203125" bestFit="1" customWidth="1"/>
    <col min="7185" max="7185" width="16.109375" customWidth="1"/>
    <col min="7186" max="7186" width="17.5546875" bestFit="1" customWidth="1"/>
    <col min="7187" max="7187" width="16.33203125" bestFit="1" customWidth="1"/>
    <col min="7188"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88671875" bestFit="1" customWidth="1"/>
    <col min="7429" max="7429" width="14.88671875" bestFit="1" customWidth="1"/>
    <col min="7430" max="7430" width="16.88671875" bestFit="1" customWidth="1"/>
    <col min="7431" max="7431" width="13.44140625" customWidth="1"/>
    <col min="7432" max="7432" width="15.44140625" bestFit="1" customWidth="1"/>
    <col min="7433" max="7433" width="14.33203125" bestFit="1" customWidth="1"/>
    <col min="7434" max="7434" width="15.33203125" customWidth="1"/>
    <col min="7435" max="7435" width="15.88671875" customWidth="1"/>
    <col min="7436" max="7436" width="17.33203125" bestFit="1" customWidth="1"/>
    <col min="7437" max="7437" width="12.6640625" customWidth="1"/>
    <col min="7438" max="7438" width="13.6640625" customWidth="1"/>
    <col min="7439" max="7439" width="14.109375" bestFit="1" customWidth="1"/>
    <col min="7440" max="7440" width="17.33203125" bestFit="1" customWidth="1"/>
    <col min="7441" max="7441" width="16.109375" customWidth="1"/>
    <col min="7442" max="7442" width="17.5546875" bestFit="1" customWidth="1"/>
    <col min="7443" max="7443" width="16.33203125" bestFit="1" customWidth="1"/>
    <col min="7444"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88671875" bestFit="1" customWidth="1"/>
    <col min="7685" max="7685" width="14.88671875" bestFit="1" customWidth="1"/>
    <col min="7686" max="7686" width="16.88671875" bestFit="1" customWidth="1"/>
    <col min="7687" max="7687" width="13.44140625" customWidth="1"/>
    <col min="7688" max="7688" width="15.44140625" bestFit="1" customWidth="1"/>
    <col min="7689" max="7689" width="14.33203125" bestFit="1" customWidth="1"/>
    <col min="7690" max="7690" width="15.33203125" customWidth="1"/>
    <col min="7691" max="7691" width="15.88671875" customWidth="1"/>
    <col min="7692" max="7692" width="17.33203125" bestFit="1" customWidth="1"/>
    <col min="7693" max="7693" width="12.6640625" customWidth="1"/>
    <col min="7694" max="7694" width="13.6640625" customWidth="1"/>
    <col min="7695" max="7695" width="14.109375" bestFit="1" customWidth="1"/>
    <col min="7696" max="7696" width="17.33203125" bestFit="1" customWidth="1"/>
    <col min="7697" max="7697" width="16.109375" customWidth="1"/>
    <col min="7698" max="7698" width="17.5546875" bestFit="1" customWidth="1"/>
    <col min="7699" max="7699" width="16.33203125" bestFit="1" customWidth="1"/>
    <col min="7700"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88671875" bestFit="1" customWidth="1"/>
    <col min="7941" max="7941" width="14.88671875" bestFit="1" customWidth="1"/>
    <col min="7942" max="7942" width="16.88671875" bestFit="1" customWidth="1"/>
    <col min="7943" max="7943" width="13.44140625" customWidth="1"/>
    <col min="7944" max="7944" width="15.44140625" bestFit="1" customWidth="1"/>
    <col min="7945" max="7945" width="14.33203125" bestFit="1" customWidth="1"/>
    <col min="7946" max="7946" width="15.33203125" customWidth="1"/>
    <col min="7947" max="7947" width="15.88671875" customWidth="1"/>
    <col min="7948" max="7948" width="17.33203125" bestFit="1" customWidth="1"/>
    <col min="7949" max="7949" width="12.6640625" customWidth="1"/>
    <col min="7950" max="7950" width="13.6640625" customWidth="1"/>
    <col min="7951" max="7951" width="14.109375" bestFit="1" customWidth="1"/>
    <col min="7952" max="7952" width="17.33203125" bestFit="1" customWidth="1"/>
    <col min="7953" max="7953" width="16.109375" customWidth="1"/>
    <col min="7954" max="7954" width="17.5546875" bestFit="1" customWidth="1"/>
    <col min="7955" max="7955" width="16.33203125" bestFit="1" customWidth="1"/>
    <col min="7956"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88671875" bestFit="1" customWidth="1"/>
    <col min="8197" max="8197" width="14.88671875" bestFit="1" customWidth="1"/>
    <col min="8198" max="8198" width="16.88671875" bestFit="1" customWidth="1"/>
    <col min="8199" max="8199" width="13.44140625" customWidth="1"/>
    <col min="8200" max="8200" width="15.44140625" bestFit="1" customWidth="1"/>
    <col min="8201" max="8201" width="14.33203125" bestFit="1" customWidth="1"/>
    <col min="8202" max="8202" width="15.33203125" customWidth="1"/>
    <col min="8203" max="8203" width="15.88671875" customWidth="1"/>
    <col min="8204" max="8204" width="17.33203125" bestFit="1" customWidth="1"/>
    <col min="8205" max="8205" width="12.6640625" customWidth="1"/>
    <col min="8206" max="8206" width="13.6640625" customWidth="1"/>
    <col min="8207" max="8207" width="14.109375" bestFit="1" customWidth="1"/>
    <col min="8208" max="8208" width="17.33203125" bestFit="1" customWidth="1"/>
    <col min="8209" max="8209" width="16.109375" customWidth="1"/>
    <col min="8210" max="8210" width="17.5546875" bestFit="1" customWidth="1"/>
    <col min="8211" max="8211" width="16.33203125" bestFit="1" customWidth="1"/>
    <col min="8212"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88671875" bestFit="1" customWidth="1"/>
    <col min="8453" max="8453" width="14.88671875" bestFit="1" customWidth="1"/>
    <col min="8454" max="8454" width="16.88671875" bestFit="1" customWidth="1"/>
    <col min="8455" max="8455" width="13.44140625" customWidth="1"/>
    <col min="8456" max="8456" width="15.44140625" bestFit="1" customWidth="1"/>
    <col min="8457" max="8457" width="14.33203125" bestFit="1" customWidth="1"/>
    <col min="8458" max="8458" width="15.33203125" customWidth="1"/>
    <col min="8459" max="8459" width="15.88671875" customWidth="1"/>
    <col min="8460" max="8460" width="17.33203125" bestFit="1" customWidth="1"/>
    <col min="8461" max="8461" width="12.6640625" customWidth="1"/>
    <col min="8462" max="8462" width="13.6640625" customWidth="1"/>
    <col min="8463" max="8463" width="14.109375" bestFit="1" customWidth="1"/>
    <col min="8464" max="8464" width="17.33203125" bestFit="1" customWidth="1"/>
    <col min="8465" max="8465" width="16.109375" customWidth="1"/>
    <col min="8466" max="8466" width="17.5546875" bestFit="1" customWidth="1"/>
    <col min="8467" max="8467" width="16.33203125" bestFit="1" customWidth="1"/>
    <col min="8468"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88671875" bestFit="1" customWidth="1"/>
    <col min="8709" max="8709" width="14.88671875" bestFit="1" customWidth="1"/>
    <col min="8710" max="8710" width="16.88671875" bestFit="1" customWidth="1"/>
    <col min="8711" max="8711" width="13.44140625" customWidth="1"/>
    <col min="8712" max="8712" width="15.44140625" bestFit="1" customWidth="1"/>
    <col min="8713" max="8713" width="14.33203125" bestFit="1" customWidth="1"/>
    <col min="8714" max="8714" width="15.33203125" customWidth="1"/>
    <col min="8715" max="8715" width="15.88671875" customWidth="1"/>
    <col min="8716" max="8716" width="17.33203125" bestFit="1" customWidth="1"/>
    <col min="8717" max="8717" width="12.6640625" customWidth="1"/>
    <col min="8718" max="8718" width="13.6640625" customWidth="1"/>
    <col min="8719" max="8719" width="14.109375" bestFit="1" customWidth="1"/>
    <col min="8720" max="8720" width="17.33203125" bestFit="1" customWidth="1"/>
    <col min="8721" max="8721" width="16.109375" customWidth="1"/>
    <col min="8722" max="8722" width="17.5546875" bestFit="1" customWidth="1"/>
    <col min="8723" max="8723" width="16.33203125" bestFit="1" customWidth="1"/>
    <col min="8724"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88671875" bestFit="1" customWidth="1"/>
    <col min="8965" max="8965" width="14.88671875" bestFit="1" customWidth="1"/>
    <col min="8966" max="8966" width="16.88671875" bestFit="1" customWidth="1"/>
    <col min="8967" max="8967" width="13.44140625" customWidth="1"/>
    <col min="8968" max="8968" width="15.44140625" bestFit="1" customWidth="1"/>
    <col min="8969" max="8969" width="14.33203125" bestFit="1" customWidth="1"/>
    <col min="8970" max="8970" width="15.33203125" customWidth="1"/>
    <col min="8971" max="8971" width="15.88671875" customWidth="1"/>
    <col min="8972" max="8972" width="17.33203125" bestFit="1" customWidth="1"/>
    <col min="8973" max="8973" width="12.6640625" customWidth="1"/>
    <col min="8974" max="8974" width="13.6640625" customWidth="1"/>
    <col min="8975" max="8975" width="14.109375" bestFit="1" customWidth="1"/>
    <col min="8976" max="8976" width="17.33203125" bestFit="1" customWidth="1"/>
    <col min="8977" max="8977" width="16.109375" customWidth="1"/>
    <col min="8978" max="8978" width="17.5546875" bestFit="1" customWidth="1"/>
    <col min="8979" max="8979" width="16.33203125" bestFit="1" customWidth="1"/>
    <col min="8980"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88671875" bestFit="1" customWidth="1"/>
    <col min="9221" max="9221" width="14.88671875" bestFit="1" customWidth="1"/>
    <col min="9222" max="9222" width="16.88671875" bestFit="1" customWidth="1"/>
    <col min="9223" max="9223" width="13.44140625" customWidth="1"/>
    <col min="9224" max="9224" width="15.44140625" bestFit="1" customWidth="1"/>
    <col min="9225" max="9225" width="14.33203125" bestFit="1" customWidth="1"/>
    <col min="9226" max="9226" width="15.33203125" customWidth="1"/>
    <col min="9227" max="9227" width="15.88671875" customWidth="1"/>
    <col min="9228" max="9228" width="17.33203125" bestFit="1" customWidth="1"/>
    <col min="9229" max="9229" width="12.6640625" customWidth="1"/>
    <col min="9230" max="9230" width="13.6640625" customWidth="1"/>
    <col min="9231" max="9231" width="14.109375" bestFit="1" customWidth="1"/>
    <col min="9232" max="9232" width="17.33203125" bestFit="1" customWidth="1"/>
    <col min="9233" max="9233" width="16.109375" customWidth="1"/>
    <col min="9234" max="9234" width="17.5546875" bestFit="1" customWidth="1"/>
    <col min="9235" max="9235" width="16.33203125" bestFit="1" customWidth="1"/>
    <col min="9236"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88671875" bestFit="1" customWidth="1"/>
    <col min="9477" max="9477" width="14.88671875" bestFit="1" customWidth="1"/>
    <col min="9478" max="9478" width="16.88671875" bestFit="1" customWidth="1"/>
    <col min="9479" max="9479" width="13.44140625" customWidth="1"/>
    <col min="9480" max="9480" width="15.44140625" bestFit="1" customWidth="1"/>
    <col min="9481" max="9481" width="14.33203125" bestFit="1" customWidth="1"/>
    <col min="9482" max="9482" width="15.33203125" customWidth="1"/>
    <col min="9483" max="9483" width="15.88671875" customWidth="1"/>
    <col min="9484" max="9484" width="17.33203125" bestFit="1" customWidth="1"/>
    <col min="9485" max="9485" width="12.6640625" customWidth="1"/>
    <col min="9486" max="9486" width="13.6640625" customWidth="1"/>
    <col min="9487" max="9487" width="14.109375" bestFit="1" customWidth="1"/>
    <col min="9488" max="9488" width="17.33203125" bestFit="1" customWidth="1"/>
    <col min="9489" max="9489" width="16.109375" customWidth="1"/>
    <col min="9490" max="9490" width="17.5546875" bestFit="1" customWidth="1"/>
    <col min="9491" max="9491" width="16.33203125" bestFit="1" customWidth="1"/>
    <col min="9492"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88671875" bestFit="1" customWidth="1"/>
    <col min="9733" max="9733" width="14.88671875" bestFit="1" customWidth="1"/>
    <col min="9734" max="9734" width="16.88671875" bestFit="1" customWidth="1"/>
    <col min="9735" max="9735" width="13.44140625" customWidth="1"/>
    <col min="9736" max="9736" width="15.44140625" bestFit="1" customWidth="1"/>
    <col min="9737" max="9737" width="14.33203125" bestFit="1" customWidth="1"/>
    <col min="9738" max="9738" width="15.33203125" customWidth="1"/>
    <col min="9739" max="9739" width="15.88671875" customWidth="1"/>
    <col min="9740" max="9740" width="17.33203125" bestFit="1" customWidth="1"/>
    <col min="9741" max="9741" width="12.6640625" customWidth="1"/>
    <col min="9742" max="9742" width="13.6640625" customWidth="1"/>
    <col min="9743" max="9743" width="14.109375" bestFit="1" customWidth="1"/>
    <col min="9744" max="9744" width="17.33203125" bestFit="1" customWidth="1"/>
    <col min="9745" max="9745" width="16.109375" customWidth="1"/>
    <col min="9746" max="9746" width="17.5546875" bestFit="1" customWidth="1"/>
    <col min="9747" max="9747" width="16.33203125" bestFit="1" customWidth="1"/>
    <col min="9748"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88671875" bestFit="1" customWidth="1"/>
    <col min="9989" max="9989" width="14.88671875" bestFit="1" customWidth="1"/>
    <col min="9990" max="9990" width="16.88671875" bestFit="1" customWidth="1"/>
    <col min="9991" max="9991" width="13.44140625" customWidth="1"/>
    <col min="9992" max="9992" width="15.44140625" bestFit="1" customWidth="1"/>
    <col min="9993" max="9993" width="14.33203125" bestFit="1" customWidth="1"/>
    <col min="9994" max="9994" width="15.33203125" customWidth="1"/>
    <col min="9995" max="9995" width="15.88671875" customWidth="1"/>
    <col min="9996" max="9996" width="17.33203125" bestFit="1" customWidth="1"/>
    <col min="9997" max="9997" width="12.6640625" customWidth="1"/>
    <col min="9998" max="9998" width="13.6640625" customWidth="1"/>
    <col min="9999" max="9999" width="14.109375" bestFit="1" customWidth="1"/>
    <col min="10000" max="10000" width="17.33203125" bestFit="1" customWidth="1"/>
    <col min="10001" max="10001" width="16.109375" customWidth="1"/>
    <col min="10002" max="10002" width="17.5546875" bestFit="1" customWidth="1"/>
    <col min="10003" max="10003" width="16.33203125" bestFit="1" customWidth="1"/>
    <col min="10004"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88671875" bestFit="1" customWidth="1"/>
    <col min="10245" max="10245" width="14.88671875" bestFit="1" customWidth="1"/>
    <col min="10246" max="10246" width="16.88671875" bestFit="1" customWidth="1"/>
    <col min="10247" max="10247" width="13.44140625" customWidth="1"/>
    <col min="10248" max="10248" width="15.44140625" bestFit="1" customWidth="1"/>
    <col min="10249" max="10249" width="14.33203125" bestFit="1" customWidth="1"/>
    <col min="10250" max="10250" width="15.33203125" customWidth="1"/>
    <col min="10251" max="10251" width="15.88671875" customWidth="1"/>
    <col min="10252" max="10252" width="17.33203125" bestFit="1" customWidth="1"/>
    <col min="10253" max="10253" width="12.6640625" customWidth="1"/>
    <col min="10254" max="10254" width="13.6640625" customWidth="1"/>
    <col min="10255" max="10255" width="14.109375" bestFit="1" customWidth="1"/>
    <col min="10256" max="10256" width="17.33203125" bestFit="1" customWidth="1"/>
    <col min="10257" max="10257" width="16.109375" customWidth="1"/>
    <col min="10258" max="10258" width="17.5546875" bestFit="1" customWidth="1"/>
    <col min="10259" max="10259" width="16.33203125" bestFit="1" customWidth="1"/>
    <col min="10260"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88671875" bestFit="1" customWidth="1"/>
    <col min="10501" max="10501" width="14.88671875" bestFit="1" customWidth="1"/>
    <col min="10502" max="10502" width="16.88671875" bestFit="1" customWidth="1"/>
    <col min="10503" max="10503" width="13.44140625" customWidth="1"/>
    <col min="10504" max="10504" width="15.44140625" bestFit="1" customWidth="1"/>
    <col min="10505" max="10505" width="14.33203125" bestFit="1" customWidth="1"/>
    <col min="10506" max="10506" width="15.33203125" customWidth="1"/>
    <col min="10507" max="10507" width="15.88671875" customWidth="1"/>
    <col min="10508" max="10508" width="17.33203125" bestFit="1" customWidth="1"/>
    <col min="10509" max="10509" width="12.6640625" customWidth="1"/>
    <col min="10510" max="10510" width="13.6640625" customWidth="1"/>
    <col min="10511" max="10511" width="14.109375" bestFit="1" customWidth="1"/>
    <col min="10512" max="10512" width="17.33203125" bestFit="1" customWidth="1"/>
    <col min="10513" max="10513" width="16.109375" customWidth="1"/>
    <col min="10514" max="10514" width="17.5546875" bestFit="1" customWidth="1"/>
    <col min="10515" max="10515" width="16.33203125" bestFit="1" customWidth="1"/>
    <col min="10516"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88671875" bestFit="1" customWidth="1"/>
    <col min="10757" max="10757" width="14.88671875" bestFit="1" customWidth="1"/>
    <col min="10758" max="10758" width="16.88671875" bestFit="1" customWidth="1"/>
    <col min="10759" max="10759" width="13.44140625" customWidth="1"/>
    <col min="10760" max="10760" width="15.44140625" bestFit="1" customWidth="1"/>
    <col min="10761" max="10761" width="14.33203125" bestFit="1" customWidth="1"/>
    <col min="10762" max="10762" width="15.33203125" customWidth="1"/>
    <col min="10763" max="10763" width="15.88671875" customWidth="1"/>
    <col min="10764" max="10764" width="17.33203125" bestFit="1" customWidth="1"/>
    <col min="10765" max="10765" width="12.6640625" customWidth="1"/>
    <col min="10766" max="10766" width="13.6640625" customWidth="1"/>
    <col min="10767" max="10767" width="14.109375" bestFit="1" customWidth="1"/>
    <col min="10768" max="10768" width="17.33203125" bestFit="1" customWidth="1"/>
    <col min="10769" max="10769" width="16.109375" customWidth="1"/>
    <col min="10770" max="10770" width="17.5546875" bestFit="1" customWidth="1"/>
    <col min="10771" max="10771" width="16.33203125" bestFit="1" customWidth="1"/>
    <col min="10772"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88671875" bestFit="1" customWidth="1"/>
    <col min="11013" max="11013" width="14.88671875" bestFit="1" customWidth="1"/>
    <col min="11014" max="11014" width="16.88671875" bestFit="1" customWidth="1"/>
    <col min="11015" max="11015" width="13.44140625" customWidth="1"/>
    <col min="11016" max="11016" width="15.44140625" bestFit="1" customWidth="1"/>
    <col min="11017" max="11017" width="14.33203125" bestFit="1" customWidth="1"/>
    <col min="11018" max="11018" width="15.33203125" customWidth="1"/>
    <col min="11019" max="11019" width="15.88671875" customWidth="1"/>
    <col min="11020" max="11020" width="17.33203125" bestFit="1" customWidth="1"/>
    <col min="11021" max="11021" width="12.6640625" customWidth="1"/>
    <col min="11022" max="11022" width="13.6640625" customWidth="1"/>
    <col min="11023" max="11023" width="14.109375" bestFit="1" customWidth="1"/>
    <col min="11024" max="11024" width="17.33203125" bestFit="1" customWidth="1"/>
    <col min="11025" max="11025" width="16.109375" customWidth="1"/>
    <col min="11026" max="11026" width="17.5546875" bestFit="1" customWidth="1"/>
    <col min="11027" max="11027" width="16.33203125" bestFit="1" customWidth="1"/>
    <col min="11028"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88671875" bestFit="1" customWidth="1"/>
    <col min="11269" max="11269" width="14.88671875" bestFit="1" customWidth="1"/>
    <col min="11270" max="11270" width="16.88671875" bestFit="1" customWidth="1"/>
    <col min="11271" max="11271" width="13.44140625" customWidth="1"/>
    <col min="11272" max="11272" width="15.44140625" bestFit="1" customWidth="1"/>
    <col min="11273" max="11273" width="14.33203125" bestFit="1" customWidth="1"/>
    <col min="11274" max="11274" width="15.33203125" customWidth="1"/>
    <col min="11275" max="11275" width="15.88671875" customWidth="1"/>
    <col min="11276" max="11276" width="17.33203125" bestFit="1" customWidth="1"/>
    <col min="11277" max="11277" width="12.6640625" customWidth="1"/>
    <col min="11278" max="11278" width="13.6640625" customWidth="1"/>
    <col min="11279" max="11279" width="14.109375" bestFit="1" customWidth="1"/>
    <col min="11280" max="11280" width="17.33203125" bestFit="1" customWidth="1"/>
    <col min="11281" max="11281" width="16.109375" customWidth="1"/>
    <col min="11282" max="11282" width="17.5546875" bestFit="1" customWidth="1"/>
    <col min="11283" max="11283" width="16.33203125" bestFit="1" customWidth="1"/>
    <col min="11284"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88671875" bestFit="1" customWidth="1"/>
    <col min="11525" max="11525" width="14.88671875" bestFit="1" customWidth="1"/>
    <col min="11526" max="11526" width="16.88671875" bestFit="1" customWidth="1"/>
    <col min="11527" max="11527" width="13.44140625" customWidth="1"/>
    <col min="11528" max="11528" width="15.44140625" bestFit="1" customWidth="1"/>
    <col min="11529" max="11529" width="14.33203125" bestFit="1" customWidth="1"/>
    <col min="11530" max="11530" width="15.33203125" customWidth="1"/>
    <col min="11531" max="11531" width="15.88671875" customWidth="1"/>
    <col min="11532" max="11532" width="17.33203125" bestFit="1" customWidth="1"/>
    <col min="11533" max="11533" width="12.6640625" customWidth="1"/>
    <col min="11534" max="11534" width="13.6640625" customWidth="1"/>
    <col min="11535" max="11535" width="14.109375" bestFit="1" customWidth="1"/>
    <col min="11536" max="11536" width="17.33203125" bestFit="1" customWidth="1"/>
    <col min="11537" max="11537" width="16.109375" customWidth="1"/>
    <col min="11538" max="11538" width="17.5546875" bestFit="1" customWidth="1"/>
    <col min="11539" max="11539" width="16.33203125" bestFit="1" customWidth="1"/>
    <col min="11540"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88671875" bestFit="1" customWidth="1"/>
    <col min="11781" max="11781" width="14.88671875" bestFit="1" customWidth="1"/>
    <col min="11782" max="11782" width="16.88671875" bestFit="1" customWidth="1"/>
    <col min="11783" max="11783" width="13.44140625" customWidth="1"/>
    <col min="11784" max="11784" width="15.44140625" bestFit="1" customWidth="1"/>
    <col min="11785" max="11785" width="14.33203125" bestFit="1" customWidth="1"/>
    <col min="11786" max="11786" width="15.33203125" customWidth="1"/>
    <col min="11787" max="11787" width="15.88671875" customWidth="1"/>
    <col min="11788" max="11788" width="17.33203125" bestFit="1" customWidth="1"/>
    <col min="11789" max="11789" width="12.6640625" customWidth="1"/>
    <col min="11790" max="11790" width="13.6640625" customWidth="1"/>
    <col min="11791" max="11791" width="14.109375" bestFit="1" customWidth="1"/>
    <col min="11792" max="11792" width="17.33203125" bestFit="1" customWidth="1"/>
    <col min="11793" max="11793" width="16.109375" customWidth="1"/>
    <col min="11794" max="11794" width="17.5546875" bestFit="1" customWidth="1"/>
    <col min="11795" max="11795" width="16.33203125" bestFit="1" customWidth="1"/>
    <col min="11796"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88671875" bestFit="1" customWidth="1"/>
    <col min="12037" max="12037" width="14.88671875" bestFit="1" customWidth="1"/>
    <col min="12038" max="12038" width="16.88671875" bestFit="1" customWidth="1"/>
    <col min="12039" max="12039" width="13.44140625" customWidth="1"/>
    <col min="12040" max="12040" width="15.44140625" bestFit="1" customWidth="1"/>
    <col min="12041" max="12041" width="14.33203125" bestFit="1" customWidth="1"/>
    <col min="12042" max="12042" width="15.33203125" customWidth="1"/>
    <col min="12043" max="12043" width="15.88671875" customWidth="1"/>
    <col min="12044" max="12044" width="17.33203125" bestFit="1" customWidth="1"/>
    <col min="12045" max="12045" width="12.6640625" customWidth="1"/>
    <col min="12046" max="12046" width="13.6640625" customWidth="1"/>
    <col min="12047" max="12047" width="14.109375" bestFit="1" customWidth="1"/>
    <col min="12048" max="12048" width="17.33203125" bestFit="1" customWidth="1"/>
    <col min="12049" max="12049" width="16.109375" customWidth="1"/>
    <col min="12050" max="12050" width="17.5546875" bestFit="1" customWidth="1"/>
    <col min="12051" max="12051" width="16.33203125" bestFit="1" customWidth="1"/>
    <col min="12052"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88671875" bestFit="1" customWidth="1"/>
    <col min="12293" max="12293" width="14.88671875" bestFit="1" customWidth="1"/>
    <col min="12294" max="12294" width="16.88671875" bestFit="1" customWidth="1"/>
    <col min="12295" max="12295" width="13.44140625" customWidth="1"/>
    <col min="12296" max="12296" width="15.44140625" bestFit="1" customWidth="1"/>
    <col min="12297" max="12297" width="14.33203125" bestFit="1" customWidth="1"/>
    <col min="12298" max="12298" width="15.33203125" customWidth="1"/>
    <col min="12299" max="12299" width="15.88671875" customWidth="1"/>
    <col min="12300" max="12300" width="17.33203125" bestFit="1" customWidth="1"/>
    <col min="12301" max="12301" width="12.6640625" customWidth="1"/>
    <col min="12302" max="12302" width="13.6640625" customWidth="1"/>
    <col min="12303" max="12303" width="14.109375" bestFit="1" customWidth="1"/>
    <col min="12304" max="12304" width="17.33203125" bestFit="1" customWidth="1"/>
    <col min="12305" max="12305" width="16.109375" customWidth="1"/>
    <col min="12306" max="12306" width="17.5546875" bestFit="1" customWidth="1"/>
    <col min="12307" max="12307" width="16.33203125" bestFit="1" customWidth="1"/>
    <col min="12308"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88671875" bestFit="1" customWidth="1"/>
    <col min="12549" max="12549" width="14.88671875" bestFit="1" customWidth="1"/>
    <col min="12550" max="12550" width="16.88671875" bestFit="1" customWidth="1"/>
    <col min="12551" max="12551" width="13.44140625" customWidth="1"/>
    <col min="12552" max="12552" width="15.44140625" bestFit="1" customWidth="1"/>
    <col min="12553" max="12553" width="14.33203125" bestFit="1" customWidth="1"/>
    <col min="12554" max="12554" width="15.33203125" customWidth="1"/>
    <col min="12555" max="12555" width="15.88671875" customWidth="1"/>
    <col min="12556" max="12556" width="17.33203125" bestFit="1" customWidth="1"/>
    <col min="12557" max="12557" width="12.6640625" customWidth="1"/>
    <col min="12558" max="12558" width="13.6640625" customWidth="1"/>
    <col min="12559" max="12559" width="14.109375" bestFit="1" customWidth="1"/>
    <col min="12560" max="12560" width="17.33203125" bestFit="1" customWidth="1"/>
    <col min="12561" max="12561" width="16.109375" customWidth="1"/>
    <col min="12562" max="12562" width="17.5546875" bestFit="1" customWidth="1"/>
    <col min="12563" max="12563" width="16.33203125" bestFit="1" customWidth="1"/>
    <col min="12564"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88671875" bestFit="1" customWidth="1"/>
    <col min="12805" max="12805" width="14.88671875" bestFit="1" customWidth="1"/>
    <col min="12806" max="12806" width="16.88671875" bestFit="1" customWidth="1"/>
    <col min="12807" max="12807" width="13.44140625" customWidth="1"/>
    <col min="12808" max="12808" width="15.44140625" bestFit="1" customWidth="1"/>
    <col min="12809" max="12809" width="14.33203125" bestFit="1" customWidth="1"/>
    <col min="12810" max="12810" width="15.33203125" customWidth="1"/>
    <col min="12811" max="12811" width="15.88671875" customWidth="1"/>
    <col min="12812" max="12812" width="17.33203125" bestFit="1" customWidth="1"/>
    <col min="12813" max="12813" width="12.6640625" customWidth="1"/>
    <col min="12814" max="12814" width="13.6640625" customWidth="1"/>
    <col min="12815" max="12815" width="14.109375" bestFit="1" customWidth="1"/>
    <col min="12816" max="12816" width="17.33203125" bestFit="1" customWidth="1"/>
    <col min="12817" max="12817" width="16.109375" customWidth="1"/>
    <col min="12818" max="12818" width="17.5546875" bestFit="1" customWidth="1"/>
    <col min="12819" max="12819" width="16.33203125" bestFit="1" customWidth="1"/>
    <col min="12820"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88671875" bestFit="1" customWidth="1"/>
    <col min="13061" max="13061" width="14.88671875" bestFit="1" customWidth="1"/>
    <col min="13062" max="13062" width="16.88671875" bestFit="1" customWidth="1"/>
    <col min="13063" max="13063" width="13.44140625" customWidth="1"/>
    <col min="13064" max="13064" width="15.44140625" bestFit="1" customWidth="1"/>
    <col min="13065" max="13065" width="14.33203125" bestFit="1" customWidth="1"/>
    <col min="13066" max="13066" width="15.33203125" customWidth="1"/>
    <col min="13067" max="13067" width="15.88671875" customWidth="1"/>
    <col min="13068" max="13068" width="17.33203125" bestFit="1" customWidth="1"/>
    <col min="13069" max="13069" width="12.6640625" customWidth="1"/>
    <col min="13070" max="13070" width="13.6640625" customWidth="1"/>
    <col min="13071" max="13071" width="14.109375" bestFit="1" customWidth="1"/>
    <col min="13072" max="13072" width="17.33203125" bestFit="1" customWidth="1"/>
    <col min="13073" max="13073" width="16.109375" customWidth="1"/>
    <col min="13074" max="13074" width="17.5546875" bestFit="1" customWidth="1"/>
    <col min="13075" max="13075" width="16.33203125" bestFit="1" customWidth="1"/>
    <col min="13076"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88671875" bestFit="1" customWidth="1"/>
    <col min="13317" max="13317" width="14.88671875" bestFit="1" customWidth="1"/>
    <col min="13318" max="13318" width="16.88671875" bestFit="1" customWidth="1"/>
    <col min="13319" max="13319" width="13.44140625" customWidth="1"/>
    <col min="13320" max="13320" width="15.44140625" bestFit="1" customWidth="1"/>
    <col min="13321" max="13321" width="14.33203125" bestFit="1" customWidth="1"/>
    <col min="13322" max="13322" width="15.33203125" customWidth="1"/>
    <col min="13323" max="13323" width="15.88671875" customWidth="1"/>
    <col min="13324" max="13324" width="17.33203125" bestFit="1" customWidth="1"/>
    <col min="13325" max="13325" width="12.6640625" customWidth="1"/>
    <col min="13326" max="13326" width="13.6640625" customWidth="1"/>
    <col min="13327" max="13327" width="14.109375" bestFit="1" customWidth="1"/>
    <col min="13328" max="13328" width="17.33203125" bestFit="1" customWidth="1"/>
    <col min="13329" max="13329" width="16.109375" customWidth="1"/>
    <col min="13330" max="13330" width="17.5546875" bestFit="1" customWidth="1"/>
    <col min="13331" max="13331" width="16.33203125" bestFit="1" customWidth="1"/>
    <col min="13332"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88671875" bestFit="1" customWidth="1"/>
    <col min="13573" max="13573" width="14.88671875" bestFit="1" customWidth="1"/>
    <col min="13574" max="13574" width="16.88671875" bestFit="1" customWidth="1"/>
    <col min="13575" max="13575" width="13.44140625" customWidth="1"/>
    <col min="13576" max="13576" width="15.44140625" bestFit="1" customWidth="1"/>
    <col min="13577" max="13577" width="14.33203125" bestFit="1" customWidth="1"/>
    <col min="13578" max="13578" width="15.33203125" customWidth="1"/>
    <col min="13579" max="13579" width="15.88671875" customWidth="1"/>
    <col min="13580" max="13580" width="17.33203125" bestFit="1" customWidth="1"/>
    <col min="13581" max="13581" width="12.6640625" customWidth="1"/>
    <col min="13582" max="13582" width="13.6640625" customWidth="1"/>
    <col min="13583" max="13583" width="14.109375" bestFit="1" customWidth="1"/>
    <col min="13584" max="13584" width="17.33203125" bestFit="1" customWidth="1"/>
    <col min="13585" max="13585" width="16.109375" customWidth="1"/>
    <col min="13586" max="13586" width="17.5546875" bestFit="1" customWidth="1"/>
    <col min="13587" max="13587" width="16.33203125" bestFit="1" customWidth="1"/>
    <col min="13588"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88671875" bestFit="1" customWidth="1"/>
    <col min="13829" max="13829" width="14.88671875" bestFit="1" customWidth="1"/>
    <col min="13830" max="13830" width="16.88671875" bestFit="1" customWidth="1"/>
    <col min="13831" max="13831" width="13.44140625" customWidth="1"/>
    <col min="13832" max="13832" width="15.44140625" bestFit="1" customWidth="1"/>
    <col min="13833" max="13833" width="14.33203125" bestFit="1" customWidth="1"/>
    <col min="13834" max="13834" width="15.33203125" customWidth="1"/>
    <col min="13835" max="13835" width="15.88671875" customWidth="1"/>
    <col min="13836" max="13836" width="17.33203125" bestFit="1" customWidth="1"/>
    <col min="13837" max="13837" width="12.6640625" customWidth="1"/>
    <col min="13838" max="13838" width="13.6640625" customWidth="1"/>
    <col min="13839" max="13839" width="14.109375" bestFit="1" customWidth="1"/>
    <col min="13840" max="13840" width="17.33203125" bestFit="1" customWidth="1"/>
    <col min="13841" max="13841" width="16.109375" customWidth="1"/>
    <col min="13842" max="13842" width="17.5546875" bestFit="1" customWidth="1"/>
    <col min="13843" max="13843" width="16.33203125" bestFit="1" customWidth="1"/>
    <col min="13844"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88671875" bestFit="1" customWidth="1"/>
    <col min="14085" max="14085" width="14.88671875" bestFit="1" customWidth="1"/>
    <col min="14086" max="14086" width="16.88671875" bestFit="1" customWidth="1"/>
    <col min="14087" max="14087" width="13.44140625" customWidth="1"/>
    <col min="14088" max="14088" width="15.44140625" bestFit="1" customWidth="1"/>
    <col min="14089" max="14089" width="14.33203125" bestFit="1" customWidth="1"/>
    <col min="14090" max="14090" width="15.33203125" customWidth="1"/>
    <col min="14091" max="14091" width="15.88671875" customWidth="1"/>
    <col min="14092" max="14092" width="17.33203125" bestFit="1" customWidth="1"/>
    <col min="14093" max="14093" width="12.6640625" customWidth="1"/>
    <col min="14094" max="14094" width="13.6640625" customWidth="1"/>
    <col min="14095" max="14095" width="14.109375" bestFit="1" customWidth="1"/>
    <col min="14096" max="14096" width="17.33203125" bestFit="1" customWidth="1"/>
    <col min="14097" max="14097" width="16.109375" customWidth="1"/>
    <col min="14098" max="14098" width="17.5546875" bestFit="1" customWidth="1"/>
    <col min="14099" max="14099" width="16.33203125" bestFit="1" customWidth="1"/>
    <col min="14100"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88671875" bestFit="1" customWidth="1"/>
    <col min="14341" max="14341" width="14.88671875" bestFit="1" customWidth="1"/>
    <col min="14342" max="14342" width="16.88671875" bestFit="1" customWidth="1"/>
    <col min="14343" max="14343" width="13.44140625" customWidth="1"/>
    <col min="14344" max="14344" width="15.44140625" bestFit="1" customWidth="1"/>
    <col min="14345" max="14345" width="14.33203125" bestFit="1" customWidth="1"/>
    <col min="14346" max="14346" width="15.33203125" customWidth="1"/>
    <col min="14347" max="14347" width="15.88671875" customWidth="1"/>
    <col min="14348" max="14348" width="17.33203125" bestFit="1" customWidth="1"/>
    <col min="14349" max="14349" width="12.6640625" customWidth="1"/>
    <col min="14350" max="14350" width="13.6640625" customWidth="1"/>
    <col min="14351" max="14351" width="14.109375" bestFit="1" customWidth="1"/>
    <col min="14352" max="14352" width="17.33203125" bestFit="1" customWidth="1"/>
    <col min="14353" max="14353" width="16.109375" customWidth="1"/>
    <col min="14354" max="14354" width="17.5546875" bestFit="1" customWidth="1"/>
    <col min="14355" max="14355" width="16.33203125" bestFit="1" customWidth="1"/>
    <col min="14356"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88671875" bestFit="1" customWidth="1"/>
    <col min="14597" max="14597" width="14.88671875" bestFit="1" customWidth="1"/>
    <col min="14598" max="14598" width="16.88671875" bestFit="1" customWidth="1"/>
    <col min="14599" max="14599" width="13.44140625" customWidth="1"/>
    <col min="14600" max="14600" width="15.44140625" bestFit="1" customWidth="1"/>
    <col min="14601" max="14601" width="14.33203125" bestFit="1" customWidth="1"/>
    <col min="14602" max="14602" width="15.33203125" customWidth="1"/>
    <col min="14603" max="14603" width="15.88671875" customWidth="1"/>
    <col min="14604" max="14604" width="17.33203125" bestFit="1" customWidth="1"/>
    <col min="14605" max="14605" width="12.6640625" customWidth="1"/>
    <col min="14606" max="14606" width="13.6640625" customWidth="1"/>
    <col min="14607" max="14607" width="14.109375" bestFit="1" customWidth="1"/>
    <col min="14608" max="14608" width="17.33203125" bestFit="1" customWidth="1"/>
    <col min="14609" max="14609" width="16.109375" customWidth="1"/>
    <col min="14610" max="14610" width="17.5546875" bestFit="1" customWidth="1"/>
    <col min="14611" max="14611" width="16.33203125" bestFit="1" customWidth="1"/>
    <col min="14612"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88671875" bestFit="1" customWidth="1"/>
    <col min="14853" max="14853" width="14.88671875" bestFit="1" customWidth="1"/>
    <col min="14854" max="14854" width="16.88671875" bestFit="1" customWidth="1"/>
    <col min="14855" max="14855" width="13.44140625" customWidth="1"/>
    <col min="14856" max="14856" width="15.44140625" bestFit="1" customWidth="1"/>
    <col min="14857" max="14857" width="14.33203125" bestFit="1" customWidth="1"/>
    <col min="14858" max="14858" width="15.33203125" customWidth="1"/>
    <col min="14859" max="14859" width="15.88671875" customWidth="1"/>
    <col min="14860" max="14860" width="17.33203125" bestFit="1" customWidth="1"/>
    <col min="14861" max="14861" width="12.6640625" customWidth="1"/>
    <col min="14862" max="14862" width="13.6640625" customWidth="1"/>
    <col min="14863" max="14863" width="14.109375" bestFit="1" customWidth="1"/>
    <col min="14864" max="14864" width="17.33203125" bestFit="1" customWidth="1"/>
    <col min="14865" max="14865" width="16.109375" customWidth="1"/>
    <col min="14866" max="14866" width="17.5546875" bestFit="1" customWidth="1"/>
    <col min="14867" max="14867" width="16.33203125" bestFit="1" customWidth="1"/>
    <col min="14868"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88671875" bestFit="1" customWidth="1"/>
    <col min="15109" max="15109" width="14.88671875" bestFit="1" customWidth="1"/>
    <col min="15110" max="15110" width="16.88671875" bestFit="1" customWidth="1"/>
    <col min="15111" max="15111" width="13.44140625" customWidth="1"/>
    <col min="15112" max="15112" width="15.44140625" bestFit="1" customWidth="1"/>
    <col min="15113" max="15113" width="14.33203125" bestFit="1" customWidth="1"/>
    <col min="15114" max="15114" width="15.33203125" customWidth="1"/>
    <col min="15115" max="15115" width="15.88671875" customWidth="1"/>
    <col min="15116" max="15116" width="17.33203125" bestFit="1" customWidth="1"/>
    <col min="15117" max="15117" width="12.6640625" customWidth="1"/>
    <col min="15118" max="15118" width="13.6640625" customWidth="1"/>
    <col min="15119" max="15119" width="14.109375" bestFit="1" customWidth="1"/>
    <col min="15120" max="15120" width="17.33203125" bestFit="1" customWidth="1"/>
    <col min="15121" max="15121" width="16.109375" customWidth="1"/>
    <col min="15122" max="15122" width="17.5546875" bestFit="1" customWidth="1"/>
    <col min="15123" max="15123" width="16.33203125" bestFit="1" customWidth="1"/>
    <col min="15124"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88671875" bestFit="1" customWidth="1"/>
    <col min="15365" max="15365" width="14.88671875" bestFit="1" customWidth="1"/>
    <col min="15366" max="15366" width="16.88671875" bestFit="1" customWidth="1"/>
    <col min="15367" max="15367" width="13.44140625" customWidth="1"/>
    <col min="15368" max="15368" width="15.44140625" bestFit="1" customWidth="1"/>
    <col min="15369" max="15369" width="14.33203125" bestFit="1" customWidth="1"/>
    <col min="15370" max="15370" width="15.33203125" customWidth="1"/>
    <col min="15371" max="15371" width="15.88671875" customWidth="1"/>
    <col min="15372" max="15372" width="17.33203125" bestFit="1" customWidth="1"/>
    <col min="15373" max="15373" width="12.6640625" customWidth="1"/>
    <col min="15374" max="15374" width="13.6640625" customWidth="1"/>
    <col min="15375" max="15375" width="14.109375" bestFit="1" customWidth="1"/>
    <col min="15376" max="15376" width="17.33203125" bestFit="1" customWidth="1"/>
    <col min="15377" max="15377" width="16.109375" customWidth="1"/>
    <col min="15378" max="15378" width="17.5546875" bestFit="1" customWidth="1"/>
    <col min="15379" max="15379" width="16.33203125" bestFit="1" customWidth="1"/>
    <col min="15380"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88671875" bestFit="1" customWidth="1"/>
    <col min="15621" max="15621" width="14.88671875" bestFit="1" customWidth="1"/>
    <col min="15622" max="15622" width="16.88671875" bestFit="1" customWidth="1"/>
    <col min="15623" max="15623" width="13.44140625" customWidth="1"/>
    <col min="15624" max="15624" width="15.44140625" bestFit="1" customWidth="1"/>
    <col min="15625" max="15625" width="14.33203125" bestFit="1" customWidth="1"/>
    <col min="15626" max="15626" width="15.33203125" customWidth="1"/>
    <col min="15627" max="15627" width="15.88671875" customWidth="1"/>
    <col min="15628" max="15628" width="17.33203125" bestFit="1" customWidth="1"/>
    <col min="15629" max="15629" width="12.6640625" customWidth="1"/>
    <col min="15630" max="15630" width="13.6640625" customWidth="1"/>
    <col min="15631" max="15631" width="14.109375" bestFit="1" customWidth="1"/>
    <col min="15632" max="15632" width="17.33203125" bestFit="1" customWidth="1"/>
    <col min="15633" max="15633" width="16.109375" customWidth="1"/>
    <col min="15634" max="15634" width="17.5546875" bestFit="1" customWidth="1"/>
    <col min="15635" max="15635" width="16.33203125" bestFit="1" customWidth="1"/>
    <col min="15636"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88671875" bestFit="1" customWidth="1"/>
    <col min="15877" max="15877" width="14.88671875" bestFit="1" customWidth="1"/>
    <col min="15878" max="15878" width="16.88671875" bestFit="1" customWidth="1"/>
    <col min="15879" max="15879" width="13.44140625" customWidth="1"/>
    <col min="15880" max="15880" width="15.44140625" bestFit="1" customWidth="1"/>
    <col min="15881" max="15881" width="14.33203125" bestFit="1" customWidth="1"/>
    <col min="15882" max="15882" width="15.33203125" customWidth="1"/>
    <col min="15883" max="15883" width="15.88671875" customWidth="1"/>
    <col min="15884" max="15884" width="17.33203125" bestFit="1" customWidth="1"/>
    <col min="15885" max="15885" width="12.6640625" customWidth="1"/>
    <col min="15886" max="15886" width="13.6640625" customWidth="1"/>
    <col min="15887" max="15887" width="14.109375" bestFit="1" customWidth="1"/>
    <col min="15888" max="15888" width="17.33203125" bestFit="1" customWidth="1"/>
    <col min="15889" max="15889" width="16.109375" customWidth="1"/>
    <col min="15890" max="15890" width="17.5546875" bestFit="1" customWidth="1"/>
    <col min="15891" max="15891" width="16.33203125" bestFit="1" customWidth="1"/>
    <col min="15892"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88671875" bestFit="1" customWidth="1"/>
    <col min="16133" max="16133" width="14.88671875" bestFit="1" customWidth="1"/>
    <col min="16134" max="16134" width="16.88671875" bestFit="1" customWidth="1"/>
    <col min="16135" max="16135" width="13.44140625" customWidth="1"/>
    <col min="16136" max="16136" width="15.44140625" bestFit="1" customWidth="1"/>
    <col min="16137" max="16137" width="14.33203125" bestFit="1" customWidth="1"/>
    <col min="16138" max="16138" width="15.33203125" customWidth="1"/>
    <col min="16139" max="16139" width="15.88671875" customWidth="1"/>
    <col min="16140" max="16140" width="17.33203125" bestFit="1" customWidth="1"/>
    <col min="16141" max="16141" width="12.6640625" customWidth="1"/>
    <col min="16142" max="16142" width="13.6640625" customWidth="1"/>
    <col min="16143" max="16143" width="14.109375" bestFit="1" customWidth="1"/>
    <col min="16144" max="16144" width="17.33203125" bestFit="1" customWidth="1"/>
    <col min="16145" max="16145" width="16.109375" customWidth="1"/>
    <col min="16146" max="16146" width="17.5546875" bestFit="1" customWidth="1"/>
    <col min="16147" max="16147" width="16.33203125" bestFit="1" customWidth="1"/>
    <col min="16148"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F1" s="202"/>
      <c r="G1" s="202">
        <f>C3</f>
        <v>18230673</v>
      </c>
      <c r="H1" s="202" t="str">
        <f>C4</f>
        <v>Multi-Family New Construction Gas</v>
      </c>
      <c r="I1" s="202"/>
    </row>
    <row r="2" spans="2:22" ht="16.2" thickBot="1" x14ac:dyDescent="0.35">
      <c r="B2" s="202" t="s">
        <v>131</v>
      </c>
      <c r="C2" s="203" t="s">
        <v>695</v>
      </c>
      <c r="G2" s="204" t="s">
        <v>8</v>
      </c>
      <c r="Q2" s="4765" t="s">
        <v>612</v>
      </c>
      <c r="R2" s="4765"/>
      <c r="S2" s="4762" t="s">
        <v>132</v>
      </c>
      <c r="T2" s="4763"/>
      <c r="U2" s="4764"/>
      <c r="V2" s="4766" t="s">
        <v>133</v>
      </c>
    </row>
    <row r="3" spans="2:22" ht="16.2" thickBot="1" x14ac:dyDescent="0.35">
      <c r="B3" s="203" t="s">
        <v>6</v>
      </c>
      <c r="C3" s="203">
        <v>18230673</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696</v>
      </c>
      <c r="F4" s="202">
        <v>2011</v>
      </c>
      <c r="G4" s="210">
        <f>B12</f>
        <v>58200</v>
      </c>
      <c r="H4" s="211">
        <f>B17</f>
        <v>4500</v>
      </c>
      <c r="I4" s="211">
        <f>B22</f>
        <v>39501</v>
      </c>
      <c r="J4" s="211">
        <f>B27</f>
        <v>5250</v>
      </c>
      <c r="K4" s="211">
        <f>B32</f>
        <v>300</v>
      </c>
      <c r="L4" s="211">
        <f>B37</f>
        <v>600</v>
      </c>
      <c r="M4" s="211">
        <f>B42</f>
        <v>120</v>
      </c>
      <c r="N4" s="211">
        <f>B47</f>
        <v>1800</v>
      </c>
      <c r="O4" s="211">
        <f>B52</f>
        <v>200650</v>
      </c>
      <c r="P4" s="211">
        <f>B53</f>
        <v>0</v>
      </c>
      <c r="Q4" s="213">
        <f>B54</f>
        <v>310921</v>
      </c>
      <c r="R4" s="372">
        <f>T54</f>
        <v>33859</v>
      </c>
      <c r="S4" s="331">
        <f>O4/Q4</f>
        <v>0.64534077788248467</v>
      </c>
      <c r="T4" s="331">
        <f>(J4+(H4*1.63))/Q4</f>
        <v>4.0476519759038466E-2</v>
      </c>
      <c r="U4" s="331">
        <f>L4/Q4</f>
        <v>1.9297506440542774E-3</v>
      </c>
      <c r="V4" s="216">
        <f>Q4/R4</f>
        <v>9.182816976284002</v>
      </c>
    </row>
    <row r="5" spans="2:22" ht="16.2" thickBot="1" x14ac:dyDescent="0.35">
      <c r="B5" s="202" t="s">
        <v>34</v>
      </c>
      <c r="F5" s="202">
        <v>2012</v>
      </c>
      <c r="G5" s="217">
        <f>D12</f>
        <v>35000</v>
      </c>
      <c r="H5" s="218">
        <f>D17</f>
        <v>3600</v>
      </c>
      <c r="I5" s="218">
        <f>D22</f>
        <v>24318</v>
      </c>
      <c r="J5" s="218">
        <f>D27</f>
        <v>3750</v>
      </c>
      <c r="K5" s="218">
        <f>D32</f>
        <v>2980</v>
      </c>
      <c r="L5" s="218">
        <f>D37</f>
        <v>100</v>
      </c>
      <c r="M5" s="218">
        <f>D42</f>
        <v>50</v>
      </c>
      <c r="N5" s="218">
        <f>D47</f>
        <v>1485</v>
      </c>
      <c r="O5" s="218">
        <f>D52</f>
        <v>282306.25</v>
      </c>
      <c r="P5" s="218">
        <f>D53</f>
        <v>0</v>
      </c>
      <c r="Q5" s="219">
        <f>SUM(G5:P5)</f>
        <v>353589.25</v>
      </c>
      <c r="R5" s="373">
        <f>P54</f>
        <v>53595.965799999998</v>
      </c>
      <c r="S5" s="332">
        <f>O5/Q5</f>
        <v>0.79840167652155714</v>
      </c>
      <c r="T5" s="332">
        <f>(J5+(H5*1.63))/Q5</f>
        <v>2.7201053199439745E-2</v>
      </c>
      <c r="U5" s="332">
        <f>L5/Q5</f>
        <v>2.8281402785859579E-4</v>
      </c>
      <c r="V5" s="222">
        <f>Q5/R5</f>
        <v>6.5973109117850806</v>
      </c>
    </row>
    <row r="6" spans="2:22" ht="16.2" thickBot="1" x14ac:dyDescent="0.35">
      <c r="C6" s="202" t="s">
        <v>566</v>
      </c>
      <c r="F6" s="202">
        <v>2013</v>
      </c>
      <c r="G6" s="374">
        <f>E12</f>
        <v>35000</v>
      </c>
      <c r="H6" s="375">
        <f>E17</f>
        <v>3500</v>
      </c>
      <c r="I6" s="375">
        <f>E22</f>
        <v>24255</v>
      </c>
      <c r="J6" s="375">
        <f>E27</f>
        <v>3750</v>
      </c>
      <c r="K6" s="375">
        <f>E32</f>
        <v>2980</v>
      </c>
      <c r="L6" s="375">
        <f>E37</f>
        <v>100</v>
      </c>
      <c r="M6" s="375">
        <f>E42</f>
        <v>50</v>
      </c>
      <c r="N6" s="375">
        <f>E47</f>
        <v>1485</v>
      </c>
      <c r="O6" s="375">
        <f>E52</f>
        <v>241169.42</v>
      </c>
      <c r="P6" s="375">
        <f>E53</f>
        <v>0</v>
      </c>
      <c r="Q6" s="219">
        <f>SUM(G6:P6)</f>
        <v>312289.42000000004</v>
      </c>
      <c r="R6" s="373">
        <f>Q54</f>
        <v>46712.81</v>
      </c>
      <c r="S6" s="332">
        <f>O6/Q6</f>
        <v>0.77226253774463438</v>
      </c>
      <c r="T6" s="332">
        <f>(J6+(H6*1.63))/Q6</f>
        <v>3.0276401935102375E-2</v>
      </c>
      <c r="U6" s="332">
        <f>L6/Q6</f>
        <v>3.2021577932419225E-4</v>
      </c>
      <c r="V6" s="222">
        <f>Q6/R6</f>
        <v>6.6853058079785832</v>
      </c>
    </row>
    <row r="7" spans="2:22" ht="16.2" thickBot="1" x14ac:dyDescent="0.35">
      <c r="C7" s="227" t="s">
        <v>567</v>
      </c>
      <c r="F7" s="376" t="s">
        <v>178</v>
      </c>
      <c r="G7" s="377">
        <f>SUM(G5:G6)</f>
        <v>70000</v>
      </c>
      <c r="H7" s="377">
        <f t="shared" ref="H7:P7" si="0">SUM(H5:H6)</f>
        <v>7100</v>
      </c>
      <c r="I7" s="377">
        <f t="shared" si="0"/>
        <v>48573</v>
      </c>
      <c r="J7" s="377">
        <f t="shared" si="0"/>
        <v>7500</v>
      </c>
      <c r="K7" s="377">
        <f t="shared" si="0"/>
        <v>5960</v>
      </c>
      <c r="L7" s="377">
        <f t="shared" si="0"/>
        <v>200</v>
      </c>
      <c r="M7" s="377">
        <f t="shared" si="0"/>
        <v>100</v>
      </c>
      <c r="N7" s="377">
        <f t="shared" si="0"/>
        <v>2970</v>
      </c>
      <c r="O7" s="377">
        <f t="shared" si="0"/>
        <v>523475.67000000004</v>
      </c>
      <c r="P7" s="377">
        <f t="shared" si="0"/>
        <v>0</v>
      </c>
      <c r="Q7" s="378">
        <f>SUM(G7:P7)</f>
        <v>665878.67000000004</v>
      </c>
      <c r="R7" s="379">
        <f>R54</f>
        <v>100308.77579999999</v>
      </c>
      <c r="S7" s="332">
        <f>O7/Q7</f>
        <v>0.78614272176641431</v>
      </c>
      <c r="T7" s="332">
        <f>(J7+(H7*1.63))/Q7</f>
        <v>2.8643356303934466E-2</v>
      </c>
      <c r="U7" s="332">
        <f>L7/Q7</f>
        <v>3.0035501812965412E-4</v>
      </c>
      <c r="V7" s="222">
        <f>Q7/R7</f>
        <v>6.6382892692027067</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58200</v>
      </c>
      <c r="C12" s="244" t="s">
        <v>161</v>
      </c>
      <c r="D12" s="245">
        <f>SUM(D13:D16)</f>
        <v>35000</v>
      </c>
      <c r="E12" s="245">
        <f>SUM(E13:E16)</f>
        <v>35000</v>
      </c>
      <c r="F12" s="246">
        <f>D12+E12</f>
        <v>70000</v>
      </c>
      <c r="H12" s="135"/>
      <c r="I12" s="4108" t="s">
        <v>688</v>
      </c>
      <c r="J12" s="4109"/>
      <c r="K12" s="4110"/>
      <c r="L12" s="4111">
        <v>7.6E-3</v>
      </c>
      <c r="M12" s="4749">
        <v>88158</v>
      </c>
      <c r="N12" s="4749">
        <v>125000</v>
      </c>
      <c r="O12" s="252">
        <f>M12+N12</f>
        <v>213158</v>
      </c>
      <c r="P12" s="381">
        <f t="shared" ref="P12:R27" si="1">M12*$D62</f>
        <v>670.00080000000003</v>
      </c>
      <c r="Q12" s="381">
        <f t="shared" si="1"/>
        <v>950</v>
      </c>
      <c r="R12" s="382">
        <f t="shared" si="1"/>
        <v>1620.0008</v>
      </c>
      <c r="T12" s="267"/>
    </row>
    <row r="13" spans="2:22" ht="13.8" x14ac:dyDescent="0.3">
      <c r="B13" s="256"/>
      <c r="C13" s="257" t="s">
        <v>568</v>
      </c>
      <c r="D13" s="3526">
        <v>35000</v>
      </c>
      <c r="E13" s="3526">
        <v>35000</v>
      </c>
      <c r="F13" s="258">
        <f>SUM(D13:E13)</f>
        <v>70000</v>
      </c>
      <c r="H13" s="135"/>
      <c r="I13" s="4105" t="s">
        <v>689</v>
      </c>
      <c r="J13" s="4106"/>
      <c r="K13" s="4107"/>
      <c r="L13" s="4111">
        <v>7.6E-3</v>
      </c>
      <c r="M13" s="4749">
        <v>125000</v>
      </c>
      <c r="N13" s="4749">
        <v>125000</v>
      </c>
      <c r="O13" s="252">
        <f t="shared" ref="O13:O53" si="2">M13+N13</f>
        <v>250000</v>
      </c>
      <c r="P13" s="381">
        <f t="shared" si="1"/>
        <v>950</v>
      </c>
      <c r="Q13" s="381">
        <f t="shared" si="1"/>
        <v>950</v>
      </c>
      <c r="R13" s="382">
        <f t="shared" si="1"/>
        <v>1900</v>
      </c>
      <c r="T13" s="296"/>
    </row>
    <row r="14" spans="2:22" ht="13.8" x14ac:dyDescent="0.3">
      <c r="B14" s="264"/>
      <c r="C14" s="265" t="s">
        <v>163</v>
      </c>
      <c r="D14" s="266">
        <v>0</v>
      </c>
      <c r="E14" s="266"/>
      <c r="F14" s="258">
        <f t="shared" ref="F14:F24" si="3">SUM(D14:E14)</f>
        <v>0</v>
      </c>
      <c r="H14" s="135"/>
      <c r="I14" s="4105" t="s">
        <v>690</v>
      </c>
      <c r="J14" s="4106"/>
      <c r="K14" s="4107"/>
      <c r="L14" s="4111">
        <v>5.8000000000000003E-2</v>
      </c>
      <c r="M14" s="4749">
        <v>1880</v>
      </c>
      <c r="N14" s="4749">
        <v>1880</v>
      </c>
      <c r="O14" s="252">
        <f t="shared" si="2"/>
        <v>3760</v>
      </c>
      <c r="P14" s="381">
        <f t="shared" si="1"/>
        <v>109.04</v>
      </c>
      <c r="Q14" s="381">
        <f t="shared" si="1"/>
        <v>109.04</v>
      </c>
      <c r="R14" s="382">
        <f t="shared" si="1"/>
        <v>218.08</v>
      </c>
      <c r="T14" s="296"/>
    </row>
    <row r="15" spans="2:22" ht="13.8" x14ac:dyDescent="0.3">
      <c r="B15" s="264"/>
      <c r="C15" s="265" t="s">
        <v>164</v>
      </c>
      <c r="D15" s="268">
        <v>0</v>
      </c>
      <c r="E15" s="268"/>
      <c r="F15" s="258">
        <f t="shared" si="3"/>
        <v>0</v>
      </c>
      <c r="H15" s="135"/>
      <c r="I15" s="4105" t="s">
        <v>691</v>
      </c>
      <c r="J15" s="4106"/>
      <c r="K15" s="4107"/>
      <c r="L15" s="4111">
        <v>3.5999999999999997E-2</v>
      </c>
      <c r="M15" s="4750">
        <v>4300</v>
      </c>
      <c r="N15" s="4750">
        <v>4300</v>
      </c>
      <c r="O15" s="252">
        <f t="shared" si="2"/>
        <v>8600</v>
      </c>
      <c r="P15" s="381">
        <f t="shared" si="1"/>
        <v>154.79999999999998</v>
      </c>
      <c r="Q15" s="381">
        <f t="shared" si="1"/>
        <v>154.79999999999998</v>
      </c>
      <c r="R15" s="382">
        <f t="shared" si="1"/>
        <v>309.59999999999997</v>
      </c>
      <c r="T15" s="296"/>
    </row>
    <row r="16" spans="2:22" ht="14.4" thickBot="1" x14ac:dyDescent="0.35">
      <c r="B16" s="264"/>
      <c r="C16" s="265" t="s">
        <v>165</v>
      </c>
      <c r="D16" s="268">
        <v>0</v>
      </c>
      <c r="E16" s="268"/>
      <c r="F16" s="258">
        <f t="shared" si="3"/>
        <v>0</v>
      </c>
      <c r="H16" s="135"/>
      <c r="I16" s="4105" t="s">
        <v>692</v>
      </c>
      <c r="J16" s="4106"/>
      <c r="K16" s="4107"/>
      <c r="L16" s="4111">
        <v>2.1499999999999998E-2</v>
      </c>
      <c r="M16" s="4750">
        <v>0</v>
      </c>
      <c r="N16" s="4750">
        <v>0</v>
      </c>
      <c r="O16" s="252">
        <f t="shared" si="2"/>
        <v>0</v>
      </c>
      <c r="P16" s="381">
        <f t="shared" si="1"/>
        <v>0</v>
      </c>
      <c r="Q16" s="381">
        <f t="shared" si="1"/>
        <v>0</v>
      </c>
      <c r="R16" s="382">
        <f t="shared" si="1"/>
        <v>0</v>
      </c>
      <c r="T16" s="296"/>
    </row>
    <row r="17" spans="2:20" ht="14.4" thickBot="1" x14ac:dyDescent="0.35">
      <c r="B17" s="272">
        <v>4500</v>
      </c>
      <c r="C17" s="244" t="s">
        <v>166</v>
      </c>
      <c r="D17" s="245">
        <f>SUM(D18:D21)</f>
        <v>3600</v>
      </c>
      <c r="E17" s="245">
        <f>SUM(E18:E21)</f>
        <v>3500</v>
      </c>
      <c r="F17" s="246">
        <f>D17+E17</f>
        <v>7100</v>
      </c>
      <c r="H17" s="135"/>
      <c r="I17" s="4105" t="s">
        <v>693</v>
      </c>
      <c r="J17" s="4106"/>
      <c r="K17" s="4107"/>
      <c r="L17" s="4111">
        <v>2.1499999999999998E-2</v>
      </c>
      <c r="M17" s="4750">
        <v>0</v>
      </c>
      <c r="N17" s="4750">
        <v>0</v>
      </c>
      <c r="O17" s="252">
        <f t="shared" si="2"/>
        <v>0</v>
      </c>
      <c r="P17" s="381">
        <f t="shared" si="1"/>
        <v>0</v>
      </c>
      <c r="Q17" s="381">
        <f t="shared" si="1"/>
        <v>0</v>
      </c>
      <c r="R17" s="382">
        <f t="shared" si="1"/>
        <v>0</v>
      </c>
      <c r="T17" s="296"/>
    </row>
    <row r="18" spans="2:20" ht="13.8" x14ac:dyDescent="0.3">
      <c r="B18" s="256"/>
      <c r="C18" s="257" t="s">
        <v>10</v>
      </c>
      <c r="D18" s="3527">
        <v>3600</v>
      </c>
      <c r="E18" s="3527">
        <v>3500</v>
      </c>
      <c r="F18" s="258">
        <f t="shared" si="3"/>
        <v>7100</v>
      </c>
      <c r="H18" s="135"/>
      <c r="I18" s="4105" t="s">
        <v>694</v>
      </c>
      <c r="J18" s="4106"/>
      <c r="K18" s="4107"/>
      <c r="L18" s="4111">
        <v>5</v>
      </c>
      <c r="M18" s="4750">
        <v>1550</v>
      </c>
      <c r="N18" s="4750">
        <v>1550</v>
      </c>
      <c r="O18" s="252">
        <f t="shared" si="2"/>
        <v>3100</v>
      </c>
      <c r="P18" s="381">
        <f t="shared" si="1"/>
        <v>7750</v>
      </c>
      <c r="Q18" s="381">
        <f t="shared" si="1"/>
        <v>7750</v>
      </c>
      <c r="R18" s="382">
        <f t="shared" si="1"/>
        <v>15500</v>
      </c>
      <c r="T18" s="296"/>
    </row>
    <row r="19" spans="2:20" ht="13.8" x14ac:dyDescent="0.3">
      <c r="B19" s="264"/>
      <c r="C19" s="265" t="s">
        <v>163</v>
      </c>
      <c r="D19" s="266">
        <v>0</v>
      </c>
      <c r="E19" s="266"/>
      <c r="F19" s="258">
        <f t="shared" si="3"/>
        <v>0</v>
      </c>
      <c r="H19" s="135"/>
      <c r="I19" s="4105" t="s">
        <v>1225</v>
      </c>
      <c r="J19" s="4106"/>
      <c r="K19" s="4107"/>
      <c r="L19" s="4111">
        <v>2.1499999999999998E-2</v>
      </c>
      <c r="M19" s="4750">
        <v>2044750</v>
      </c>
      <c r="N19" s="4750">
        <v>1711580</v>
      </c>
      <c r="O19" s="252">
        <f t="shared" si="2"/>
        <v>3756330</v>
      </c>
      <c r="P19" s="381">
        <f t="shared" si="1"/>
        <v>43962.125</v>
      </c>
      <c r="Q19" s="381">
        <f t="shared" si="1"/>
        <v>36798.969999999994</v>
      </c>
      <c r="R19" s="382">
        <f t="shared" si="1"/>
        <v>80761.094999999987</v>
      </c>
      <c r="T19" s="296">
        <v>33859</v>
      </c>
    </row>
    <row r="20" spans="2:20" ht="13.8" x14ac:dyDescent="0.3">
      <c r="B20" s="264"/>
      <c r="C20" s="265" t="s">
        <v>164</v>
      </c>
      <c r="D20" s="268">
        <v>0</v>
      </c>
      <c r="E20" s="268"/>
      <c r="F20" s="258">
        <f t="shared" si="3"/>
        <v>0</v>
      </c>
      <c r="H20" s="135"/>
      <c r="I20" s="4105" t="s">
        <v>218</v>
      </c>
      <c r="J20" s="4106"/>
      <c r="K20" s="4107"/>
      <c r="L20" s="4111">
        <v>0</v>
      </c>
      <c r="M20" s="4112">
        <v>0</v>
      </c>
      <c r="N20" s="4112">
        <v>0</v>
      </c>
      <c r="O20" s="252">
        <f t="shared" si="2"/>
        <v>0</v>
      </c>
      <c r="P20" s="381">
        <f t="shared" si="1"/>
        <v>0</v>
      </c>
      <c r="Q20" s="381">
        <f t="shared" si="1"/>
        <v>0</v>
      </c>
      <c r="R20" s="382">
        <f t="shared" si="1"/>
        <v>0</v>
      </c>
      <c r="T20" s="296"/>
    </row>
    <row r="21" spans="2:20" ht="14.4" thickBot="1" x14ac:dyDescent="0.35">
      <c r="B21" s="264"/>
      <c r="C21" s="265" t="s">
        <v>165</v>
      </c>
      <c r="D21" s="268">
        <v>0</v>
      </c>
      <c r="E21" s="268"/>
      <c r="F21" s="258">
        <f t="shared" si="3"/>
        <v>0</v>
      </c>
      <c r="H21" s="135"/>
      <c r="I21" s="4105" t="s">
        <v>219</v>
      </c>
      <c r="J21" s="4106"/>
      <c r="K21" s="4107"/>
      <c r="L21" s="4111">
        <v>0</v>
      </c>
      <c r="M21" s="4112">
        <v>0</v>
      </c>
      <c r="N21" s="4112">
        <v>0</v>
      </c>
      <c r="O21" s="252">
        <f t="shared" si="2"/>
        <v>0</v>
      </c>
      <c r="P21" s="381">
        <f t="shared" si="1"/>
        <v>0</v>
      </c>
      <c r="Q21" s="381">
        <f t="shared" si="1"/>
        <v>0</v>
      </c>
      <c r="R21" s="382">
        <f t="shared" si="1"/>
        <v>0</v>
      </c>
      <c r="T21" s="296"/>
    </row>
    <row r="22" spans="2:20" ht="14.4" thickBot="1" x14ac:dyDescent="0.35">
      <c r="B22" s="272">
        <v>39501</v>
      </c>
      <c r="C22" s="244" t="s">
        <v>167</v>
      </c>
      <c r="D22" s="245">
        <f>SUM(D23:D26)</f>
        <v>24318</v>
      </c>
      <c r="E22" s="245">
        <f>SUM(E23:E26)</f>
        <v>24255</v>
      </c>
      <c r="F22" s="246">
        <f>D22+E22</f>
        <v>48573</v>
      </c>
      <c r="G22" s="55"/>
      <c r="H22" s="135"/>
      <c r="I22" s="3535" t="s">
        <v>220</v>
      </c>
      <c r="J22" s="3536"/>
      <c r="K22" s="3537"/>
      <c r="L22" s="3538">
        <v>0</v>
      </c>
      <c r="M22" s="3855">
        <v>0</v>
      </c>
      <c r="N22" s="3855">
        <v>0</v>
      </c>
      <c r="O22" s="252">
        <f t="shared" si="2"/>
        <v>0</v>
      </c>
      <c r="P22" s="381">
        <f t="shared" si="1"/>
        <v>0</v>
      </c>
      <c r="Q22" s="381">
        <f t="shared" si="1"/>
        <v>0</v>
      </c>
      <c r="R22" s="382">
        <f t="shared" si="1"/>
        <v>0</v>
      </c>
      <c r="T22" s="296"/>
    </row>
    <row r="23" spans="2:20" ht="13.8" x14ac:dyDescent="0.3">
      <c r="B23" s="256"/>
      <c r="C23" s="257" t="s">
        <v>168</v>
      </c>
      <c r="D23" s="258">
        <f>0.63*D12</f>
        <v>22050</v>
      </c>
      <c r="E23" s="258">
        <f>0.63*E12</f>
        <v>22050</v>
      </c>
      <c r="F23" s="258">
        <f t="shared" si="3"/>
        <v>44100</v>
      </c>
      <c r="H23" s="135"/>
      <c r="I23" s="3535" t="s">
        <v>221</v>
      </c>
      <c r="J23" s="3536"/>
      <c r="K23" s="3537"/>
      <c r="L23" s="3538">
        <v>0</v>
      </c>
      <c r="M23" s="3539">
        <v>0</v>
      </c>
      <c r="N23" s="3539">
        <v>0</v>
      </c>
      <c r="O23" s="252">
        <f t="shared" si="2"/>
        <v>0</v>
      </c>
      <c r="P23" s="381">
        <f t="shared" si="1"/>
        <v>0</v>
      </c>
      <c r="Q23" s="381">
        <f t="shared" si="1"/>
        <v>0</v>
      </c>
      <c r="R23" s="382">
        <f t="shared" si="1"/>
        <v>0</v>
      </c>
      <c r="T23" s="296"/>
    </row>
    <row r="24" spans="2:20" ht="13.8" x14ac:dyDescent="0.3">
      <c r="B24" s="256"/>
      <c r="C24" s="257" t="s">
        <v>169</v>
      </c>
      <c r="D24" s="266">
        <f>0.63*D17</f>
        <v>2268</v>
      </c>
      <c r="E24" s="266">
        <f>0.63*E17</f>
        <v>2205</v>
      </c>
      <c r="F24" s="258">
        <f t="shared" si="3"/>
        <v>4473</v>
      </c>
      <c r="H24" s="135"/>
      <c r="I24" s="259" t="str">
        <f t="shared" ref="I24:I53" si="4">C74</f>
        <v>Measure 13</v>
      </c>
      <c r="J24" s="260"/>
      <c r="K24" s="261"/>
      <c r="L24" s="380">
        <f t="shared" ref="L24:L53" si="5">D74</f>
        <v>0</v>
      </c>
      <c r="M24" s="3539">
        <v>0</v>
      </c>
      <c r="N24" s="3539">
        <v>0</v>
      </c>
      <c r="O24" s="252">
        <f t="shared" si="2"/>
        <v>0</v>
      </c>
      <c r="P24" s="381">
        <f t="shared" si="1"/>
        <v>0</v>
      </c>
      <c r="Q24" s="381">
        <f t="shared" si="1"/>
        <v>0</v>
      </c>
      <c r="R24" s="382">
        <f t="shared" si="1"/>
        <v>0</v>
      </c>
      <c r="T24" s="296"/>
    </row>
    <row r="25" spans="2:20" ht="13.8" x14ac:dyDescent="0.3">
      <c r="B25" s="264"/>
      <c r="C25" s="265"/>
      <c r="D25" s="268"/>
      <c r="E25" s="268"/>
      <c r="F25" s="268"/>
      <c r="H25" s="135"/>
      <c r="I25" s="259" t="str">
        <f t="shared" si="4"/>
        <v>Measure 14</v>
      </c>
      <c r="J25" s="260"/>
      <c r="K25" s="261"/>
      <c r="L25" s="380">
        <f t="shared" si="5"/>
        <v>0</v>
      </c>
      <c r="M25" s="3539">
        <v>0</v>
      </c>
      <c r="N25" s="3539">
        <v>0</v>
      </c>
      <c r="O25" s="252">
        <f t="shared" si="2"/>
        <v>0</v>
      </c>
      <c r="P25" s="381">
        <f t="shared" si="1"/>
        <v>0</v>
      </c>
      <c r="Q25" s="381">
        <f t="shared" si="1"/>
        <v>0</v>
      </c>
      <c r="R25" s="382">
        <f t="shared" si="1"/>
        <v>0</v>
      </c>
      <c r="T25" s="296"/>
    </row>
    <row r="26" spans="2:20" ht="14.4" thickBot="1" x14ac:dyDescent="0.35">
      <c r="B26" s="264"/>
      <c r="C26" s="265"/>
      <c r="D26" s="268"/>
      <c r="E26" s="268"/>
      <c r="F26" s="268"/>
      <c r="H26" s="135"/>
      <c r="I26" s="259" t="str">
        <f t="shared" si="4"/>
        <v>Measure 15</v>
      </c>
      <c r="J26" s="260"/>
      <c r="K26" s="261"/>
      <c r="L26" s="380">
        <f t="shared" si="5"/>
        <v>0</v>
      </c>
      <c r="M26" s="3539">
        <v>0</v>
      </c>
      <c r="N26" s="3539">
        <v>0</v>
      </c>
      <c r="O26" s="252">
        <f t="shared" si="2"/>
        <v>0</v>
      </c>
      <c r="P26" s="381">
        <f t="shared" si="1"/>
        <v>0</v>
      </c>
      <c r="Q26" s="381">
        <f t="shared" si="1"/>
        <v>0</v>
      </c>
      <c r="R26" s="382">
        <f t="shared" si="1"/>
        <v>0</v>
      </c>
      <c r="T26" s="296"/>
    </row>
    <row r="27" spans="2:20" ht="14.4" thickBot="1" x14ac:dyDescent="0.35">
      <c r="B27" s="272">
        <v>5250</v>
      </c>
      <c r="C27" s="244" t="s">
        <v>170</v>
      </c>
      <c r="D27" s="245">
        <f>SUM(D28:D31)</f>
        <v>3750</v>
      </c>
      <c r="E27" s="245">
        <f>SUM(E28:E31)</f>
        <v>3750</v>
      </c>
      <c r="F27" s="246">
        <f>D27+E27</f>
        <v>7500</v>
      </c>
      <c r="H27" s="135"/>
      <c r="I27" s="259" t="str">
        <f t="shared" si="4"/>
        <v>Measure 16</v>
      </c>
      <c r="J27" s="260"/>
      <c r="K27" s="261"/>
      <c r="L27" s="380">
        <f t="shared" si="5"/>
        <v>0</v>
      </c>
      <c r="M27" s="3539">
        <v>0</v>
      </c>
      <c r="N27" s="3539">
        <v>0</v>
      </c>
      <c r="O27" s="252">
        <f t="shared" si="2"/>
        <v>0</v>
      </c>
      <c r="P27" s="381">
        <f t="shared" si="1"/>
        <v>0</v>
      </c>
      <c r="Q27" s="381">
        <f t="shared" si="1"/>
        <v>0</v>
      </c>
      <c r="R27" s="382">
        <f t="shared" si="1"/>
        <v>0</v>
      </c>
      <c r="T27" s="296"/>
    </row>
    <row r="28" spans="2:20" ht="13.8" x14ac:dyDescent="0.3">
      <c r="B28" s="256"/>
      <c r="C28" s="257" t="s">
        <v>569</v>
      </c>
      <c r="D28" s="258">
        <v>3750</v>
      </c>
      <c r="E28" s="258">
        <v>3750</v>
      </c>
      <c r="F28" s="258">
        <f t="shared" ref="F28:F36" si="6">SUM(D28:E28)</f>
        <v>7500</v>
      </c>
      <c r="H28" s="135"/>
      <c r="I28" s="259" t="str">
        <f t="shared" si="4"/>
        <v>Measure 17</v>
      </c>
      <c r="J28" s="260"/>
      <c r="K28" s="261"/>
      <c r="L28" s="380">
        <f t="shared" si="5"/>
        <v>0</v>
      </c>
      <c r="M28" s="3539">
        <v>0</v>
      </c>
      <c r="N28" s="3539">
        <v>0</v>
      </c>
      <c r="O28" s="252">
        <f t="shared" si="2"/>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4"/>
        <v>Measure 18</v>
      </c>
      <c r="J29" s="260"/>
      <c r="K29" s="261"/>
      <c r="L29" s="380">
        <f t="shared" si="5"/>
        <v>0</v>
      </c>
      <c r="M29" s="3539">
        <v>0</v>
      </c>
      <c r="N29" s="3539">
        <v>0</v>
      </c>
      <c r="O29" s="252">
        <f t="shared" si="2"/>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4"/>
        <v>Measure 19</v>
      </c>
      <c r="J30" s="260"/>
      <c r="K30" s="261"/>
      <c r="L30" s="380">
        <f t="shared" si="5"/>
        <v>0</v>
      </c>
      <c r="M30" s="267">
        <v>0</v>
      </c>
      <c r="N30" s="267">
        <v>0</v>
      </c>
      <c r="O30" s="252">
        <f t="shared" si="2"/>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4"/>
        <v>Measure 20</v>
      </c>
      <c r="J31" s="260"/>
      <c r="K31" s="261"/>
      <c r="L31" s="380">
        <f t="shared" si="5"/>
        <v>0</v>
      </c>
      <c r="M31" s="267">
        <v>0</v>
      </c>
      <c r="N31" s="267">
        <v>0</v>
      </c>
      <c r="O31" s="252">
        <f t="shared" si="2"/>
        <v>0</v>
      </c>
      <c r="P31" s="381">
        <f t="shared" si="7"/>
        <v>0</v>
      </c>
      <c r="Q31" s="381">
        <f t="shared" si="7"/>
        <v>0</v>
      </c>
      <c r="R31" s="382">
        <f t="shared" si="7"/>
        <v>0</v>
      </c>
      <c r="T31" s="296"/>
    </row>
    <row r="32" spans="2:20" ht="14.4" thickBot="1" x14ac:dyDescent="0.35">
      <c r="B32" s="272">
        <v>300</v>
      </c>
      <c r="C32" s="244" t="s">
        <v>171</v>
      </c>
      <c r="D32" s="245">
        <f>SUM(D33:D36)</f>
        <v>2980</v>
      </c>
      <c r="E32" s="245">
        <f>SUM(E33:E36)</f>
        <v>2980</v>
      </c>
      <c r="F32" s="246">
        <f>D32+E32</f>
        <v>5960</v>
      </c>
      <c r="H32" s="135"/>
      <c r="I32" s="259" t="str">
        <f t="shared" si="4"/>
        <v>Measure 21</v>
      </c>
      <c r="J32" s="260"/>
      <c r="K32" s="261"/>
      <c r="L32" s="380">
        <f t="shared" si="5"/>
        <v>0</v>
      </c>
      <c r="M32" s="267">
        <v>0</v>
      </c>
      <c r="N32" s="267">
        <v>0</v>
      </c>
      <c r="O32" s="252">
        <f t="shared" si="2"/>
        <v>0</v>
      </c>
      <c r="P32" s="381">
        <f t="shared" si="7"/>
        <v>0</v>
      </c>
      <c r="Q32" s="381">
        <f t="shared" si="7"/>
        <v>0</v>
      </c>
      <c r="R32" s="382">
        <f t="shared" si="7"/>
        <v>0</v>
      </c>
      <c r="T32" s="296"/>
    </row>
    <row r="33" spans="2:20" ht="13.8" x14ac:dyDescent="0.3">
      <c r="B33" s="264"/>
      <c r="C33" s="265" t="s">
        <v>526</v>
      </c>
      <c r="D33" s="266">
        <v>2980</v>
      </c>
      <c r="E33" s="266">
        <v>2980</v>
      </c>
      <c r="F33" s="258">
        <f t="shared" si="6"/>
        <v>5960</v>
      </c>
      <c r="H33" s="135"/>
      <c r="I33" s="259" t="str">
        <f t="shared" si="4"/>
        <v>Measure 22</v>
      </c>
      <c r="J33" s="260"/>
      <c r="K33" s="261"/>
      <c r="L33" s="380">
        <f t="shared" si="5"/>
        <v>0</v>
      </c>
      <c r="M33" s="267">
        <v>0</v>
      </c>
      <c r="N33" s="267">
        <v>0</v>
      </c>
      <c r="O33" s="252">
        <f t="shared" si="2"/>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4"/>
        <v>Measure 23</v>
      </c>
      <c r="J34" s="260"/>
      <c r="K34" s="261"/>
      <c r="L34" s="380">
        <f t="shared" si="5"/>
        <v>0</v>
      </c>
      <c r="M34" s="267">
        <v>0</v>
      </c>
      <c r="N34" s="267">
        <v>0</v>
      </c>
      <c r="O34" s="252">
        <f t="shared" si="2"/>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4"/>
        <v>Measure 24</v>
      </c>
      <c r="J35" s="260"/>
      <c r="K35" s="261"/>
      <c r="L35" s="380">
        <f t="shared" si="5"/>
        <v>0</v>
      </c>
      <c r="M35" s="267">
        <v>0</v>
      </c>
      <c r="N35" s="267">
        <v>0</v>
      </c>
      <c r="O35" s="252">
        <f t="shared" si="2"/>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4"/>
        <v>Measure 25</v>
      </c>
      <c r="J36" s="260"/>
      <c r="K36" s="261"/>
      <c r="L36" s="380">
        <f t="shared" si="5"/>
        <v>0</v>
      </c>
      <c r="M36" s="267">
        <v>0</v>
      </c>
      <c r="N36" s="267">
        <v>0</v>
      </c>
      <c r="O36" s="252">
        <f t="shared" si="2"/>
        <v>0</v>
      </c>
      <c r="P36" s="381">
        <f t="shared" si="7"/>
        <v>0</v>
      </c>
      <c r="Q36" s="381">
        <f t="shared" si="7"/>
        <v>0</v>
      </c>
      <c r="R36" s="382">
        <f t="shared" si="7"/>
        <v>0</v>
      </c>
      <c r="T36" s="296"/>
    </row>
    <row r="37" spans="2:20" ht="14.4" thickBot="1" x14ac:dyDescent="0.35">
      <c r="B37" s="272">
        <v>600</v>
      </c>
      <c r="C37" s="244" t="s">
        <v>172</v>
      </c>
      <c r="D37" s="245">
        <f>SUM(D38:D41)</f>
        <v>100</v>
      </c>
      <c r="E37" s="245">
        <f>SUM(E38:E41)</f>
        <v>100</v>
      </c>
      <c r="F37" s="246">
        <f>D37+E37</f>
        <v>200</v>
      </c>
      <c r="H37" s="135"/>
      <c r="I37" s="259" t="str">
        <f t="shared" si="4"/>
        <v>Measure 26</v>
      </c>
      <c r="J37" s="260"/>
      <c r="K37" s="270"/>
      <c r="L37" s="380">
        <f t="shared" si="5"/>
        <v>0</v>
      </c>
      <c r="M37" s="267">
        <v>0</v>
      </c>
      <c r="N37" s="267">
        <v>0</v>
      </c>
      <c r="O37" s="252">
        <f t="shared" si="2"/>
        <v>0</v>
      </c>
      <c r="P37" s="381">
        <f t="shared" si="7"/>
        <v>0</v>
      </c>
      <c r="Q37" s="381">
        <f t="shared" si="7"/>
        <v>0</v>
      </c>
      <c r="R37" s="382">
        <f t="shared" si="7"/>
        <v>0</v>
      </c>
      <c r="T37" s="296"/>
    </row>
    <row r="38" spans="2:20" ht="13.8" x14ac:dyDescent="0.3">
      <c r="B38" s="264"/>
      <c r="C38" s="265" t="s">
        <v>14</v>
      </c>
      <c r="D38" s="266">
        <v>100</v>
      </c>
      <c r="E38" s="266">
        <v>100</v>
      </c>
      <c r="F38" s="258">
        <f t="shared" ref="F38:F51" si="8">SUM(D38:E38)</f>
        <v>200</v>
      </c>
      <c r="H38" s="135"/>
      <c r="I38" s="259" t="str">
        <f t="shared" si="4"/>
        <v>Measure 27</v>
      </c>
      <c r="J38" s="260"/>
      <c r="K38" s="270"/>
      <c r="L38" s="380">
        <f t="shared" si="5"/>
        <v>0</v>
      </c>
      <c r="M38" s="267">
        <v>0</v>
      </c>
      <c r="N38" s="267">
        <v>0</v>
      </c>
      <c r="O38" s="252">
        <f t="shared" si="2"/>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4"/>
        <v>Measure 28</v>
      </c>
      <c r="J39" s="260"/>
      <c r="K39" s="270"/>
      <c r="L39" s="380">
        <f t="shared" si="5"/>
        <v>0</v>
      </c>
      <c r="M39" s="267">
        <v>0</v>
      </c>
      <c r="N39" s="267">
        <v>0</v>
      </c>
      <c r="O39" s="252">
        <f t="shared" si="2"/>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4"/>
        <v>Measure 29</v>
      </c>
      <c r="J40" s="260"/>
      <c r="K40" s="270"/>
      <c r="L40" s="380">
        <f t="shared" si="5"/>
        <v>0</v>
      </c>
      <c r="M40" s="267">
        <v>0</v>
      </c>
      <c r="N40" s="267">
        <v>0</v>
      </c>
      <c r="O40" s="252">
        <f t="shared" si="2"/>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4"/>
        <v>Measure 30</v>
      </c>
      <c r="J41" s="260"/>
      <c r="K41" s="270"/>
      <c r="L41" s="380">
        <f t="shared" si="5"/>
        <v>0</v>
      </c>
      <c r="M41" s="267">
        <v>0</v>
      </c>
      <c r="N41" s="267">
        <v>0</v>
      </c>
      <c r="O41" s="252">
        <f t="shared" si="2"/>
        <v>0</v>
      </c>
      <c r="P41" s="381">
        <f t="shared" si="7"/>
        <v>0</v>
      </c>
      <c r="Q41" s="381">
        <f t="shared" si="7"/>
        <v>0</v>
      </c>
      <c r="R41" s="382">
        <f t="shared" si="7"/>
        <v>0</v>
      </c>
      <c r="T41" s="296"/>
    </row>
    <row r="42" spans="2:20" ht="14.4" thickBot="1" x14ac:dyDescent="0.35">
      <c r="B42" s="272">
        <v>120</v>
      </c>
      <c r="C42" s="244" t="s">
        <v>173</v>
      </c>
      <c r="D42" s="245">
        <f>SUM(D43:D46)</f>
        <v>50</v>
      </c>
      <c r="E42" s="245">
        <f>SUM(E43:E46)</f>
        <v>50</v>
      </c>
      <c r="F42" s="246">
        <f>D42+E42</f>
        <v>100</v>
      </c>
      <c r="H42" s="135"/>
      <c r="I42" s="259" t="str">
        <f t="shared" si="4"/>
        <v>Measure 31</v>
      </c>
      <c r="J42" s="260"/>
      <c r="K42" s="270"/>
      <c r="L42" s="380">
        <f t="shared" si="5"/>
        <v>0</v>
      </c>
      <c r="M42" s="267">
        <v>0</v>
      </c>
      <c r="N42" s="267">
        <v>0</v>
      </c>
      <c r="O42" s="252">
        <f t="shared" si="2"/>
        <v>0</v>
      </c>
      <c r="P42" s="381">
        <f t="shared" si="7"/>
        <v>0</v>
      </c>
      <c r="Q42" s="381">
        <f t="shared" si="7"/>
        <v>0</v>
      </c>
      <c r="R42" s="382">
        <f t="shared" si="7"/>
        <v>0</v>
      </c>
      <c r="T42" s="296"/>
    </row>
    <row r="43" spans="2:20" ht="13.8" x14ac:dyDescent="0.3">
      <c r="B43" s="264"/>
      <c r="C43" s="265" t="s">
        <v>162</v>
      </c>
      <c r="D43" s="266">
        <v>50</v>
      </c>
      <c r="E43" s="266">
        <v>50</v>
      </c>
      <c r="F43" s="258">
        <f t="shared" si="8"/>
        <v>100</v>
      </c>
      <c r="H43" s="135"/>
      <c r="I43" s="259" t="str">
        <f t="shared" si="4"/>
        <v>Measure 32</v>
      </c>
      <c r="J43" s="260"/>
      <c r="K43" s="270"/>
      <c r="L43" s="380">
        <f t="shared" si="5"/>
        <v>0</v>
      </c>
      <c r="M43" s="267">
        <v>0</v>
      </c>
      <c r="N43" s="267">
        <v>0</v>
      </c>
      <c r="O43" s="252">
        <f t="shared" si="2"/>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4"/>
        <v>Measure 33</v>
      </c>
      <c r="J44" s="260"/>
      <c r="K44" s="270"/>
      <c r="L44" s="380">
        <f t="shared" si="5"/>
        <v>0</v>
      </c>
      <c r="M44" s="267">
        <v>0</v>
      </c>
      <c r="N44" s="267">
        <v>0</v>
      </c>
      <c r="O44" s="252">
        <f t="shared" si="2"/>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4"/>
        <v>Measure 34</v>
      </c>
      <c r="J45" s="260"/>
      <c r="K45" s="270"/>
      <c r="L45" s="380">
        <f t="shared" si="5"/>
        <v>0</v>
      </c>
      <c r="M45" s="267">
        <v>0</v>
      </c>
      <c r="N45" s="267">
        <v>0</v>
      </c>
      <c r="O45" s="252">
        <f t="shared" si="2"/>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4"/>
        <v>Measure 35</v>
      </c>
      <c r="J46" s="260"/>
      <c r="K46" s="270"/>
      <c r="L46" s="380">
        <f t="shared" si="5"/>
        <v>0</v>
      </c>
      <c r="M46" s="267">
        <v>0</v>
      </c>
      <c r="N46" s="267">
        <v>0</v>
      </c>
      <c r="O46" s="252">
        <f t="shared" si="2"/>
        <v>0</v>
      </c>
      <c r="P46" s="381">
        <f t="shared" si="9"/>
        <v>0</v>
      </c>
      <c r="Q46" s="381">
        <f t="shared" si="9"/>
        <v>0</v>
      </c>
      <c r="R46" s="382">
        <f t="shared" si="9"/>
        <v>0</v>
      </c>
      <c r="T46" s="296"/>
    </row>
    <row r="47" spans="2:20" ht="14.4" thickBot="1" x14ac:dyDescent="0.35">
      <c r="B47" s="272">
        <v>1800</v>
      </c>
      <c r="C47" s="244" t="s">
        <v>174</v>
      </c>
      <c r="D47" s="245">
        <f>SUM(D48:D51)</f>
        <v>1485</v>
      </c>
      <c r="E47" s="245">
        <f>SUM(E48:E51)</f>
        <v>1485</v>
      </c>
      <c r="F47" s="246">
        <f>D47+E47</f>
        <v>2970</v>
      </c>
      <c r="H47" s="135"/>
      <c r="I47" s="259" t="str">
        <f t="shared" si="4"/>
        <v>Measure 36</v>
      </c>
      <c r="J47" s="260"/>
      <c r="K47" s="270"/>
      <c r="L47" s="380">
        <f t="shared" si="5"/>
        <v>0</v>
      </c>
      <c r="M47" s="267">
        <v>0</v>
      </c>
      <c r="N47" s="267">
        <v>0</v>
      </c>
      <c r="O47" s="252">
        <f t="shared" si="2"/>
        <v>0</v>
      </c>
      <c r="P47" s="381">
        <f t="shared" si="9"/>
        <v>0</v>
      </c>
      <c r="Q47" s="381">
        <f t="shared" si="9"/>
        <v>0</v>
      </c>
      <c r="R47" s="382">
        <f t="shared" si="9"/>
        <v>0</v>
      </c>
      <c r="T47" s="296"/>
    </row>
    <row r="48" spans="2:20" ht="13.8" x14ac:dyDescent="0.3">
      <c r="B48" s="264"/>
      <c r="C48" s="265" t="s">
        <v>16</v>
      </c>
      <c r="D48" s="266">
        <v>1485</v>
      </c>
      <c r="E48" s="266">
        <v>1485</v>
      </c>
      <c r="F48" s="258">
        <f t="shared" si="8"/>
        <v>2970</v>
      </c>
      <c r="H48" s="135"/>
      <c r="I48" s="259" t="str">
        <f t="shared" si="4"/>
        <v>Measure 37</v>
      </c>
      <c r="J48" s="260"/>
      <c r="K48" s="270"/>
      <c r="L48" s="380">
        <f t="shared" si="5"/>
        <v>0</v>
      </c>
      <c r="M48" s="267">
        <v>0</v>
      </c>
      <c r="N48" s="267">
        <v>0</v>
      </c>
      <c r="O48" s="252">
        <f t="shared" si="2"/>
        <v>0</v>
      </c>
      <c r="P48" s="381">
        <f t="shared" si="9"/>
        <v>0</v>
      </c>
      <c r="Q48" s="381">
        <f t="shared" si="9"/>
        <v>0</v>
      </c>
      <c r="R48" s="382">
        <f t="shared" si="9"/>
        <v>0</v>
      </c>
      <c r="T48" s="296"/>
    </row>
    <row r="49" spans="2:24" ht="13.8" x14ac:dyDescent="0.3">
      <c r="B49" s="264"/>
      <c r="C49" s="265" t="s">
        <v>687</v>
      </c>
      <c r="D49" s="266">
        <v>0</v>
      </c>
      <c r="E49" s="266">
        <v>0</v>
      </c>
      <c r="F49" s="258">
        <f t="shared" si="8"/>
        <v>0</v>
      </c>
      <c r="I49" s="259" t="str">
        <f t="shared" si="4"/>
        <v>Measure 38</v>
      </c>
      <c r="J49" s="260"/>
      <c r="K49" s="261"/>
      <c r="L49" s="380">
        <f t="shared" si="5"/>
        <v>0</v>
      </c>
      <c r="M49" s="267">
        <v>0</v>
      </c>
      <c r="N49" s="267">
        <v>0</v>
      </c>
      <c r="O49" s="252">
        <f t="shared" si="2"/>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4"/>
        <v>Measure 39</v>
      </c>
      <c r="J50" s="260"/>
      <c r="K50" s="261"/>
      <c r="L50" s="380">
        <f t="shared" si="5"/>
        <v>0</v>
      </c>
      <c r="M50" s="267">
        <v>0</v>
      </c>
      <c r="N50" s="267">
        <v>0</v>
      </c>
      <c r="O50" s="252">
        <f t="shared" si="2"/>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4"/>
        <v>Measure 40</v>
      </c>
      <c r="J51" s="260"/>
      <c r="K51" s="261"/>
      <c r="L51" s="380">
        <f t="shared" si="5"/>
        <v>0</v>
      </c>
      <c r="M51" s="267">
        <v>0</v>
      </c>
      <c r="N51" s="267">
        <v>0</v>
      </c>
      <c r="O51" s="252">
        <f t="shared" si="2"/>
        <v>0</v>
      </c>
      <c r="P51" s="381">
        <f t="shared" si="9"/>
        <v>0</v>
      </c>
      <c r="Q51" s="381">
        <f t="shared" si="9"/>
        <v>0</v>
      </c>
      <c r="R51" s="382">
        <f t="shared" si="9"/>
        <v>0</v>
      </c>
      <c r="T51" s="296"/>
    </row>
    <row r="52" spans="2:24" ht="14.4" thickBot="1" x14ac:dyDescent="0.35">
      <c r="B52" s="272">
        <v>200650</v>
      </c>
      <c r="C52" s="244" t="s">
        <v>175</v>
      </c>
      <c r="D52" s="245">
        <f>S104</f>
        <v>282306.25</v>
      </c>
      <c r="E52" s="245">
        <f>T104</f>
        <v>241169.42</v>
      </c>
      <c r="F52" s="246">
        <f>U104</f>
        <v>523475.67000000004</v>
      </c>
      <c r="G52" s="271" t="s">
        <v>176</v>
      </c>
      <c r="I52" s="259" t="str">
        <f t="shared" si="4"/>
        <v>Measure 41</v>
      </c>
      <c r="J52" s="260"/>
      <c r="K52" s="261"/>
      <c r="L52" s="380">
        <f t="shared" si="5"/>
        <v>0</v>
      </c>
      <c r="M52" s="267">
        <v>0</v>
      </c>
      <c r="N52" s="267">
        <v>0</v>
      </c>
      <c r="O52" s="252">
        <f t="shared" si="2"/>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4"/>
        <v>Measure 42</v>
      </c>
      <c r="J53" s="260"/>
      <c r="K53" s="261"/>
      <c r="L53" s="380">
        <f t="shared" si="5"/>
        <v>0</v>
      </c>
      <c r="M53" s="267">
        <v>0</v>
      </c>
      <c r="N53" s="267">
        <v>0</v>
      </c>
      <c r="O53" s="252">
        <f t="shared" si="2"/>
        <v>0</v>
      </c>
      <c r="P53" s="381">
        <f t="shared" si="9"/>
        <v>0</v>
      </c>
      <c r="Q53" s="381">
        <f t="shared" si="9"/>
        <v>0</v>
      </c>
      <c r="R53" s="382">
        <f t="shared" si="9"/>
        <v>0</v>
      </c>
      <c r="T53" s="296"/>
    </row>
    <row r="54" spans="2:24" ht="13.8" x14ac:dyDescent="0.3">
      <c r="B54" s="273">
        <f>B12+B17+B22+B27+B32+B37+B42+B47+B52+B53</f>
        <v>310921</v>
      </c>
      <c r="C54" s="274" t="s">
        <v>178</v>
      </c>
      <c r="D54" s="273">
        <f>D12+D17+D22+D27+D32+D37+D42+D47+D52+D53</f>
        <v>353589.25</v>
      </c>
      <c r="E54" s="273">
        <f>E12+E17+E22+E27+E32+E37+E42+E47+E52+E53</f>
        <v>312289.42000000004</v>
      </c>
      <c r="F54" s="273">
        <f>F12+F17+F22+F27+F32+F37+F42+F47+F52+F53</f>
        <v>665878.67000000004</v>
      </c>
      <c r="P54" s="385">
        <f>SUM(P12:P53)</f>
        <v>53595.965799999998</v>
      </c>
      <c r="Q54" s="385">
        <f>SUM(Q12:Q53)</f>
        <v>46712.81</v>
      </c>
      <c r="R54" s="385">
        <f>SUM(R12:R53)</f>
        <v>100308.77579999999</v>
      </c>
      <c r="T54" s="385">
        <f>SUM(T12:T53)</f>
        <v>33859</v>
      </c>
    </row>
    <row r="55" spans="2:24" ht="13.8" x14ac:dyDescent="0.3">
      <c r="C55" s="274"/>
      <c r="D55" s="273"/>
      <c r="E55" s="273"/>
      <c r="F55" s="273"/>
    </row>
    <row r="56" spans="2:24" ht="13.8" x14ac:dyDescent="0.3">
      <c r="C56" s="274" t="s">
        <v>179</v>
      </c>
      <c r="D56" s="273">
        <f>D54-D52</f>
        <v>71283</v>
      </c>
      <c r="E56" s="273">
        <f>E54-E52</f>
        <v>71120.000000000029</v>
      </c>
      <c r="F56" s="273">
        <f>F54-F52</f>
        <v>142403</v>
      </c>
    </row>
    <row r="57" spans="2:24" ht="13.8" x14ac:dyDescent="0.3">
      <c r="C57" s="274" t="s">
        <v>180</v>
      </c>
      <c r="D57" s="276">
        <f>D52</f>
        <v>282306.25</v>
      </c>
      <c r="E57" s="276">
        <f>E52</f>
        <v>241169.42</v>
      </c>
      <c r="F57" s="276">
        <f>F52</f>
        <v>523475.67000000004</v>
      </c>
      <c r="G57" s="335">
        <f>F57/(F56+F57)</f>
        <v>0.78614272176641431</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741" t="s">
        <v>688</v>
      </c>
      <c r="D62" s="4741">
        <v>7.6E-3</v>
      </c>
      <c r="E62" s="4741" t="s">
        <v>578</v>
      </c>
      <c r="F62" s="4741"/>
      <c r="G62" s="4748">
        <v>4.7E-2</v>
      </c>
      <c r="H62" s="4747">
        <v>0.05</v>
      </c>
      <c r="I62" s="4746">
        <v>1.6150140275164242E-2</v>
      </c>
      <c r="J62" s="4741">
        <v>24</v>
      </c>
      <c r="K62" s="4741" t="s">
        <v>618</v>
      </c>
      <c r="L62" s="4744">
        <v>1.7985707867848828</v>
      </c>
      <c r="M62" s="4744">
        <v>1.8919394748773977</v>
      </c>
      <c r="N62" s="4745">
        <v>11986.797803519163</v>
      </c>
      <c r="O62" s="4745">
        <v>11395.239986682898</v>
      </c>
      <c r="P62" s="4745">
        <v>21559.104356506767</v>
      </c>
      <c r="Q62" s="4745">
        <v>21559.104356506767</v>
      </c>
      <c r="R62" s="4743">
        <v>1.081</v>
      </c>
      <c r="S62" s="3532">
        <f>M12*$H62</f>
        <v>4407.9000000000005</v>
      </c>
      <c r="T62" s="3532">
        <f>N12*$H62</f>
        <v>6250</v>
      </c>
      <c r="U62" s="3532">
        <f>SUM(S62:T62)</f>
        <v>10657.900000000001</v>
      </c>
      <c r="V62" s="338">
        <f>U62/(U62+(I62*F$56))</f>
        <v>0.82251299378525344</v>
      </c>
      <c r="W62" s="338">
        <f t="shared" ref="W62:W80" si="10">(I62*((F$17*1.63)+F$27))/(U62+(I62*F$56))</f>
        <v>2.3772038998713944E-2</v>
      </c>
      <c r="X62" s="338">
        <f>(I62*F$37)/(U62+(I62*F$56))</f>
        <v>2.4927425154631092E-4</v>
      </c>
    </row>
    <row r="63" spans="2:24" ht="13.8" x14ac:dyDescent="0.3">
      <c r="B63" s="296"/>
      <c r="C63" s="4740" t="s">
        <v>689</v>
      </c>
      <c r="D63" s="4740">
        <v>7.6E-3</v>
      </c>
      <c r="E63" s="4741" t="s">
        <v>578</v>
      </c>
      <c r="F63" s="4740"/>
      <c r="G63" s="4748">
        <v>3.7999999999999999E-2</v>
      </c>
      <c r="H63" s="4747">
        <v>0.04</v>
      </c>
      <c r="I63" s="4746">
        <v>1.8941513191112039E-2</v>
      </c>
      <c r="J63" s="4741">
        <v>24</v>
      </c>
      <c r="K63" s="4741" t="s">
        <v>618</v>
      </c>
      <c r="L63" s="4744">
        <v>2.1526946512451062</v>
      </c>
      <c r="M63" s="4744">
        <v>2.2409391666741021</v>
      </c>
      <c r="N63" s="4745">
        <v>11745.909623454141</v>
      </c>
      <c r="O63" s="4745">
        <v>11283.374933352385</v>
      </c>
      <c r="P63" s="4745">
        <v>25285.356820418147</v>
      </c>
      <c r="Q63" s="4745">
        <v>25285.356820418147</v>
      </c>
      <c r="R63" s="4743">
        <v>1.081</v>
      </c>
      <c r="S63" s="4099">
        <f t="shared" ref="S63:S103" si="11">M13*$H63</f>
        <v>5000</v>
      </c>
      <c r="T63" s="4099">
        <f t="shared" ref="T63:T103" si="12">N13*$H63</f>
        <v>5000</v>
      </c>
      <c r="U63" s="4104">
        <f t="shared" ref="U63:U103" si="13">SUM(S63:T63)</f>
        <v>10000</v>
      </c>
      <c r="V63" s="338">
        <f t="shared" ref="V63:V80" si="14">U63/(U63+(I63*F$56))</f>
        <v>0.78756725520545801</v>
      </c>
      <c r="W63" s="338">
        <f t="shared" si="10"/>
        <v>2.8452558874927505E-2</v>
      </c>
      <c r="X63" s="338">
        <f t="shared" ref="X63:X80" si="15">(I63*F$37)/(U63+(I63*F$56))</f>
        <v>2.983543110672417E-4</v>
      </c>
    </row>
    <row r="64" spans="2:24" ht="13.8" x14ac:dyDescent="0.3">
      <c r="B64" s="296"/>
      <c r="C64" s="4740" t="s">
        <v>690</v>
      </c>
      <c r="D64" s="4740">
        <v>5.8000000000000003E-2</v>
      </c>
      <c r="E64" s="4741" t="s">
        <v>578</v>
      </c>
      <c r="F64" s="4740"/>
      <c r="G64" s="4748">
        <v>0.32800000000000001</v>
      </c>
      <c r="H64" s="4747">
        <v>0.32</v>
      </c>
      <c r="I64" s="4746">
        <v>2.1740869456409019E-3</v>
      </c>
      <c r="J64" s="4741">
        <v>15</v>
      </c>
      <c r="K64" s="4741" t="s">
        <v>618</v>
      </c>
      <c r="L64" s="4744">
        <v>1.5363324311735294</v>
      </c>
      <c r="M64" s="4744">
        <v>1.5063800147421076</v>
      </c>
      <c r="N64" s="4745">
        <v>1399.4417237003715</v>
      </c>
      <c r="O64" s="4745">
        <v>1427.2678106568931</v>
      </c>
      <c r="P64" s="4745">
        <v>2150.0077056582663</v>
      </c>
      <c r="Q64" s="4745">
        <v>2150.0077056582663</v>
      </c>
      <c r="R64" s="4743">
        <v>1.081</v>
      </c>
      <c r="S64" s="4099">
        <f t="shared" si="11"/>
        <v>601.6</v>
      </c>
      <c r="T64" s="4099">
        <f t="shared" si="12"/>
        <v>601.6</v>
      </c>
      <c r="U64" s="4104">
        <f t="shared" si="13"/>
        <v>1203.2</v>
      </c>
      <c r="V64" s="338">
        <f t="shared" si="14"/>
        <v>0.79534821594270166</v>
      </c>
      <c r="W64" s="338">
        <f t="shared" si="10"/>
        <v>2.7410402009261394E-2</v>
      </c>
      <c r="X64" s="338">
        <f t="shared" si="15"/>
        <v>2.8742622565156397E-4</v>
      </c>
    </row>
    <row r="65" spans="2:24" ht="13.8" x14ac:dyDescent="0.3">
      <c r="B65" s="296"/>
      <c r="C65" s="4740" t="s">
        <v>691</v>
      </c>
      <c r="D65" s="4740">
        <v>3.5999999999999997E-2</v>
      </c>
      <c r="E65" s="4741" t="s">
        <v>578</v>
      </c>
      <c r="F65" s="4740"/>
      <c r="G65" s="4748">
        <v>0.32800000000000001</v>
      </c>
      <c r="H65" s="4747">
        <v>0.18</v>
      </c>
      <c r="I65" s="4746">
        <v>3.0864697284043617E-3</v>
      </c>
      <c r="J65" s="4741">
        <v>15</v>
      </c>
      <c r="K65" s="4741" t="s">
        <v>618</v>
      </c>
      <c r="L65" s="4744">
        <v>1.6601172390822607</v>
      </c>
      <c r="M65" s="4744">
        <v>1.0120227053912887</v>
      </c>
      <c r="N65" s="4745">
        <v>1838.5962522978411</v>
      </c>
      <c r="O65" s="4745">
        <v>3016.0245594208754</v>
      </c>
      <c r="P65" s="4745">
        <v>3052.2853341516839</v>
      </c>
      <c r="Q65" s="4745">
        <v>3052.2853341516839</v>
      </c>
      <c r="R65" s="4743">
        <v>1.081</v>
      </c>
      <c r="S65" s="4099">
        <f t="shared" si="11"/>
        <v>774</v>
      </c>
      <c r="T65" s="4099">
        <f t="shared" si="12"/>
        <v>774</v>
      </c>
      <c r="U65" s="4104">
        <f t="shared" si="13"/>
        <v>1548</v>
      </c>
      <c r="V65" s="338">
        <f t="shared" si="14"/>
        <v>0.77885908815779825</v>
      </c>
      <c r="W65" s="338">
        <f t="shared" si="10"/>
        <v>2.961890277287919E-2</v>
      </c>
      <c r="X65" s="338">
        <f t="shared" si="15"/>
        <v>3.1058462510228274E-4</v>
      </c>
    </row>
    <row r="66" spans="2:24" ht="13.8" x14ac:dyDescent="0.3">
      <c r="B66" s="296"/>
      <c r="C66" s="4740" t="s">
        <v>692</v>
      </c>
      <c r="D66" s="4740">
        <v>2.1499999999999998E-2</v>
      </c>
      <c r="E66" s="4741" t="s">
        <v>578</v>
      </c>
      <c r="F66" s="4740"/>
      <c r="G66" s="4748">
        <v>0.185</v>
      </c>
      <c r="H66" s="4747">
        <v>0.129</v>
      </c>
      <c r="I66" s="4746">
        <v>0</v>
      </c>
      <c r="J66" s="4741">
        <v>15</v>
      </c>
      <c r="K66" s="4741" t="s">
        <v>1224</v>
      </c>
      <c r="L66" s="4744" t="e">
        <v>#DIV/0!</v>
      </c>
      <c r="M66" s="4744" t="e">
        <v>#DIV/0!</v>
      </c>
      <c r="N66" s="4745">
        <v>0</v>
      </c>
      <c r="O66" s="4745">
        <v>0</v>
      </c>
      <c r="P66" s="4745">
        <v>0</v>
      </c>
      <c r="Q66" s="4745">
        <v>0</v>
      </c>
      <c r="R66" s="4743">
        <v>1.081</v>
      </c>
      <c r="S66" s="4099">
        <f t="shared" si="11"/>
        <v>0</v>
      </c>
      <c r="T66" s="4099">
        <f t="shared" si="12"/>
        <v>0</v>
      </c>
      <c r="U66" s="4104">
        <f t="shared" si="13"/>
        <v>0</v>
      </c>
      <c r="V66" s="338" t="e">
        <f t="shared" si="14"/>
        <v>#DIV/0!</v>
      </c>
      <c r="W66" s="338" t="e">
        <f t="shared" si="10"/>
        <v>#DIV/0!</v>
      </c>
      <c r="X66" s="338" t="e">
        <f t="shared" si="15"/>
        <v>#DIV/0!</v>
      </c>
    </row>
    <row r="67" spans="2:24" ht="13.8" x14ac:dyDescent="0.3">
      <c r="B67" s="296"/>
      <c r="C67" s="4740" t="s">
        <v>693</v>
      </c>
      <c r="D67" s="4740">
        <v>2.1499999999999998E-2</v>
      </c>
      <c r="E67" s="4741" t="s">
        <v>578</v>
      </c>
      <c r="F67" s="4740"/>
      <c r="G67" s="4748">
        <v>7.0000000000000007E-2</v>
      </c>
      <c r="H67" s="4747">
        <v>0.04</v>
      </c>
      <c r="I67" s="4746">
        <v>0</v>
      </c>
      <c r="J67" s="4741">
        <v>7</v>
      </c>
      <c r="K67" s="4741" t="s">
        <v>1224</v>
      </c>
      <c r="L67" s="4744" t="e">
        <v>#DIV/0!</v>
      </c>
      <c r="M67" s="4744" t="e">
        <v>#DIV/0!</v>
      </c>
      <c r="N67" s="4745">
        <v>0</v>
      </c>
      <c r="O67" s="4745">
        <v>0</v>
      </c>
      <c r="P67" s="4745">
        <v>0</v>
      </c>
      <c r="Q67" s="4745">
        <v>0</v>
      </c>
      <c r="R67" s="4743">
        <v>1.081</v>
      </c>
      <c r="S67" s="4099">
        <f t="shared" si="11"/>
        <v>0</v>
      </c>
      <c r="T67" s="4099">
        <f t="shared" si="12"/>
        <v>0</v>
      </c>
      <c r="U67" s="4104">
        <f t="shared" si="13"/>
        <v>0</v>
      </c>
      <c r="V67" s="338" t="e">
        <f t="shared" si="14"/>
        <v>#DIV/0!</v>
      </c>
      <c r="W67" s="338" t="e">
        <f t="shared" si="10"/>
        <v>#DIV/0!</v>
      </c>
      <c r="X67" s="338" t="e">
        <f t="shared" si="15"/>
        <v>#DIV/0!</v>
      </c>
    </row>
    <row r="68" spans="2:24" ht="13.8" x14ac:dyDescent="0.3">
      <c r="B68" s="296"/>
      <c r="C68" s="4740" t="s">
        <v>694</v>
      </c>
      <c r="D68" s="4740">
        <v>5</v>
      </c>
      <c r="E68" s="4740" t="s">
        <v>499</v>
      </c>
      <c r="F68" s="4740"/>
      <c r="G68" s="4748">
        <v>10</v>
      </c>
      <c r="H68" s="4747">
        <v>5</v>
      </c>
      <c r="I68" s="4746">
        <v>0.15452287076959823</v>
      </c>
      <c r="J68" s="4741">
        <v>6</v>
      </c>
      <c r="K68" s="4741" t="s">
        <v>259</v>
      </c>
      <c r="L68" s="4744">
        <v>1.4250398837081002</v>
      </c>
      <c r="M68" s="4744">
        <v>1.0083184787246973</v>
      </c>
      <c r="N68" s="4745">
        <v>34694.283409993615</v>
      </c>
      <c r="O68" s="4745">
        <v>49032.858803148105</v>
      </c>
      <c r="P68" s="4745">
        <v>49440.737595913175</v>
      </c>
      <c r="Q68" s="4745">
        <v>49440.737595913175</v>
      </c>
      <c r="R68" s="4743">
        <v>1.081</v>
      </c>
      <c r="S68" s="4099">
        <f t="shared" si="11"/>
        <v>7750</v>
      </c>
      <c r="T68" s="4099">
        <f t="shared" si="12"/>
        <v>7750</v>
      </c>
      <c r="U68" s="4104">
        <f t="shared" si="13"/>
        <v>15500</v>
      </c>
      <c r="V68" s="338">
        <f t="shared" si="14"/>
        <v>0.41328351485779036</v>
      </c>
      <c r="W68" s="338">
        <f t="shared" si="10"/>
        <v>7.8582919749705854E-2</v>
      </c>
      <c r="X68" s="338">
        <f t="shared" si="15"/>
        <v>8.2402264719452474E-4</v>
      </c>
    </row>
    <row r="69" spans="2:24" ht="13.8" x14ac:dyDescent="0.3">
      <c r="B69" s="296"/>
      <c r="C69" s="4740" t="s">
        <v>1225</v>
      </c>
      <c r="D69" s="4740">
        <v>2.1499999999999998E-2</v>
      </c>
      <c r="E69" s="4741" t="s">
        <v>578</v>
      </c>
      <c r="F69" s="4740" t="s">
        <v>211</v>
      </c>
      <c r="G69" s="4748">
        <v>0.13800000000000001</v>
      </c>
      <c r="H69" s="4742">
        <v>0.129</v>
      </c>
      <c r="I69" s="4746">
        <v>0.80512491909008022</v>
      </c>
      <c r="J69" s="4741">
        <v>15</v>
      </c>
      <c r="K69" s="4741" t="s">
        <v>1224</v>
      </c>
      <c r="L69" s="4744">
        <v>1.0513078826093589</v>
      </c>
      <c r="M69" s="4744">
        <v>0.99516240291401614</v>
      </c>
      <c r="N69" s="4745">
        <v>554318.93973467592</v>
      </c>
      <c r="O69" s="4745">
        <v>585592.73251913488</v>
      </c>
      <c r="P69" s="4745">
        <v>582759.87082272698</v>
      </c>
      <c r="Q69" s="4745">
        <v>582759.87082272698</v>
      </c>
      <c r="R69" s="4743">
        <v>1.081</v>
      </c>
      <c r="S69" s="4099">
        <f t="shared" si="11"/>
        <v>263772.75</v>
      </c>
      <c r="T69" s="4099">
        <f t="shared" si="12"/>
        <v>220793.82</v>
      </c>
      <c r="U69" s="4104">
        <f t="shared" si="13"/>
        <v>484566.57</v>
      </c>
      <c r="V69" s="338">
        <f t="shared" si="14"/>
        <v>0.80866386559297665</v>
      </c>
      <c r="W69" s="338">
        <f t="shared" si="10"/>
        <v>2.5626946704389354E-2</v>
      </c>
      <c r="X69" s="338">
        <f t="shared" si="15"/>
        <v>2.6872486451412313E-4</v>
      </c>
    </row>
    <row r="70" spans="2:24" ht="13.8" x14ac:dyDescent="0.3">
      <c r="B70" s="296"/>
      <c r="C70" s="4096" t="s">
        <v>218</v>
      </c>
      <c r="D70" s="4096">
        <v>0</v>
      </c>
      <c r="E70" s="4097" t="s">
        <v>578</v>
      </c>
      <c r="F70" s="4096" t="s">
        <v>211</v>
      </c>
      <c r="G70" s="4098"/>
      <c r="H70" s="4098"/>
      <c r="I70" s="4103">
        <v>0</v>
      </c>
      <c r="J70" s="4097"/>
      <c r="K70" s="4097"/>
      <c r="L70" s="4101" t="e">
        <v>#DIV/0!</v>
      </c>
      <c r="M70" s="4101" t="e">
        <v>#DIV/0!</v>
      </c>
      <c r="N70" s="4102">
        <v>0</v>
      </c>
      <c r="O70" s="4102">
        <v>0</v>
      </c>
      <c r="P70" s="4102">
        <v>0</v>
      </c>
      <c r="Q70" s="4102">
        <v>0</v>
      </c>
      <c r="R70" s="4100">
        <v>1.081</v>
      </c>
      <c r="S70" s="4099">
        <f t="shared" si="11"/>
        <v>0</v>
      </c>
      <c r="T70" s="4099">
        <f t="shared" si="12"/>
        <v>0</v>
      </c>
      <c r="U70" s="4104">
        <f t="shared" si="13"/>
        <v>0</v>
      </c>
      <c r="V70" s="338" t="e">
        <f t="shared" si="14"/>
        <v>#DIV/0!</v>
      </c>
      <c r="W70" s="338" t="e">
        <f t="shared" si="10"/>
        <v>#DIV/0!</v>
      </c>
      <c r="X70" s="338" t="e">
        <f t="shared" si="15"/>
        <v>#DIV/0!</v>
      </c>
    </row>
    <row r="71" spans="2:24" ht="13.8" x14ac:dyDescent="0.3">
      <c r="B71" s="296"/>
      <c r="C71" s="4096" t="s">
        <v>219</v>
      </c>
      <c r="D71" s="4096">
        <v>0</v>
      </c>
      <c r="E71" s="4096" t="s">
        <v>499</v>
      </c>
      <c r="F71" s="4096" t="s">
        <v>211</v>
      </c>
      <c r="G71" s="4098"/>
      <c r="H71" s="4098"/>
      <c r="I71" s="4103">
        <v>0</v>
      </c>
      <c r="J71" s="4097"/>
      <c r="K71" s="4097"/>
      <c r="L71" s="4101" t="e">
        <v>#DIV/0!</v>
      </c>
      <c r="M71" s="4101" t="e">
        <v>#DIV/0!</v>
      </c>
      <c r="N71" s="4102">
        <v>0</v>
      </c>
      <c r="O71" s="4102">
        <v>0</v>
      </c>
      <c r="P71" s="4102">
        <v>0</v>
      </c>
      <c r="Q71" s="4102">
        <v>0</v>
      </c>
      <c r="R71" s="4100">
        <v>1.081</v>
      </c>
      <c r="S71" s="4099">
        <f t="shared" si="11"/>
        <v>0</v>
      </c>
      <c r="T71" s="4099">
        <f t="shared" si="12"/>
        <v>0</v>
      </c>
      <c r="U71" s="4104">
        <f t="shared" si="13"/>
        <v>0</v>
      </c>
      <c r="V71" s="338" t="e">
        <f t="shared" si="14"/>
        <v>#DIV/0!</v>
      </c>
      <c r="W71" s="338" t="e">
        <f t="shared" si="10"/>
        <v>#DIV/0!</v>
      </c>
      <c r="X71" s="338" t="e">
        <f t="shared" si="15"/>
        <v>#DIV/0!</v>
      </c>
    </row>
    <row r="72" spans="2:24" ht="13.8" x14ac:dyDescent="0.3">
      <c r="B72" s="296"/>
      <c r="C72" s="3528" t="s">
        <v>220</v>
      </c>
      <c r="D72" s="3529">
        <v>0</v>
      </c>
      <c r="E72" s="3528" t="s">
        <v>617</v>
      </c>
      <c r="F72" s="3528" t="s">
        <v>211</v>
      </c>
      <c r="G72" s="3530"/>
      <c r="H72" s="3530"/>
      <c r="I72" s="3531">
        <v>0</v>
      </c>
      <c r="J72" s="3529"/>
      <c r="K72" s="3529"/>
      <c r="L72" s="3864" t="e">
        <v>#DIV/0!</v>
      </c>
      <c r="M72" s="3864" t="e">
        <v>#DIV/0!</v>
      </c>
      <c r="N72" s="3534">
        <v>0</v>
      </c>
      <c r="O72" s="3534">
        <v>0</v>
      </c>
      <c r="P72" s="3534">
        <v>0</v>
      </c>
      <c r="Q72" s="3534">
        <v>0</v>
      </c>
      <c r="R72" s="3533">
        <v>4.0810000000000004</v>
      </c>
      <c r="S72" s="4099">
        <f t="shared" si="11"/>
        <v>0</v>
      </c>
      <c r="T72" s="4099">
        <f t="shared" si="12"/>
        <v>0</v>
      </c>
      <c r="U72" s="4104">
        <f t="shared" si="13"/>
        <v>0</v>
      </c>
      <c r="V72" s="338" t="e">
        <f t="shared" si="14"/>
        <v>#DIV/0!</v>
      </c>
      <c r="W72" s="338" t="e">
        <f t="shared" si="10"/>
        <v>#DIV/0!</v>
      </c>
      <c r="X72" s="338" t="e">
        <f t="shared" si="15"/>
        <v>#DIV/0!</v>
      </c>
    </row>
    <row r="73" spans="2:24" ht="13.8" x14ac:dyDescent="0.3">
      <c r="B73" s="296"/>
      <c r="C73" s="3528" t="s">
        <v>221</v>
      </c>
      <c r="D73" s="3528">
        <v>0</v>
      </c>
      <c r="E73" s="3528" t="s">
        <v>617</v>
      </c>
      <c r="F73" s="3528" t="s">
        <v>211</v>
      </c>
      <c r="G73" s="3530"/>
      <c r="H73" s="3530"/>
      <c r="I73" s="3531">
        <v>0</v>
      </c>
      <c r="J73" s="3529"/>
      <c r="K73" s="3529"/>
      <c r="L73" s="3864" t="e">
        <v>#DIV/0!</v>
      </c>
      <c r="M73" s="3864" t="e">
        <v>#DIV/0!</v>
      </c>
      <c r="N73" s="3534">
        <v>0</v>
      </c>
      <c r="O73" s="3534">
        <v>0</v>
      </c>
      <c r="P73" s="3534">
        <v>0</v>
      </c>
      <c r="Q73" s="3534">
        <v>0</v>
      </c>
      <c r="R73" s="3533">
        <v>5.0810000000000004</v>
      </c>
      <c r="S73" s="4099">
        <f t="shared" si="11"/>
        <v>0</v>
      </c>
      <c r="T73" s="4099">
        <f t="shared" si="12"/>
        <v>0</v>
      </c>
      <c r="U73" s="4104">
        <f t="shared" si="13"/>
        <v>0</v>
      </c>
      <c r="V73" s="338" t="e">
        <f t="shared" si="14"/>
        <v>#DIV/0!</v>
      </c>
      <c r="W73" s="338" t="e">
        <f t="shared" si="10"/>
        <v>#DIV/0!</v>
      </c>
      <c r="X73" s="338" t="e">
        <f t="shared" si="15"/>
        <v>#DIV/0!</v>
      </c>
    </row>
    <row r="74" spans="2:24" ht="13.8" x14ac:dyDescent="0.3">
      <c r="B74" s="296"/>
      <c r="C74" s="3528" t="s">
        <v>222</v>
      </c>
      <c r="D74" s="3529">
        <v>0</v>
      </c>
      <c r="E74" s="3528" t="s">
        <v>617</v>
      </c>
      <c r="F74" s="3528" t="s">
        <v>211</v>
      </c>
      <c r="G74" s="3530"/>
      <c r="H74" s="3530"/>
      <c r="I74" s="3531">
        <v>0</v>
      </c>
      <c r="J74" s="3529"/>
      <c r="K74" s="3529"/>
      <c r="L74" s="3864" t="e">
        <v>#DIV/0!</v>
      </c>
      <c r="M74" s="3864" t="e">
        <v>#DIV/0!</v>
      </c>
      <c r="N74" s="3534">
        <v>0</v>
      </c>
      <c r="O74" s="3534">
        <v>0</v>
      </c>
      <c r="P74" s="3534">
        <v>0</v>
      </c>
      <c r="Q74" s="3534">
        <v>0</v>
      </c>
      <c r="R74" s="3533">
        <v>6.0810000000000004</v>
      </c>
      <c r="S74" s="4099">
        <f t="shared" si="11"/>
        <v>0</v>
      </c>
      <c r="T74" s="4099">
        <f t="shared" si="12"/>
        <v>0</v>
      </c>
      <c r="U74" s="4104">
        <f t="shared" si="13"/>
        <v>0</v>
      </c>
      <c r="V74" s="338" t="e">
        <f t="shared" si="14"/>
        <v>#DIV/0!</v>
      </c>
      <c r="W74" s="338" t="e">
        <f t="shared" si="10"/>
        <v>#DIV/0!</v>
      </c>
      <c r="X74" s="338" t="e">
        <f t="shared" si="15"/>
        <v>#DIV/0!</v>
      </c>
    </row>
    <row r="75" spans="2:24" ht="13.8" x14ac:dyDescent="0.3">
      <c r="B75" s="296"/>
      <c r="C75" s="3528" t="s">
        <v>223</v>
      </c>
      <c r="D75" s="3528">
        <v>0</v>
      </c>
      <c r="E75" s="3528" t="s">
        <v>617</v>
      </c>
      <c r="F75" s="3528" t="s">
        <v>211</v>
      </c>
      <c r="G75" s="3530"/>
      <c r="H75" s="3530"/>
      <c r="I75" s="3531">
        <v>0</v>
      </c>
      <c r="J75" s="3529"/>
      <c r="K75" s="3529"/>
      <c r="L75" s="3864" t="e">
        <v>#DIV/0!</v>
      </c>
      <c r="M75" s="3864" t="e">
        <v>#DIV/0!</v>
      </c>
      <c r="N75" s="3534">
        <v>0</v>
      </c>
      <c r="O75" s="3534">
        <v>0</v>
      </c>
      <c r="P75" s="3534">
        <v>0</v>
      </c>
      <c r="Q75" s="3534">
        <v>0</v>
      </c>
      <c r="R75" s="3533">
        <v>7.0810000000000004</v>
      </c>
      <c r="S75" s="4099">
        <f t="shared" si="11"/>
        <v>0</v>
      </c>
      <c r="T75" s="4099">
        <f t="shared" si="12"/>
        <v>0</v>
      </c>
      <c r="U75" s="4104">
        <f t="shared" si="13"/>
        <v>0</v>
      </c>
      <c r="V75" s="338" t="e">
        <f t="shared" si="14"/>
        <v>#DIV/0!</v>
      </c>
      <c r="W75" s="338" t="e">
        <f t="shared" si="10"/>
        <v>#DIV/0!</v>
      </c>
      <c r="X75" s="338" t="e">
        <f t="shared" si="15"/>
        <v>#DIV/0!</v>
      </c>
    </row>
    <row r="76" spans="2:24" ht="13.8" x14ac:dyDescent="0.3">
      <c r="B76" s="296"/>
      <c r="C76" s="3528" t="s">
        <v>224</v>
      </c>
      <c r="D76" s="3529">
        <v>0</v>
      </c>
      <c r="E76" s="3528" t="s">
        <v>617</v>
      </c>
      <c r="F76" s="3528" t="s">
        <v>211</v>
      </c>
      <c r="G76" s="3530"/>
      <c r="H76" s="3530"/>
      <c r="I76" s="3531">
        <v>0</v>
      </c>
      <c r="J76" s="3529"/>
      <c r="K76" s="3529"/>
      <c r="L76" s="3864" t="e">
        <v>#DIV/0!</v>
      </c>
      <c r="M76" s="3864" t="e">
        <v>#DIV/0!</v>
      </c>
      <c r="N76" s="3534">
        <v>0</v>
      </c>
      <c r="O76" s="3534">
        <v>0</v>
      </c>
      <c r="P76" s="3534">
        <v>0</v>
      </c>
      <c r="Q76" s="3534">
        <v>0</v>
      </c>
      <c r="R76" s="3533">
        <v>8.0809999999999995</v>
      </c>
      <c r="S76" s="4099">
        <f t="shared" si="11"/>
        <v>0</v>
      </c>
      <c r="T76" s="4099">
        <f t="shared" si="12"/>
        <v>0</v>
      </c>
      <c r="U76" s="4104">
        <f t="shared" si="13"/>
        <v>0</v>
      </c>
      <c r="V76" s="338" t="e">
        <f t="shared" si="14"/>
        <v>#DIV/0!</v>
      </c>
      <c r="W76" s="338" t="e">
        <f t="shared" si="10"/>
        <v>#DIV/0!</v>
      </c>
      <c r="X76" s="338" t="e">
        <f t="shared" si="15"/>
        <v>#DIV/0!</v>
      </c>
    </row>
    <row r="77" spans="2:24" ht="13.8" x14ac:dyDescent="0.3">
      <c r="B77" s="296"/>
      <c r="C77" s="3528" t="s">
        <v>225</v>
      </c>
      <c r="D77" s="3528">
        <v>0</v>
      </c>
      <c r="E77" s="3528" t="s">
        <v>617</v>
      </c>
      <c r="F77" s="3528" t="s">
        <v>211</v>
      </c>
      <c r="G77" s="3530"/>
      <c r="H77" s="3530"/>
      <c r="I77" s="3531">
        <v>0</v>
      </c>
      <c r="J77" s="3529"/>
      <c r="K77" s="3529"/>
      <c r="L77" s="3864" t="e">
        <v>#DIV/0!</v>
      </c>
      <c r="M77" s="3864" t="e">
        <v>#DIV/0!</v>
      </c>
      <c r="N77" s="3534">
        <v>0</v>
      </c>
      <c r="O77" s="3534">
        <v>0</v>
      </c>
      <c r="P77" s="3534">
        <v>0</v>
      </c>
      <c r="Q77" s="3534">
        <v>0</v>
      </c>
      <c r="R77" s="3533">
        <v>9.0809999999999995</v>
      </c>
      <c r="S77" s="4099">
        <f t="shared" si="11"/>
        <v>0</v>
      </c>
      <c r="T77" s="4099">
        <f t="shared" si="12"/>
        <v>0</v>
      </c>
      <c r="U77" s="4104">
        <f t="shared" si="13"/>
        <v>0</v>
      </c>
      <c r="V77" s="338" t="e">
        <f t="shared" si="14"/>
        <v>#DIV/0!</v>
      </c>
      <c r="W77" s="338" t="e">
        <f t="shared" si="10"/>
        <v>#DIV/0!</v>
      </c>
      <c r="X77" s="338" t="e">
        <f t="shared" si="15"/>
        <v>#DIV/0!</v>
      </c>
    </row>
    <row r="78" spans="2:24" ht="13.8" x14ac:dyDescent="0.3">
      <c r="B78" s="296"/>
      <c r="C78" s="3528" t="s">
        <v>226</v>
      </c>
      <c r="D78" s="3529">
        <v>0</v>
      </c>
      <c r="E78" s="3528" t="s">
        <v>617</v>
      </c>
      <c r="F78" s="3528" t="s">
        <v>211</v>
      </c>
      <c r="G78" s="3530"/>
      <c r="H78" s="3530"/>
      <c r="I78" s="3531">
        <v>0</v>
      </c>
      <c r="J78" s="3529"/>
      <c r="K78" s="3529"/>
      <c r="L78" s="3864" t="e">
        <v>#DIV/0!</v>
      </c>
      <c r="M78" s="3864" t="e">
        <v>#DIV/0!</v>
      </c>
      <c r="N78" s="3534">
        <v>0</v>
      </c>
      <c r="O78" s="3534">
        <v>0</v>
      </c>
      <c r="P78" s="3534">
        <v>0</v>
      </c>
      <c r="Q78" s="3534">
        <v>0</v>
      </c>
      <c r="R78" s="3533">
        <v>10.081</v>
      </c>
      <c r="S78" s="4099">
        <f t="shared" si="11"/>
        <v>0</v>
      </c>
      <c r="T78" s="4099">
        <f t="shared" si="12"/>
        <v>0</v>
      </c>
      <c r="U78" s="4104">
        <f t="shared" si="13"/>
        <v>0</v>
      </c>
      <c r="V78" s="338" t="e">
        <f t="shared" si="14"/>
        <v>#DIV/0!</v>
      </c>
      <c r="W78" s="338" t="e">
        <f t="shared" si="10"/>
        <v>#DIV/0!</v>
      </c>
      <c r="X78" s="338" t="e">
        <f t="shared" si="15"/>
        <v>#DIV/0!</v>
      </c>
    </row>
    <row r="79" spans="2:24" ht="13.8" x14ac:dyDescent="0.3">
      <c r="B79" s="296"/>
      <c r="C79" s="3528" t="s">
        <v>227</v>
      </c>
      <c r="D79" s="3528">
        <v>0</v>
      </c>
      <c r="E79" s="3528" t="s">
        <v>617</v>
      </c>
      <c r="F79" s="3528" t="s">
        <v>211</v>
      </c>
      <c r="G79" s="3530"/>
      <c r="H79" s="3530"/>
      <c r="I79" s="3531">
        <v>0</v>
      </c>
      <c r="J79" s="3529"/>
      <c r="K79" s="3529"/>
      <c r="L79" s="3864" t="e">
        <v>#DIV/0!</v>
      </c>
      <c r="M79" s="3864" t="e">
        <v>#DIV/0!</v>
      </c>
      <c r="N79" s="3534">
        <v>0</v>
      </c>
      <c r="O79" s="3534">
        <v>0</v>
      </c>
      <c r="P79" s="3534">
        <v>0</v>
      </c>
      <c r="Q79" s="3534">
        <v>0</v>
      </c>
      <c r="R79" s="3533">
        <v>11.081</v>
      </c>
      <c r="S79" s="4099">
        <f t="shared" si="11"/>
        <v>0</v>
      </c>
      <c r="T79" s="4099">
        <f t="shared" si="12"/>
        <v>0</v>
      </c>
      <c r="U79" s="4104">
        <f t="shared" si="13"/>
        <v>0</v>
      </c>
      <c r="V79" s="338" t="e">
        <f t="shared" si="14"/>
        <v>#DIV/0!</v>
      </c>
      <c r="W79" s="338" t="e">
        <f t="shared" si="10"/>
        <v>#DIV/0!</v>
      </c>
      <c r="X79" s="338" t="e">
        <f t="shared" si="15"/>
        <v>#DIV/0!</v>
      </c>
    </row>
    <row r="80" spans="2:24" ht="13.8" x14ac:dyDescent="0.3">
      <c r="B80" s="296"/>
      <c r="C80" s="3528" t="s">
        <v>228</v>
      </c>
      <c r="D80" s="3528">
        <v>0</v>
      </c>
      <c r="E80" s="3528" t="s">
        <v>617</v>
      </c>
      <c r="F80" s="3528" t="s">
        <v>211</v>
      </c>
      <c r="G80" s="3530"/>
      <c r="H80" s="3530"/>
      <c r="I80" s="3531">
        <v>0</v>
      </c>
      <c r="J80" s="3529"/>
      <c r="K80" s="3529"/>
      <c r="L80" s="3864" t="e">
        <v>#DIV/0!</v>
      </c>
      <c r="M80" s="3864" t="e">
        <v>#DIV/0!</v>
      </c>
      <c r="N80" s="3534">
        <v>0</v>
      </c>
      <c r="O80" s="3534">
        <v>0</v>
      </c>
      <c r="P80" s="3534">
        <v>0</v>
      </c>
      <c r="Q80" s="3534">
        <v>0</v>
      </c>
      <c r="R80" s="3533">
        <v>12.081</v>
      </c>
      <c r="S80" s="4099">
        <f t="shared" si="11"/>
        <v>0</v>
      </c>
      <c r="T80" s="4099">
        <f t="shared" si="12"/>
        <v>0</v>
      </c>
      <c r="U80" s="4104">
        <f t="shared" si="13"/>
        <v>0</v>
      </c>
      <c r="V80" s="338" t="e">
        <f t="shared" si="14"/>
        <v>#DIV/0!</v>
      </c>
      <c r="W80" s="338" t="e">
        <f t="shared" si="10"/>
        <v>#DIV/0!</v>
      </c>
      <c r="X80" s="338" t="e">
        <f t="shared" si="15"/>
        <v>#DIV/0!</v>
      </c>
    </row>
    <row r="81" spans="2:21" ht="13.8" x14ac:dyDescent="0.3">
      <c r="B81" s="296"/>
      <c r="C81" s="296" t="s">
        <v>229</v>
      </c>
      <c r="D81" s="296">
        <v>0</v>
      </c>
      <c r="E81" s="296" t="s">
        <v>617</v>
      </c>
      <c r="F81" s="296" t="s">
        <v>211</v>
      </c>
      <c r="G81" s="297"/>
      <c r="H81" s="297"/>
      <c r="I81" s="326">
        <v>0</v>
      </c>
      <c r="J81" s="267"/>
      <c r="K81" s="267"/>
      <c r="L81" s="3865" t="e">
        <f t="shared" ref="L81:M102" si="16">P81/N81</f>
        <v>#DIV/0!</v>
      </c>
      <c r="M81" s="3865" t="e">
        <f t="shared" si="16"/>
        <v>#DIV/0!</v>
      </c>
      <c r="N81" s="218">
        <f t="shared" ref="N81:N102" si="17">(($I81*$F$56)+$U81)/$R81</f>
        <v>0</v>
      </c>
      <c r="O81" s="218">
        <f t="shared" ref="O81:O102" si="18">(($I81*$F$56)+($G81*$O31))/$R81</f>
        <v>0</v>
      </c>
      <c r="P81" s="218">
        <f>IF(K81=0, 0, (HLOOKUP(K81,'[1]G-CESTDWO'!$A$5:$G$35,J81+1,FALSE)*R31))</f>
        <v>0</v>
      </c>
      <c r="Q81" s="218">
        <f>IF(K81=0, 0, (HLOOKUP(K81,'[1]G-CESTD'!$A$5:$G$35,J81+1,FALSE)*R31))</f>
        <v>0</v>
      </c>
      <c r="R81" s="292">
        <v>13.081</v>
      </c>
      <c r="S81" s="4099">
        <f t="shared" si="11"/>
        <v>0</v>
      </c>
      <c r="T81" s="4099">
        <f t="shared" si="12"/>
        <v>0</v>
      </c>
      <c r="U81" s="4104">
        <f t="shared" si="13"/>
        <v>0</v>
      </c>
    </row>
    <row r="82" spans="2:21" ht="13.8" x14ac:dyDescent="0.3">
      <c r="B82" s="296"/>
      <c r="C82" s="296" t="s">
        <v>230</v>
      </c>
      <c r="D82" s="299">
        <v>0</v>
      </c>
      <c r="E82" s="296" t="s">
        <v>617</v>
      </c>
      <c r="F82" s="296" t="s">
        <v>211</v>
      </c>
      <c r="G82" s="297"/>
      <c r="H82" s="297"/>
      <c r="I82" s="326">
        <v>0</v>
      </c>
      <c r="J82" s="267"/>
      <c r="K82" s="267"/>
      <c r="L82" s="3865" t="e">
        <f t="shared" si="16"/>
        <v>#DIV/0!</v>
      </c>
      <c r="M82" s="3865" t="e">
        <f t="shared" si="16"/>
        <v>#DIV/0!</v>
      </c>
      <c r="N82" s="218">
        <f t="shared" si="17"/>
        <v>0</v>
      </c>
      <c r="O82" s="218">
        <f t="shared" si="18"/>
        <v>0</v>
      </c>
      <c r="P82" s="218">
        <f>IF(K82=0, 0, (HLOOKUP(K82,'[1]G-CESTDWO'!$A$5:$G$35,J82+1,FALSE)*R32))</f>
        <v>0</v>
      </c>
      <c r="Q82" s="218">
        <f>IF(K82=0, 0, (HLOOKUP(K82,'[1]G-CESTD'!$A$5:$G$35,J82+1,FALSE)*R32))</f>
        <v>0</v>
      </c>
      <c r="R82" s="292">
        <v>14.081</v>
      </c>
      <c r="S82" s="4099">
        <f t="shared" si="11"/>
        <v>0</v>
      </c>
      <c r="T82" s="4099">
        <f t="shared" si="12"/>
        <v>0</v>
      </c>
      <c r="U82" s="4104">
        <f t="shared" si="13"/>
        <v>0</v>
      </c>
    </row>
    <row r="83" spans="2:21" ht="13.8" x14ac:dyDescent="0.3">
      <c r="B83" s="296"/>
      <c r="C83" s="296" t="s">
        <v>231</v>
      </c>
      <c r="D83" s="299">
        <v>0</v>
      </c>
      <c r="E83" s="296" t="s">
        <v>617</v>
      </c>
      <c r="F83" s="296" t="s">
        <v>211</v>
      </c>
      <c r="G83" s="297"/>
      <c r="H83" s="297"/>
      <c r="I83" s="326">
        <v>0</v>
      </c>
      <c r="J83" s="267"/>
      <c r="K83" s="267"/>
      <c r="L83" s="3865" t="e">
        <f t="shared" si="16"/>
        <v>#DIV/0!</v>
      </c>
      <c r="M83" s="3865" t="e">
        <f t="shared" si="16"/>
        <v>#DIV/0!</v>
      </c>
      <c r="N83" s="218">
        <f t="shared" si="17"/>
        <v>0</v>
      </c>
      <c r="O83" s="218">
        <f t="shared" si="18"/>
        <v>0</v>
      </c>
      <c r="P83" s="218">
        <f>IF(K83=0, 0, (HLOOKUP(K83,'[1]G-CESTDWO'!$A$5:$G$35,J83+1,FALSE)*R33))</f>
        <v>0</v>
      </c>
      <c r="Q83" s="218">
        <f>IF(K83=0, 0, (HLOOKUP(K83,'[1]G-CESTD'!$A$5:$G$35,J83+1,FALSE)*R33))</f>
        <v>0</v>
      </c>
      <c r="R83" s="292">
        <v>15.081</v>
      </c>
      <c r="S83" s="4099">
        <f t="shared" si="11"/>
        <v>0</v>
      </c>
      <c r="T83" s="4099">
        <f t="shared" si="12"/>
        <v>0</v>
      </c>
      <c r="U83" s="4104">
        <f t="shared" si="13"/>
        <v>0</v>
      </c>
    </row>
    <row r="84" spans="2:21" ht="13.8" x14ac:dyDescent="0.3">
      <c r="B84" s="296"/>
      <c r="C84" s="296" t="s">
        <v>232</v>
      </c>
      <c r="D84" s="299">
        <v>0</v>
      </c>
      <c r="E84" s="296" t="s">
        <v>617</v>
      </c>
      <c r="F84" s="296" t="s">
        <v>211</v>
      </c>
      <c r="G84" s="297"/>
      <c r="H84" s="297"/>
      <c r="I84" s="326">
        <v>0</v>
      </c>
      <c r="J84" s="267"/>
      <c r="K84" s="267"/>
      <c r="L84" s="3865" t="e">
        <f t="shared" si="16"/>
        <v>#DIV/0!</v>
      </c>
      <c r="M84" s="3865" t="e">
        <f t="shared" si="16"/>
        <v>#DIV/0!</v>
      </c>
      <c r="N84" s="218">
        <f t="shared" si="17"/>
        <v>0</v>
      </c>
      <c r="O84" s="218">
        <f t="shared" si="18"/>
        <v>0</v>
      </c>
      <c r="P84" s="218">
        <f>IF(K84=0, 0, (HLOOKUP(K84,'[1]G-CESTDWO'!$A$5:$G$35,J84+1,FALSE)*R34))</f>
        <v>0</v>
      </c>
      <c r="Q84" s="218">
        <f>IF(K84=0, 0, (HLOOKUP(K84,'[1]G-CESTD'!$A$5:$G$35,J84+1,FALSE)*R34))</f>
        <v>0</v>
      </c>
      <c r="R84" s="292">
        <v>16.081</v>
      </c>
      <c r="S84" s="4099">
        <f t="shared" si="11"/>
        <v>0</v>
      </c>
      <c r="T84" s="4099">
        <f t="shared" si="12"/>
        <v>0</v>
      </c>
      <c r="U84" s="4104">
        <f t="shared" si="13"/>
        <v>0</v>
      </c>
    </row>
    <row r="85" spans="2:21" ht="13.8" x14ac:dyDescent="0.3">
      <c r="B85" s="296"/>
      <c r="C85" s="296" t="s">
        <v>233</v>
      </c>
      <c r="D85" s="299">
        <v>0</v>
      </c>
      <c r="E85" s="296" t="s">
        <v>617</v>
      </c>
      <c r="F85" s="296" t="s">
        <v>211</v>
      </c>
      <c r="G85" s="297"/>
      <c r="H85" s="297"/>
      <c r="I85" s="326">
        <v>0</v>
      </c>
      <c r="J85" s="267"/>
      <c r="K85" s="267"/>
      <c r="L85" s="3865" t="e">
        <f t="shared" si="16"/>
        <v>#DIV/0!</v>
      </c>
      <c r="M85" s="3865" t="e">
        <f t="shared" si="16"/>
        <v>#DIV/0!</v>
      </c>
      <c r="N85" s="218">
        <f t="shared" si="17"/>
        <v>0</v>
      </c>
      <c r="O85" s="218">
        <f t="shared" si="18"/>
        <v>0</v>
      </c>
      <c r="P85" s="218">
        <f>IF(K85=0, 0, (HLOOKUP(K85,'[1]G-CESTDWO'!$A$5:$G$35,J85+1,FALSE)*R35))</f>
        <v>0</v>
      </c>
      <c r="Q85" s="218">
        <f>IF(K85=0, 0, (HLOOKUP(K85,'[1]G-CESTD'!$A$5:$G$35,J85+1,FALSE)*R35))</f>
        <v>0</v>
      </c>
      <c r="R85" s="292">
        <v>17.081</v>
      </c>
      <c r="S85" s="4099">
        <f t="shared" si="11"/>
        <v>0</v>
      </c>
      <c r="T85" s="4099">
        <f t="shared" si="12"/>
        <v>0</v>
      </c>
      <c r="U85" s="4104">
        <f t="shared" si="13"/>
        <v>0</v>
      </c>
    </row>
    <row r="86" spans="2:21" ht="13.8" x14ac:dyDescent="0.3">
      <c r="B86" s="296"/>
      <c r="C86" s="296" t="s">
        <v>234</v>
      </c>
      <c r="D86" s="299">
        <v>0</v>
      </c>
      <c r="E86" s="296" t="s">
        <v>617</v>
      </c>
      <c r="F86" s="296" t="s">
        <v>211</v>
      </c>
      <c r="G86" s="297"/>
      <c r="H86" s="297"/>
      <c r="I86" s="326">
        <v>0</v>
      </c>
      <c r="J86" s="267"/>
      <c r="K86" s="267"/>
      <c r="L86" s="3865" t="e">
        <f t="shared" si="16"/>
        <v>#DIV/0!</v>
      </c>
      <c r="M86" s="3865" t="e">
        <f t="shared" si="16"/>
        <v>#DIV/0!</v>
      </c>
      <c r="N86" s="218">
        <f t="shared" si="17"/>
        <v>0</v>
      </c>
      <c r="O86" s="218">
        <f t="shared" si="18"/>
        <v>0</v>
      </c>
      <c r="P86" s="218">
        <f>IF(K86=0, 0, (HLOOKUP(K86,'[1]G-CESTDWO'!$A$5:$G$35,J86+1,FALSE)*R36))</f>
        <v>0</v>
      </c>
      <c r="Q86" s="218">
        <f>IF(K86=0, 0, (HLOOKUP(K86,'[1]G-CESTD'!$A$5:$G$35,J86+1,FALSE)*R36))</f>
        <v>0</v>
      </c>
      <c r="R86" s="292">
        <v>18.081</v>
      </c>
      <c r="S86" s="4099">
        <f t="shared" si="11"/>
        <v>0</v>
      </c>
      <c r="T86" s="4099">
        <f t="shared" si="12"/>
        <v>0</v>
      </c>
      <c r="U86" s="4104">
        <f t="shared" si="13"/>
        <v>0</v>
      </c>
    </row>
    <row r="87" spans="2:21" ht="13.8" x14ac:dyDescent="0.3">
      <c r="B87" s="296"/>
      <c r="C87" s="296" t="s">
        <v>235</v>
      </c>
      <c r="D87" s="299">
        <v>0</v>
      </c>
      <c r="E87" s="296" t="s">
        <v>617</v>
      </c>
      <c r="F87" s="296" t="s">
        <v>211</v>
      </c>
      <c r="G87" s="297"/>
      <c r="H87" s="297"/>
      <c r="I87" s="326">
        <v>0</v>
      </c>
      <c r="J87" s="267"/>
      <c r="K87" s="267"/>
      <c r="L87" s="3865" t="e">
        <f t="shared" si="16"/>
        <v>#DIV/0!</v>
      </c>
      <c r="M87" s="3865" t="e">
        <f t="shared" si="16"/>
        <v>#DIV/0!</v>
      </c>
      <c r="N87" s="218">
        <f t="shared" si="17"/>
        <v>0</v>
      </c>
      <c r="O87" s="218">
        <f t="shared" si="18"/>
        <v>0</v>
      </c>
      <c r="P87" s="218">
        <f>IF(K87=0, 0, (HLOOKUP(K87,'[1]G-CESTDWO'!$A$5:$G$35,J87+1,FALSE)*R37))</f>
        <v>0</v>
      </c>
      <c r="Q87" s="218">
        <f>IF(K87=0, 0, (HLOOKUP(K87,'[1]G-CESTD'!$A$5:$G$35,J87+1,FALSE)*R37))</f>
        <v>0</v>
      </c>
      <c r="R87" s="292">
        <v>19.081</v>
      </c>
      <c r="S87" s="4099">
        <f t="shared" si="11"/>
        <v>0</v>
      </c>
      <c r="T87" s="4099">
        <f t="shared" si="12"/>
        <v>0</v>
      </c>
      <c r="U87" s="4104">
        <f t="shared" si="13"/>
        <v>0</v>
      </c>
    </row>
    <row r="88" spans="2:21" ht="13.8" x14ac:dyDescent="0.3">
      <c r="B88" s="296"/>
      <c r="C88" s="296" t="s">
        <v>236</v>
      </c>
      <c r="D88" s="299">
        <v>0</v>
      </c>
      <c r="E88" s="296" t="s">
        <v>617</v>
      </c>
      <c r="F88" s="296" t="s">
        <v>211</v>
      </c>
      <c r="G88" s="297"/>
      <c r="H88" s="297"/>
      <c r="I88" s="326">
        <v>0</v>
      </c>
      <c r="J88" s="267"/>
      <c r="K88" s="267"/>
      <c r="L88" s="3865" t="e">
        <f t="shared" si="16"/>
        <v>#DIV/0!</v>
      </c>
      <c r="M88" s="3865" t="e">
        <f t="shared" si="16"/>
        <v>#DIV/0!</v>
      </c>
      <c r="N88" s="218">
        <f t="shared" si="17"/>
        <v>0</v>
      </c>
      <c r="O88" s="218">
        <f t="shared" si="18"/>
        <v>0</v>
      </c>
      <c r="P88" s="218">
        <f>IF(K88=0, 0, (HLOOKUP(K88,'[1]G-CESTDWO'!$A$5:$G$35,J88+1,FALSE)*R38))</f>
        <v>0</v>
      </c>
      <c r="Q88" s="218">
        <f>IF(K88=0, 0, (HLOOKUP(K88,'[1]G-CESTD'!$A$5:$G$35,J88+1,FALSE)*R38))</f>
        <v>0</v>
      </c>
      <c r="R88" s="292">
        <v>20.081</v>
      </c>
      <c r="S88" s="4099">
        <f t="shared" si="11"/>
        <v>0</v>
      </c>
      <c r="T88" s="4099">
        <f t="shared" si="12"/>
        <v>0</v>
      </c>
      <c r="U88" s="4104">
        <f t="shared" si="13"/>
        <v>0</v>
      </c>
    </row>
    <row r="89" spans="2:21" ht="13.8" x14ac:dyDescent="0.3">
      <c r="B89" s="296"/>
      <c r="C89" s="296" t="s">
        <v>237</v>
      </c>
      <c r="D89" s="299">
        <v>0</v>
      </c>
      <c r="E89" s="296" t="s">
        <v>617</v>
      </c>
      <c r="F89" s="296" t="s">
        <v>211</v>
      </c>
      <c r="G89" s="297"/>
      <c r="H89" s="297"/>
      <c r="I89" s="326">
        <v>0</v>
      </c>
      <c r="J89" s="267"/>
      <c r="K89" s="267"/>
      <c r="L89" s="3865" t="e">
        <f t="shared" si="16"/>
        <v>#DIV/0!</v>
      </c>
      <c r="M89" s="3865" t="e">
        <f t="shared" si="16"/>
        <v>#DIV/0!</v>
      </c>
      <c r="N89" s="218">
        <f t="shared" si="17"/>
        <v>0</v>
      </c>
      <c r="O89" s="218">
        <f t="shared" si="18"/>
        <v>0</v>
      </c>
      <c r="P89" s="218">
        <f>IF(K89=0, 0, (HLOOKUP(K89,'[1]G-CESTDWO'!$A$5:$G$35,J89+1,FALSE)*R39))</f>
        <v>0</v>
      </c>
      <c r="Q89" s="218">
        <f>IF(K89=0, 0, (HLOOKUP(K89,'[1]G-CESTD'!$A$5:$G$35,J89+1,FALSE)*R39))</f>
        <v>0</v>
      </c>
      <c r="R89" s="292">
        <v>21.081</v>
      </c>
      <c r="S89" s="4099">
        <f t="shared" si="11"/>
        <v>0</v>
      </c>
      <c r="T89" s="4099">
        <f t="shared" si="12"/>
        <v>0</v>
      </c>
      <c r="U89" s="4104">
        <f t="shared" si="13"/>
        <v>0</v>
      </c>
    </row>
    <row r="90" spans="2:21" ht="13.8" x14ac:dyDescent="0.3">
      <c r="B90" s="296"/>
      <c r="C90" s="296" t="s">
        <v>238</v>
      </c>
      <c r="D90" s="299">
        <v>0</v>
      </c>
      <c r="E90" s="296" t="s">
        <v>617</v>
      </c>
      <c r="F90" s="296" t="s">
        <v>211</v>
      </c>
      <c r="G90" s="297"/>
      <c r="H90" s="297"/>
      <c r="I90" s="326">
        <v>0</v>
      </c>
      <c r="J90" s="267"/>
      <c r="K90" s="267"/>
      <c r="L90" s="3865" t="e">
        <f t="shared" si="16"/>
        <v>#DIV/0!</v>
      </c>
      <c r="M90" s="3865" t="e">
        <f t="shared" si="16"/>
        <v>#DIV/0!</v>
      </c>
      <c r="N90" s="218">
        <f t="shared" si="17"/>
        <v>0</v>
      </c>
      <c r="O90" s="218">
        <f t="shared" si="18"/>
        <v>0</v>
      </c>
      <c r="P90" s="218">
        <f>IF(K90=0, 0, (HLOOKUP(K90,'[1]G-CESTDWO'!$A$5:$G$35,J90+1,FALSE)*R40))</f>
        <v>0</v>
      </c>
      <c r="Q90" s="218">
        <f>IF(K90=0, 0, (HLOOKUP(K90,'[1]G-CESTD'!$A$5:$G$35,J90+1,FALSE)*R40))</f>
        <v>0</v>
      </c>
      <c r="R90" s="292">
        <v>22.081</v>
      </c>
      <c r="S90" s="4099">
        <f t="shared" si="11"/>
        <v>0</v>
      </c>
      <c r="T90" s="4099">
        <f t="shared" si="12"/>
        <v>0</v>
      </c>
      <c r="U90" s="4104">
        <f t="shared" si="13"/>
        <v>0</v>
      </c>
    </row>
    <row r="91" spans="2:21" ht="13.8" x14ac:dyDescent="0.3">
      <c r="B91" s="296"/>
      <c r="C91" s="296" t="s">
        <v>239</v>
      </c>
      <c r="D91" s="299">
        <v>0</v>
      </c>
      <c r="E91" s="296" t="s">
        <v>617</v>
      </c>
      <c r="F91" s="296" t="s">
        <v>211</v>
      </c>
      <c r="G91" s="297"/>
      <c r="H91" s="297"/>
      <c r="I91" s="326">
        <v>0</v>
      </c>
      <c r="J91" s="267"/>
      <c r="K91" s="267"/>
      <c r="L91" s="3865" t="e">
        <f t="shared" si="16"/>
        <v>#DIV/0!</v>
      </c>
      <c r="M91" s="3865" t="e">
        <f t="shared" si="16"/>
        <v>#DIV/0!</v>
      </c>
      <c r="N91" s="218">
        <f t="shared" si="17"/>
        <v>0</v>
      </c>
      <c r="O91" s="218">
        <f t="shared" si="18"/>
        <v>0</v>
      </c>
      <c r="P91" s="218">
        <f>IF(K91=0, 0, (HLOOKUP(K91,'[1]G-CESTDWO'!$A$5:$G$35,J91+1,FALSE)*R41))</f>
        <v>0</v>
      </c>
      <c r="Q91" s="218">
        <f>IF(K91=0, 0, (HLOOKUP(K91,'[1]G-CESTD'!$A$5:$G$35,J91+1,FALSE)*R41))</f>
        <v>0</v>
      </c>
      <c r="R91" s="292">
        <v>23.081</v>
      </c>
      <c r="S91" s="4099">
        <f t="shared" si="11"/>
        <v>0</v>
      </c>
      <c r="T91" s="4099">
        <f t="shared" si="12"/>
        <v>0</v>
      </c>
      <c r="U91" s="4104">
        <f t="shared" si="13"/>
        <v>0</v>
      </c>
    </row>
    <row r="92" spans="2:21" ht="13.8" x14ac:dyDescent="0.3">
      <c r="B92" s="296"/>
      <c r="C92" s="296" t="s">
        <v>240</v>
      </c>
      <c r="D92" s="299">
        <v>0</v>
      </c>
      <c r="E92" s="296" t="s">
        <v>617</v>
      </c>
      <c r="F92" s="296" t="s">
        <v>211</v>
      </c>
      <c r="G92" s="297"/>
      <c r="H92" s="297"/>
      <c r="I92" s="326">
        <v>0</v>
      </c>
      <c r="J92" s="267"/>
      <c r="K92" s="267"/>
      <c r="L92" s="3865" t="e">
        <f t="shared" si="16"/>
        <v>#DIV/0!</v>
      </c>
      <c r="M92" s="3865" t="e">
        <f t="shared" si="16"/>
        <v>#DIV/0!</v>
      </c>
      <c r="N92" s="218">
        <f t="shared" si="17"/>
        <v>0</v>
      </c>
      <c r="O92" s="218">
        <f t="shared" si="18"/>
        <v>0</v>
      </c>
      <c r="P92" s="218">
        <f>IF(K92=0, 0, (HLOOKUP(K92,'[1]G-CESTDWO'!$A$5:$G$35,J92+1,FALSE)*R42))</f>
        <v>0</v>
      </c>
      <c r="Q92" s="218">
        <f>IF(K92=0, 0, (HLOOKUP(K92,'[1]G-CESTD'!$A$5:$G$35,J92+1,FALSE)*R42))</f>
        <v>0</v>
      </c>
      <c r="R92" s="292">
        <v>24.081</v>
      </c>
      <c r="S92" s="4099">
        <f t="shared" si="11"/>
        <v>0</v>
      </c>
      <c r="T92" s="4099">
        <f t="shared" si="12"/>
        <v>0</v>
      </c>
      <c r="U92" s="4104">
        <f t="shared" si="13"/>
        <v>0</v>
      </c>
    </row>
    <row r="93" spans="2:21" ht="13.8" x14ac:dyDescent="0.3">
      <c r="B93" s="296"/>
      <c r="C93" s="296" t="s">
        <v>241</v>
      </c>
      <c r="D93" s="299">
        <v>0</v>
      </c>
      <c r="E93" s="296" t="s">
        <v>617</v>
      </c>
      <c r="F93" s="296" t="s">
        <v>211</v>
      </c>
      <c r="G93" s="297"/>
      <c r="H93" s="297"/>
      <c r="I93" s="326">
        <v>0</v>
      </c>
      <c r="J93" s="267"/>
      <c r="K93" s="267"/>
      <c r="L93" s="3865" t="e">
        <f t="shared" si="16"/>
        <v>#DIV/0!</v>
      </c>
      <c r="M93" s="3865" t="e">
        <f t="shared" si="16"/>
        <v>#DIV/0!</v>
      </c>
      <c r="N93" s="218">
        <f t="shared" si="17"/>
        <v>0</v>
      </c>
      <c r="O93" s="218">
        <f t="shared" si="18"/>
        <v>0</v>
      </c>
      <c r="P93" s="218">
        <f>IF(K93=0, 0, (HLOOKUP(K93,'[1]G-CESTDWO'!$A$5:$G$35,J93+1,FALSE)*R43))</f>
        <v>0</v>
      </c>
      <c r="Q93" s="218">
        <f>IF(K93=0, 0, (HLOOKUP(K93,'[1]G-CESTD'!$A$5:$G$35,J93+1,FALSE)*R43))</f>
        <v>0</v>
      </c>
      <c r="R93" s="292">
        <v>25.081</v>
      </c>
      <c r="S93" s="4099">
        <f t="shared" si="11"/>
        <v>0</v>
      </c>
      <c r="T93" s="4099">
        <f t="shared" si="12"/>
        <v>0</v>
      </c>
      <c r="U93" s="4104">
        <f t="shared" si="13"/>
        <v>0</v>
      </c>
    </row>
    <row r="94" spans="2:21" ht="13.8" x14ac:dyDescent="0.3">
      <c r="B94" s="296"/>
      <c r="C94" s="296" t="s">
        <v>242</v>
      </c>
      <c r="D94" s="299">
        <v>0</v>
      </c>
      <c r="E94" s="296" t="s">
        <v>617</v>
      </c>
      <c r="F94" s="296" t="s">
        <v>211</v>
      </c>
      <c r="G94" s="297"/>
      <c r="H94" s="297"/>
      <c r="I94" s="326">
        <v>0</v>
      </c>
      <c r="J94" s="267"/>
      <c r="K94" s="267"/>
      <c r="L94" s="3865" t="e">
        <f t="shared" si="16"/>
        <v>#DIV/0!</v>
      </c>
      <c r="M94" s="3865" t="e">
        <f t="shared" si="16"/>
        <v>#DIV/0!</v>
      </c>
      <c r="N94" s="218">
        <f t="shared" si="17"/>
        <v>0</v>
      </c>
      <c r="O94" s="218">
        <f t="shared" si="18"/>
        <v>0</v>
      </c>
      <c r="P94" s="218">
        <f>IF(K94=0, 0, (HLOOKUP(K94,'[1]G-CESTDWO'!$A$5:$G$35,J94+1,FALSE)*R44))</f>
        <v>0</v>
      </c>
      <c r="Q94" s="218">
        <f>IF(K94=0, 0, (HLOOKUP(K94,'[1]G-CESTD'!$A$5:$G$35,J94+1,FALSE)*R44))</f>
        <v>0</v>
      </c>
      <c r="R94" s="292">
        <v>26.081</v>
      </c>
      <c r="S94" s="4099">
        <f t="shared" si="11"/>
        <v>0</v>
      </c>
      <c r="T94" s="4099">
        <f t="shared" si="12"/>
        <v>0</v>
      </c>
      <c r="U94" s="4104">
        <f t="shared" si="13"/>
        <v>0</v>
      </c>
    </row>
    <row r="95" spans="2:21" ht="13.8" x14ac:dyDescent="0.3">
      <c r="B95" s="296"/>
      <c r="C95" s="296" t="s">
        <v>243</v>
      </c>
      <c r="D95" s="299">
        <v>0</v>
      </c>
      <c r="E95" s="296" t="s">
        <v>617</v>
      </c>
      <c r="F95" s="296" t="s">
        <v>211</v>
      </c>
      <c r="G95" s="297"/>
      <c r="H95" s="297"/>
      <c r="I95" s="326">
        <v>0</v>
      </c>
      <c r="J95" s="267"/>
      <c r="K95" s="267"/>
      <c r="L95" s="3865" t="e">
        <f t="shared" si="16"/>
        <v>#DIV/0!</v>
      </c>
      <c r="M95" s="3865" t="e">
        <f t="shared" si="16"/>
        <v>#DIV/0!</v>
      </c>
      <c r="N95" s="218">
        <f t="shared" si="17"/>
        <v>0</v>
      </c>
      <c r="O95" s="218">
        <f t="shared" si="18"/>
        <v>0</v>
      </c>
      <c r="P95" s="218">
        <f>IF(K95=0, 0, (HLOOKUP(K95,'[1]G-CESTDWO'!$A$5:$G$35,J95+1,FALSE)*R45))</f>
        <v>0</v>
      </c>
      <c r="Q95" s="218">
        <f>IF(K95=0, 0, (HLOOKUP(K95,'[1]G-CESTD'!$A$5:$G$35,J95+1,FALSE)*R45))</f>
        <v>0</v>
      </c>
      <c r="R95" s="292">
        <v>27.081</v>
      </c>
      <c r="S95" s="4099">
        <f t="shared" si="11"/>
        <v>0</v>
      </c>
      <c r="T95" s="4099">
        <f t="shared" si="12"/>
        <v>0</v>
      </c>
      <c r="U95" s="4104">
        <f t="shared" si="13"/>
        <v>0</v>
      </c>
    </row>
    <row r="96" spans="2:21" ht="13.8" x14ac:dyDescent="0.3">
      <c r="B96" s="296"/>
      <c r="C96" s="296" t="s">
        <v>244</v>
      </c>
      <c r="D96" s="299">
        <v>0</v>
      </c>
      <c r="E96" s="296" t="s">
        <v>617</v>
      </c>
      <c r="F96" s="296" t="s">
        <v>211</v>
      </c>
      <c r="G96" s="297"/>
      <c r="H96" s="297"/>
      <c r="I96" s="326">
        <v>0</v>
      </c>
      <c r="J96" s="267"/>
      <c r="K96" s="267"/>
      <c r="L96" s="3865" t="e">
        <f t="shared" si="16"/>
        <v>#DIV/0!</v>
      </c>
      <c r="M96" s="3865" t="e">
        <f t="shared" si="16"/>
        <v>#DIV/0!</v>
      </c>
      <c r="N96" s="218">
        <f t="shared" si="17"/>
        <v>0</v>
      </c>
      <c r="O96" s="218">
        <f t="shared" si="18"/>
        <v>0</v>
      </c>
      <c r="P96" s="218">
        <f>IF(K96=0, 0, (HLOOKUP(K96,'[1]G-CESTDWO'!$A$5:$G$35,J96+1,FALSE)*R46))</f>
        <v>0</v>
      </c>
      <c r="Q96" s="218">
        <f>IF(K96=0, 0, (HLOOKUP(K96,'[1]G-CESTD'!$A$5:$G$35,J96+1,FALSE)*R46))</f>
        <v>0</v>
      </c>
      <c r="R96" s="292">
        <v>28.081</v>
      </c>
      <c r="S96" s="4099">
        <f t="shared" si="11"/>
        <v>0</v>
      </c>
      <c r="T96" s="4099">
        <f t="shared" si="12"/>
        <v>0</v>
      </c>
      <c r="U96" s="4104">
        <f t="shared" si="13"/>
        <v>0</v>
      </c>
    </row>
    <row r="97" spans="2:21" ht="13.8" x14ac:dyDescent="0.3">
      <c r="B97" s="296"/>
      <c r="C97" s="296" t="s">
        <v>245</v>
      </c>
      <c r="D97" s="299">
        <v>0</v>
      </c>
      <c r="E97" s="296" t="s">
        <v>617</v>
      </c>
      <c r="F97" s="296" t="s">
        <v>211</v>
      </c>
      <c r="G97" s="297"/>
      <c r="H97" s="297"/>
      <c r="I97" s="326">
        <v>0</v>
      </c>
      <c r="J97" s="267"/>
      <c r="K97" s="267"/>
      <c r="L97" s="3865" t="e">
        <f t="shared" si="16"/>
        <v>#DIV/0!</v>
      </c>
      <c r="M97" s="3865" t="e">
        <f t="shared" si="16"/>
        <v>#DIV/0!</v>
      </c>
      <c r="N97" s="218">
        <f t="shared" si="17"/>
        <v>0</v>
      </c>
      <c r="O97" s="218">
        <f t="shared" si="18"/>
        <v>0</v>
      </c>
      <c r="P97" s="218">
        <f>IF(K97=0, 0, (HLOOKUP(K97,'[1]G-CESTDWO'!$A$5:$G$35,J97+1,FALSE)*R47))</f>
        <v>0</v>
      </c>
      <c r="Q97" s="218">
        <f>IF(K97=0, 0, (HLOOKUP(K97,'[1]G-CESTD'!$A$5:$G$35,J97+1,FALSE)*R47))</f>
        <v>0</v>
      </c>
      <c r="R97" s="292">
        <v>29.081</v>
      </c>
      <c r="S97" s="4099">
        <f t="shared" si="11"/>
        <v>0</v>
      </c>
      <c r="T97" s="4099">
        <f t="shared" si="12"/>
        <v>0</v>
      </c>
      <c r="U97" s="4104">
        <f t="shared" si="13"/>
        <v>0</v>
      </c>
    </row>
    <row r="98" spans="2:21" ht="13.8" x14ac:dyDescent="0.3">
      <c r="B98" s="296"/>
      <c r="C98" s="296" t="s">
        <v>246</v>
      </c>
      <c r="D98" s="299">
        <v>0</v>
      </c>
      <c r="E98" s="296" t="s">
        <v>617</v>
      </c>
      <c r="F98" s="296" t="s">
        <v>211</v>
      </c>
      <c r="G98" s="297"/>
      <c r="H98" s="297"/>
      <c r="I98" s="326">
        <v>0</v>
      </c>
      <c r="J98" s="267"/>
      <c r="K98" s="267"/>
      <c r="L98" s="3865" t="e">
        <f t="shared" si="16"/>
        <v>#DIV/0!</v>
      </c>
      <c r="M98" s="3865" t="e">
        <f t="shared" si="16"/>
        <v>#DIV/0!</v>
      </c>
      <c r="N98" s="218">
        <f t="shared" si="17"/>
        <v>0</v>
      </c>
      <c r="O98" s="218">
        <f t="shared" si="18"/>
        <v>0</v>
      </c>
      <c r="P98" s="218">
        <f>IF(K98=0, 0, (HLOOKUP(K98,'[1]G-CESTDWO'!$A$5:$G$35,J98+1,FALSE)*R48))</f>
        <v>0</v>
      </c>
      <c r="Q98" s="218">
        <f>IF(K98=0, 0, (HLOOKUP(K98,'[1]G-CESTD'!$A$5:$G$35,J98+1,FALSE)*R48))</f>
        <v>0</v>
      </c>
      <c r="R98" s="292">
        <v>30.081</v>
      </c>
      <c r="S98" s="4099">
        <f t="shared" si="11"/>
        <v>0</v>
      </c>
      <c r="T98" s="4099">
        <f t="shared" si="12"/>
        <v>0</v>
      </c>
      <c r="U98" s="4104">
        <f t="shared" si="13"/>
        <v>0</v>
      </c>
    </row>
    <row r="99" spans="2:21" ht="13.8" x14ac:dyDescent="0.3">
      <c r="B99" s="296"/>
      <c r="C99" s="296" t="s">
        <v>247</v>
      </c>
      <c r="D99" s="299">
        <v>0</v>
      </c>
      <c r="E99" s="296" t="s">
        <v>617</v>
      </c>
      <c r="F99" s="296" t="s">
        <v>211</v>
      </c>
      <c r="G99" s="297"/>
      <c r="H99" s="297"/>
      <c r="I99" s="326">
        <v>0</v>
      </c>
      <c r="J99" s="267"/>
      <c r="K99" s="267"/>
      <c r="L99" s="3865" t="e">
        <f t="shared" si="16"/>
        <v>#DIV/0!</v>
      </c>
      <c r="M99" s="3865" t="e">
        <f t="shared" si="16"/>
        <v>#DIV/0!</v>
      </c>
      <c r="N99" s="218">
        <f t="shared" si="17"/>
        <v>0</v>
      </c>
      <c r="O99" s="218">
        <f t="shared" si="18"/>
        <v>0</v>
      </c>
      <c r="P99" s="218">
        <f>IF(K99=0, 0, (HLOOKUP(K99,'[1]G-CESTDWO'!$A$5:$G$35,J99+1,FALSE)*R49))</f>
        <v>0</v>
      </c>
      <c r="Q99" s="218">
        <f>IF(K99=0, 0, (HLOOKUP(K99,'[1]G-CESTD'!$A$5:$G$35,J99+1,FALSE)*R49))</f>
        <v>0</v>
      </c>
      <c r="R99" s="292">
        <v>31.081</v>
      </c>
      <c r="S99" s="4099">
        <f t="shared" si="11"/>
        <v>0</v>
      </c>
      <c r="T99" s="4099">
        <f t="shared" si="12"/>
        <v>0</v>
      </c>
      <c r="U99" s="4104">
        <f t="shared" si="13"/>
        <v>0</v>
      </c>
    </row>
    <row r="100" spans="2:21" ht="13.8" x14ac:dyDescent="0.3">
      <c r="B100" s="296"/>
      <c r="C100" s="296" t="s">
        <v>248</v>
      </c>
      <c r="D100" s="299">
        <v>0</v>
      </c>
      <c r="E100" s="296" t="s">
        <v>617</v>
      </c>
      <c r="F100" s="296" t="s">
        <v>211</v>
      </c>
      <c r="G100" s="297"/>
      <c r="H100" s="297"/>
      <c r="I100" s="326">
        <v>0</v>
      </c>
      <c r="J100" s="267"/>
      <c r="K100" s="267"/>
      <c r="L100" s="3865" t="e">
        <f t="shared" si="16"/>
        <v>#DIV/0!</v>
      </c>
      <c r="M100" s="3865" t="e">
        <f t="shared" si="16"/>
        <v>#DIV/0!</v>
      </c>
      <c r="N100" s="218">
        <f t="shared" si="17"/>
        <v>0</v>
      </c>
      <c r="O100" s="218">
        <f t="shared" si="18"/>
        <v>0</v>
      </c>
      <c r="P100" s="218">
        <f>IF(K100=0, 0, (HLOOKUP(K100,'[1]G-CESTDWO'!$A$5:$G$35,J100+1,FALSE)*R50))</f>
        <v>0</v>
      </c>
      <c r="Q100" s="218">
        <f>IF(K100=0, 0, (HLOOKUP(K100,'[1]G-CESTD'!$A$5:$G$35,J100+1,FALSE)*R50))</f>
        <v>0</v>
      </c>
      <c r="R100" s="292">
        <v>32.081000000000003</v>
      </c>
      <c r="S100" s="4099">
        <f t="shared" si="11"/>
        <v>0</v>
      </c>
      <c r="T100" s="4099">
        <f t="shared" si="12"/>
        <v>0</v>
      </c>
      <c r="U100" s="4104">
        <f t="shared" si="13"/>
        <v>0</v>
      </c>
    </row>
    <row r="101" spans="2:21" ht="13.8" x14ac:dyDescent="0.3">
      <c r="B101" s="296"/>
      <c r="C101" s="296" t="s">
        <v>249</v>
      </c>
      <c r="D101" s="299">
        <v>0</v>
      </c>
      <c r="E101" s="296" t="s">
        <v>617</v>
      </c>
      <c r="F101" s="296" t="s">
        <v>211</v>
      </c>
      <c r="G101" s="297"/>
      <c r="H101" s="297"/>
      <c r="I101" s="326">
        <v>0</v>
      </c>
      <c r="J101" s="267"/>
      <c r="K101" s="267"/>
      <c r="L101" s="3865" t="e">
        <f t="shared" si="16"/>
        <v>#DIV/0!</v>
      </c>
      <c r="M101" s="3865" t="e">
        <f t="shared" si="16"/>
        <v>#DIV/0!</v>
      </c>
      <c r="N101" s="218">
        <f t="shared" si="17"/>
        <v>0</v>
      </c>
      <c r="O101" s="218">
        <f t="shared" si="18"/>
        <v>0</v>
      </c>
      <c r="P101" s="218">
        <f>IF(K101=0, 0, (HLOOKUP(K101,'[1]G-CESTDWO'!$A$5:$G$35,J101+1,FALSE)*R51))</f>
        <v>0</v>
      </c>
      <c r="Q101" s="218">
        <f>IF(K101=0, 0, (HLOOKUP(K101,'[1]G-CESTD'!$A$5:$G$35,J101+1,FALSE)*R51))</f>
        <v>0</v>
      </c>
      <c r="R101" s="292">
        <v>33.081000000000003</v>
      </c>
      <c r="S101" s="4099">
        <f t="shared" si="11"/>
        <v>0</v>
      </c>
      <c r="T101" s="4099">
        <f t="shared" si="12"/>
        <v>0</v>
      </c>
      <c r="U101" s="4104">
        <f t="shared" si="13"/>
        <v>0</v>
      </c>
    </row>
    <row r="102" spans="2:21" ht="13.8" x14ac:dyDescent="0.3">
      <c r="B102" s="296"/>
      <c r="C102" s="296" t="s">
        <v>250</v>
      </c>
      <c r="D102" s="299">
        <v>0</v>
      </c>
      <c r="E102" s="296" t="s">
        <v>617</v>
      </c>
      <c r="F102" s="296" t="s">
        <v>211</v>
      </c>
      <c r="G102" s="297"/>
      <c r="H102" s="297"/>
      <c r="I102" s="326">
        <v>0</v>
      </c>
      <c r="J102" s="267"/>
      <c r="K102" s="267"/>
      <c r="L102" s="3865" t="e">
        <f t="shared" si="16"/>
        <v>#DIV/0!</v>
      </c>
      <c r="M102" s="3865" t="e">
        <f t="shared" si="16"/>
        <v>#DIV/0!</v>
      </c>
      <c r="N102" s="218">
        <f t="shared" si="17"/>
        <v>0</v>
      </c>
      <c r="O102" s="218">
        <f t="shared" si="18"/>
        <v>0</v>
      </c>
      <c r="P102" s="218">
        <f>IF(K102=0, 0, (HLOOKUP(K102,'[1]G-CESTDWO'!$A$5:$G$35,J102+1,FALSE)*R52))</f>
        <v>0</v>
      </c>
      <c r="Q102" s="218">
        <f>IF(K102=0, 0, (HLOOKUP(K102,'[1]G-CESTD'!$A$5:$G$35,J102+1,FALSE)*R52))</f>
        <v>0</v>
      </c>
      <c r="R102" s="292">
        <v>34.081000000000003</v>
      </c>
      <c r="S102" s="4099">
        <f t="shared" si="11"/>
        <v>0</v>
      </c>
      <c r="T102" s="4099">
        <f t="shared" si="12"/>
        <v>0</v>
      </c>
      <c r="U102" s="4104">
        <f t="shared" si="13"/>
        <v>0</v>
      </c>
    </row>
    <row r="103" spans="2:21" ht="14.4" thickBot="1" x14ac:dyDescent="0.35">
      <c r="B103" s="296"/>
      <c r="C103" s="296" t="s">
        <v>251</v>
      </c>
      <c r="D103" s="299">
        <v>0</v>
      </c>
      <c r="E103" s="296" t="s">
        <v>617</v>
      </c>
      <c r="F103" s="296" t="s">
        <v>211</v>
      </c>
      <c r="G103" s="297"/>
      <c r="H103" s="297"/>
      <c r="I103" s="326">
        <v>0</v>
      </c>
      <c r="J103" s="267"/>
      <c r="K103" s="267"/>
      <c r="L103" s="3869" t="e">
        <f>P103/N103</f>
        <v>#DIV/0!</v>
      </c>
      <c r="M103" s="3869" t="e">
        <f>P103/O103</f>
        <v>#DIV/0!</v>
      </c>
      <c r="N103" s="218">
        <f>(($I103*$F$56)+$U103)/$R103</f>
        <v>0</v>
      </c>
      <c r="O103" s="218">
        <f>(($I103*$F$56)+($G103*$O53))/$R103</f>
        <v>0</v>
      </c>
      <c r="P103" s="218">
        <f>IF(K103=0, 0, (HLOOKUP(K103,'[1]G-CESTDWO'!$A$5:$G$35,J103+1,FALSE)*R53))</f>
        <v>0</v>
      </c>
      <c r="Q103" s="218">
        <f>IF(K103=0, 0, (HLOOKUP(K103,'[1]G-CESTD'!$A$5:$G$35,J103+1,FALSE)*R53))</f>
        <v>0</v>
      </c>
      <c r="R103" s="292">
        <v>1.081</v>
      </c>
      <c r="S103" s="4099">
        <f t="shared" si="11"/>
        <v>0</v>
      </c>
      <c r="T103" s="4099">
        <f t="shared" si="12"/>
        <v>0</v>
      </c>
      <c r="U103" s="4104">
        <f t="shared" si="13"/>
        <v>0</v>
      </c>
    </row>
    <row r="104" spans="2:21" ht="14.4" thickBot="1" x14ac:dyDescent="0.35">
      <c r="G104" s="300">
        <f>SUMPRODUCT(G62:G103,O12:O53)</f>
        <v>572946.04600000009</v>
      </c>
      <c r="H104" s="301">
        <f>U104</f>
        <v>523475.67000000004</v>
      </c>
      <c r="I104" s="302">
        <f>SUM(I62:I103)</f>
        <v>1</v>
      </c>
      <c r="J104" s="303">
        <f>ROUND(SUMPRODUCT(J62:J103,R12:R53)/R54,0)</f>
        <v>14</v>
      </c>
      <c r="K104" s="274"/>
      <c r="L104" s="3866">
        <f>P104/N104</f>
        <v>1.1108200822964345</v>
      </c>
      <c r="M104" s="3867">
        <f>Q104/O104</f>
        <v>1.03400067861255</v>
      </c>
      <c r="N104" s="311">
        <f>SUM(N62:N103)</f>
        <v>615983.96854764107</v>
      </c>
      <c r="O104" s="311">
        <f>SUM(O62:O103)</f>
        <v>661747.49861239607</v>
      </c>
      <c r="P104" s="311">
        <f>SUM(P62:P103)</f>
        <v>684247.362635375</v>
      </c>
      <c r="Q104" s="311">
        <f>SUM(Q62:Q103)</f>
        <v>684247.362635375</v>
      </c>
      <c r="R104" s="307">
        <v>1.081</v>
      </c>
      <c r="S104" s="308">
        <f>SUM(S62:S103)</f>
        <v>282306.25</v>
      </c>
      <c r="T104" s="308">
        <f>SUM(T62:T103)</f>
        <v>241169.42</v>
      </c>
      <c r="U104" s="308">
        <f>SUM(U62:U103)</f>
        <v>523475.67000000004</v>
      </c>
    </row>
    <row r="105" spans="2:21" x14ac:dyDescent="0.25">
      <c r="P105" s="395"/>
    </row>
    <row r="106" spans="2:21" x14ac:dyDescent="0.25">
      <c r="P106" s="395"/>
    </row>
    <row r="107" spans="2:21" x14ac:dyDescent="0.25">
      <c r="P107" s="395"/>
    </row>
  </sheetData>
  <customSheetViews>
    <customSheetView guid="{074EB09C-6289-46D7-9513-012B68BCA7BF}" showPageBreaks="1" topLeftCell="E1">
      <selection activeCell="H13" sqref="H13"/>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1" right="0.17" top="0.34" bottom="0.36" header="0.3" footer="0.3"/>
  <pageSetup paperSize="17" scale="53"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5" style="3369" customWidth="1"/>
    <col min="2" max="2" width="18.109375" customWidth="1"/>
    <col min="3" max="3" width="31.5546875" customWidth="1"/>
    <col min="4" max="4" width="14.88671875" style="19" customWidth="1"/>
    <col min="5" max="5" width="14.88671875" customWidth="1"/>
    <col min="6" max="6" width="16.3320312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19" width="15.5546875" bestFit="1" customWidth="1"/>
    <col min="20" max="20" width="20.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3.88671875" customWidth="1"/>
    <col min="260" max="260" width="19.6640625" bestFit="1" customWidth="1"/>
    <col min="261" max="261" width="11.44140625" bestFit="1" customWidth="1"/>
    <col min="262" max="262" width="14.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5" width="15.5546875" bestFit="1" customWidth="1"/>
    <col min="276" max="276" width="20.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3.88671875" customWidth="1"/>
    <col min="516" max="516" width="19.6640625" bestFit="1" customWidth="1"/>
    <col min="517" max="517" width="11.44140625" bestFit="1" customWidth="1"/>
    <col min="518" max="518" width="14.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1" width="15.5546875" bestFit="1" customWidth="1"/>
    <col min="532" max="532" width="20.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3.88671875" customWidth="1"/>
    <col min="772" max="772" width="19.6640625" bestFit="1" customWidth="1"/>
    <col min="773" max="773" width="11.44140625" bestFit="1" customWidth="1"/>
    <col min="774" max="774" width="14.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7" width="15.5546875" bestFit="1" customWidth="1"/>
    <col min="788" max="788" width="20.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3.88671875" customWidth="1"/>
    <col min="1028" max="1028" width="19.6640625" bestFit="1" customWidth="1"/>
    <col min="1029" max="1029" width="11.44140625" bestFit="1" customWidth="1"/>
    <col min="1030" max="1030" width="14.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3" width="15.5546875" bestFit="1" customWidth="1"/>
    <col min="1044" max="1044" width="20.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3.88671875" customWidth="1"/>
    <col min="1284" max="1284" width="19.6640625" bestFit="1" customWidth="1"/>
    <col min="1285" max="1285" width="11.44140625" bestFit="1" customWidth="1"/>
    <col min="1286" max="1286" width="14.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299" width="15.5546875" bestFit="1" customWidth="1"/>
    <col min="1300" max="1300" width="20.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3.88671875" customWidth="1"/>
    <col min="1540" max="1540" width="19.6640625" bestFit="1" customWidth="1"/>
    <col min="1541" max="1541" width="11.44140625" bestFit="1" customWidth="1"/>
    <col min="1542" max="1542" width="14.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5" width="15.5546875" bestFit="1" customWidth="1"/>
    <col min="1556" max="1556" width="20.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3.88671875" customWidth="1"/>
    <col min="1796" max="1796" width="19.6640625" bestFit="1" customWidth="1"/>
    <col min="1797" max="1797" width="11.44140625" bestFit="1" customWidth="1"/>
    <col min="1798" max="1798" width="14.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1" width="15.5546875" bestFit="1" customWidth="1"/>
    <col min="1812" max="1812" width="20.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3.88671875" customWidth="1"/>
    <col min="2052" max="2052" width="19.6640625" bestFit="1" customWidth="1"/>
    <col min="2053" max="2053" width="11.44140625" bestFit="1" customWidth="1"/>
    <col min="2054" max="2054" width="14.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7" width="15.5546875" bestFit="1" customWidth="1"/>
    <col min="2068" max="2068" width="20.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3.88671875" customWidth="1"/>
    <col min="2308" max="2308" width="19.6640625" bestFit="1" customWidth="1"/>
    <col min="2309" max="2309" width="11.44140625" bestFit="1" customWidth="1"/>
    <col min="2310" max="2310" width="14.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3" width="15.5546875" bestFit="1" customWidth="1"/>
    <col min="2324" max="2324" width="20.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3.88671875" customWidth="1"/>
    <col min="2564" max="2564" width="19.6640625" bestFit="1" customWidth="1"/>
    <col min="2565" max="2565" width="11.44140625" bestFit="1" customWidth="1"/>
    <col min="2566" max="2566" width="14.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79" width="15.5546875" bestFit="1" customWidth="1"/>
    <col min="2580" max="2580" width="20.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3.88671875" customWidth="1"/>
    <col min="2820" max="2820" width="19.6640625" bestFit="1" customWidth="1"/>
    <col min="2821" max="2821" width="11.44140625" bestFit="1" customWidth="1"/>
    <col min="2822" max="2822" width="14.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5" width="15.5546875" bestFit="1" customWidth="1"/>
    <col min="2836" max="2836" width="20.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3.88671875" customWidth="1"/>
    <col min="3076" max="3076" width="19.6640625" bestFit="1" customWidth="1"/>
    <col min="3077" max="3077" width="11.44140625" bestFit="1" customWidth="1"/>
    <col min="3078" max="3078" width="14.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1" width="15.5546875" bestFit="1" customWidth="1"/>
    <col min="3092" max="3092" width="20.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3.88671875" customWidth="1"/>
    <col min="3332" max="3332" width="19.6640625" bestFit="1" customWidth="1"/>
    <col min="3333" max="3333" width="11.44140625" bestFit="1" customWidth="1"/>
    <col min="3334" max="3334" width="14.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7" width="15.5546875" bestFit="1" customWidth="1"/>
    <col min="3348" max="3348" width="20.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3.88671875" customWidth="1"/>
    <col min="3588" max="3588" width="19.6640625" bestFit="1" customWidth="1"/>
    <col min="3589" max="3589" width="11.44140625" bestFit="1" customWidth="1"/>
    <col min="3590" max="3590" width="14.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3" width="15.5546875" bestFit="1" customWidth="1"/>
    <col min="3604" max="3604" width="20.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3.88671875" customWidth="1"/>
    <col min="3844" max="3844" width="19.6640625" bestFit="1" customWidth="1"/>
    <col min="3845" max="3845" width="11.44140625" bestFit="1" customWidth="1"/>
    <col min="3846" max="3846" width="14.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59" width="15.5546875" bestFit="1" customWidth="1"/>
    <col min="3860" max="3860" width="20.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3.88671875" customWidth="1"/>
    <col min="4100" max="4100" width="19.6640625" bestFit="1" customWidth="1"/>
    <col min="4101" max="4101" width="11.44140625" bestFit="1" customWidth="1"/>
    <col min="4102" max="4102" width="14.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5" width="15.5546875" bestFit="1" customWidth="1"/>
    <col min="4116" max="4116" width="20.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3.88671875" customWidth="1"/>
    <col min="4356" max="4356" width="19.6640625" bestFit="1" customWidth="1"/>
    <col min="4357" max="4357" width="11.44140625" bestFit="1" customWidth="1"/>
    <col min="4358" max="4358" width="14.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1" width="15.5546875" bestFit="1" customWidth="1"/>
    <col min="4372" max="4372" width="20.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3.88671875" customWidth="1"/>
    <col min="4612" max="4612" width="19.6640625" bestFit="1" customWidth="1"/>
    <col min="4613" max="4613" width="11.44140625" bestFit="1" customWidth="1"/>
    <col min="4614" max="4614" width="14.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7" width="15.5546875" bestFit="1" customWidth="1"/>
    <col min="4628" max="4628" width="20.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3.88671875" customWidth="1"/>
    <col min="4868" max="4868" width="19.6640625" bestFit="1" customWidth="1"/>
    <col min="4869" max="4869" width="11.44140625" bestFit="1" customWidth="1"/>
    <col min="4870" max="4870" width="14.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3" width="15.5546875" bestFit="1" customWidth="1"/>
    <col min="4884" max="4884" width="20.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3.88671875" customWidth="1"/>
    <col min="5124" max="5124" width="19.6640625" bestFit="1" customWidth="1"/>
    <col min="5125" max="5125" width="11.44140625" bestFit="1" customWidth="1"/>
    <col min="5126" max="5126" width="14.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39" width="15.5546875" bestFit="1" customWidth="1"/>
    <col min="5140" max="5140" width="20.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3.88671875" customWidth="1"/>
    <col min="5380" max="5380" width="19.6640625" bestFit="1" customWidth="1"/>
    <col min="5381" max="5381" width="11.44140625" bestFit="1" customWidth="1"/>
    <col min="5382" max="5382" width="14.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5" width="15.5546875" bestFit="1" customWidth="1"/>
    <col min="5396" max="5396" width="20.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3.88671875" customWidth="1"/>
    <col min="5636" max="5636" width="19.6640625" bestFit="1" customWidth="1"/>
    <col min="5637" max="5637" width="11.44140625" bestFit="1" customWidth="1"/>
    <col min="5638" max="5638" width="14.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1" width="15.5546875" bestFit="1" customWidth="1"/>
    <col min="5652" max="5652" width="20.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3.88671875" customWidth="1"/>
    <col min="5892" max="5892" width="19.6640625" bestFit="1" customWidth="1"/>
    <col min="5893" max="5893" width="11.44140625" bestFit="1" customWidth="1"/>
    <col min="5894" max="5894" width="14.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7" width="15.5546875" bestFit="1" customWidth="1"/>
    <col min="5908" max="5908" width="20.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3.88671875" customWidth="1"/>
    <col min="6148" max="6148" width="19.6640625" bestFit="1" customWidth="1"/>
    <col min="6149" max="6149" width="11.44140625" bestFit="1" customWidth="1"/>
    <col min="6150" max="6150" width="14.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3" width="15.5546875" bestFit="1" customWidth="1"/>
    <col min="6164" max="6164" width="20.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3.88671875" customWidth="1"/>
    <col min="6404" max="6404" width="19.6640625" bestFit="1" customWidth="1"/>
    <col min="6405" max="6405" width="11.44140625" bestFit="1" customWidth="1"/>
    <col min="6406" max="6406" width="14.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19" width="15.5546875" bestFit="1" customWidth="1"/>
    <col min="6420" max="6420" width="20.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3.88671875" customWidth="1"/>
    <col min="6660" max="6660" width="19.6640625" bestFit="1" customWidth="1"/>
    <col min="6661" max="6661" width="11.44140625" bestFit="1" customWidth="1"/>
    <col min="6662" max="6662" width="14.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5" width="15.5546875" bestFit="1" customWidth="1"/>
    <col min="6676" max="6676" width="20.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3.88671875" customWidth="1"/>
    <col min="6916" max="6916" width="19.6640625" bestFit="1" customWidth="1"/>
    <col min="6917" max="6917" width="11.44140625" bestFit="1" customWidth="1"/>
    <col min="6918" max="6918" width="14.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1" width="15.5546875" bestFit="1" customWidth="1"/>
    <col min="6932" max="6932" width="20.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3.88671875" customWidth="1"/>
    <col min="7172" max="7172" width="19.6640625" bestFit="1" customWidth="1"/>
    <col min="7173" max="7173" width="11.44140625" bestFit="1" customWidth="1"/>
    <col min="7174" max="7174" width="14.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7" width="15.5546875" bestFit="1" customWidth="1"/>
    <col min="7188" max="7188" width="20.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3.88671875" customWidth="1"/>
    <col min="7428" max="7428" width="19.6640625" bestFit="1" customWidth="1"/>
    <col min="7429" max="7429" width="11.44140625" bestFit="1" customWidth="1"/>
    <col min="7430" max="7430" width="14.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3" width="15.5546875" bestFit="1" customWidth="1"/>
    <col min="7444" max="7444" width="20.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3.88671875" customWidth="1"/>
    <col min="7684" max="7684" width="19.6640625" bestFit="1" customWidth="1"/>
    <col min="7685" max="7685" width="11.44140625" bestFit="1" customWidth="1"/>
    <col min="7686" max="7686" width="14.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699" width="15.5546875" bestFit="1" customWidth="1"/>
    <col min="7700" max="7700" width="20.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3.88671875" customWidth="1"/>
    <col min="7940" max="7940" width="19.6640625" bestFit="1" customWidth="1"/>
    <col min="7941" max="7941" width="11.44140625" bestFit="1" customWidth="1"/>
    <col min="7942" max="7942" width="14.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5" width="15.5546875" bestFit="1" customWidth="1"/>
    <col min="7956" max="7956" width="20.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3.88671875" customWidth="1"/>
    <col min="8196" max="8196" width="19.6640625" bestFit="1" customWidth="1"/>
    <col min="8197" max="8197" width="11.44140625" bestFit="1" customWidth="1"/>
    <col min="8198" max="8198" width="14.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1" width="15.5546875" bestFit="1" customWidth="1"/>
    <col min="8212" max="8212" width="20.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3.88671875" customWidth="1"/>
    <col min="8452" max="8452" width="19.6640625" bestFit="1" customWidth="1"/>
    <col min="8453" max="8453" width="11.44140625" bestFit="1" customWidth="1"/>
    <col min="8454" max="8454" width="14.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7" width="15.5546875" bestFit="1" customWidth="1"/>
    <col min="8468" max="8468" width="20.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3.88671875" customWidth="1"/>
    <col min="8708" max="8708" width="19.6640625" bestFit="1" customWidth="1"/>
    <col min="8709" max="8709" width="11.44140625" bestFit="1" customWidth="1"/>
    <col min="8710" max="8710" width="14.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3" width="15.5546875" bestFit="1" customWidth="1"/>
    <col min="8724" max="8724" width="20.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3.88671875" customWidth="1"/>
    <col min="8964" max="8964" width="19.6640625" bestFit="1" customWidth="1"/>
    <col min="8965" max="8965" width="11.44140625" bestFit="1" customWidth="1"/>
    <col min="8966" max="8966" width="14.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79" width="15.5546875" bestFit="1" customWidth="1"/>
    <col min="8980" max="8980" width="20.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3.88671875" customWidth="1"/>
    <col min="9220" max="9220" width="19.6640625" bestFit="1" customWidth="1"/>
    <col min="9221" max="9221" width="11.44140625" bestFit="1" customWidth="1"/>
    <col min="9222" max="9222" width="14.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5" width="15.5546875" bestFit="1" customWidth="1"/>
    <col min="9236" max="9236" width="20.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3.88671875" customWidth="1"/>
    <col min="9476" max="9476" width="19.6640625" bestFit="1" customWidth="1"/>
    <col min="9477" max="9477" width="11.44140625" bestFit="1" customWidth="1"/>
    <col min="9478" max="9478" width="14.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1" width="15.5546875" bestFit="1" customWidth="1"/>
    <col min="9492" max="9492" width="20.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3.88671875" customWidth="1"/>
    <col min="9732" max="9732" width="19.6640625" bestFit="1" customWidth="1"/>
    <col min="9733" max="9733" width="11.44140625" bestFit="1" customWidth="1"/>
    <col min="9734" max="9734" width="14.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7" width="15.5546875" bestFit="1" customWidth="1"/>
    <col min="9748" max="9748" width="20.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3.88671875" customWidth="1"/>
    <col min="9988" max="9988" width="19.6640625" bestFit="1" customWidth="1"/>
    <col min="9989" max="9989" width="11.44140625" bestFit="1" customWidth="1"/>
    <col min="9990" max="9990" width="14.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3" width="15.5546875" bestFit="1" customWidth="1"/>
    <col min="10004" max="10004" width="20.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3.88671875" customWidth="1"/>
    <col min="10244" max="10244" width="19.6640625" bestFit="1" customWidth="1"/>
    <col min="10245" max="10245" width="11.44140625" bestFit="1" customWidth="1"/>
    <col min="10246" max="10246" width="14.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59" width="15.5546875" bestFit="1" customWidth="1"/>
    <col min="10260" max="10260" width="20.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3.88671875" customWidth="1"/>
    <col min="10500" max="10500" width="19.6640625" bestFit="1" customWidth="1"/>
    <col min="10501" max="10501" width="11.44140625" bestFit="1" customWidth="1"/>
    <col min="10502" max="10502" width="14.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5" width="15.5546875" bestFit="1" customWidth="1"/>
    <col min="10516" max="10516" width="20.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3.88671875" customWidth="1"/>
    <col min="10756" max="10756" width="19.6640625" bestFit="1" customWidth="1"/>
    <col min="10757" max="10757" width="11.44140625" bestFit="1" customWidth="1"/>
    <col min="10758" max="10758" width="14.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1" width="15.5546875" bestFit="1" customWidth="1"/>
    <col min="10772" max="10772" width="20.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3.88671875" customWidth="1"/>
    <col min="11012" max="11012" width="19.6640625" bestFit="1" customWidth="1"/>
    <col min="11013" max="11013" width="11.44140625" bestFit="1" customWidth="1"/>
    <col min="11014" max="11014" width="14.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7" width="15.5546875" bestFit="1" customWidth="1"/>
    <col min="11028" max="11028" width="20.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3.88671875" customWidth="1"/>
    <col min="11268" max="11268" width="19.6640625" bestFit="1" customWidth="1"/>
    <col min="11269" max="11269" width="11.44140625" bestFit="1" customWidth="1"/>
    <col min="11270" max="11270" width="14.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3" width="15.5546875" bestFit="1" customWidth="1"/>
    <col min="11284" max="11284" width="20.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3.88671875" customWidth="1"/>
    <col min="11524" max="11524" width="19.6640625" bestFit="1" customWidth="1"/>
    <col min="11525" max="11525" width="11.44140625" bestFit="1" customWidth="1"/>
    <col min="11526" max="11526" width="14.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39" width="15.5546875" bestFit="1" customWidth="1"/>
    <col min="11540" max="11540" width="20.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3.88671875" customWidth="1"/>
    <col min="11780" max="11780" width="19.6640625" bestFit="1" customWidth="1"/>
    <col min="11781" max="11781" width="11.44140625" bestFit="1" customWidth="1"/>
    <col min="11782" max="11782" width="14.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5" width="15.5546875" bestFit="1" customWidth="1"/>
    <col min="11796" max="11796" width="20.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3.88671875" customWidth="1"/>
    <col min="12036" max="12036" width="19.6640625" bestFit="1" customWidth="1"/>
    <col min="12037" max="12037" width="11.44140625" bestFit="1" customWidth="1"/>
    <col min="12038" max="12038" width="14.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1" width="15.5546875" bestFit="1" customWidth="1"/>
    <col min="12052" max="12052" width="20.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3.88671875" customWidth="1"/>
    <col min="12292" max="12292" width="19.6640625" bestFit="1" customWidth="1"/>
    <col min="12293" max="12293" width="11.44140625" bestFit="1" customWidth="1"/>
    <col min="12294" max="12294" width="14.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7" width="15.5546875" bestFit="1" customWidth="1"/>
    <col min="12308" max="12308" width="20.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3.88671875" customWidth="1"/>
    <col min="12548" max="12548" width="19.6640625" bestFit="1" customWidth="1"/>
    <col min="12549" max="12549" width="11.44140625" bestFit="1" customWidth="1"/>
    <col min="12550" max="12550" width="14.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3" width="15.5546875" bestFit="1" customWidth="1"/>
    <col min="12564" max="12564" width="20.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3.88671875" customWidth="1"/>
    <col min="12804" max="12804" width="19.6640625" bestFit="1" customWidth="1"/>
    <col min="12805" max="12805" width="11.44140625" bestFit="1" customWidth="1"/>
    <col min="12806" max="12806" width="14.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19" width="15.5546875" bestFit="1" customWidth="1"/>
    <col min="12820" max="12820" width="20.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3.88671875" customWidth="1"/>
    <col min="13060" max="13060" width="19.6640625" bestFit="1" customWidth="1"/>
    <col min="13061" max="13061" width="11.44140625" bestFit="1" customWidth="1"/>
    <col min="13062" max="13062" width="14.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5" width="15.5546875" bestFit="1" customWidth="1"/>
    <col min="13076" max="13076" width="20.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3.88671875" customWidth="1"/>
    <col min="13316" max="13316" width="19.6640625" bestFit="1" customWidth="1"/>
    <col min="13317" max="13317" width="11.44140625" bestFit="1" customWidth="1"/>
    <col min="13318" max="13318" width="14.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1" width="15.5546875" bestFit="1" customWidth="1"/>
    <col min="13332" max="13332" width="20.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3.88671875" customWidth="1"/>
    <col min="13572" max="13572" width="19.6640625" bestFit="1" customWidth="1"/>
    <col min="13573" max="13573" width="11.44140625" bestFit="1" customWidth="1"/>
    <col min="13574" max="13574" width="14.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7" width="15.5546875" bestFit="1" customWidth="1"/>
    <col min="13588" max="13588" width="20.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3.88671875" customWidth="1"/>
    <col min="13828" max="13828" width="19.6640625" bestFit="1" customWidth="1"/>
    <col min="13829" max="13829" width="11.44140625" bestFit="1" customWidth="1"/>
    <col min="13830" max="13830" width="14.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3" width="15.5546875" bestFit="1" customWidth="1"/>
    <col min="13844" max="13844" width="20.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3.88671875" customWidth="1"/>
    <col min="14084" max="14084" width="19.6640625" bestFit="1" customWidth="1"/>
    <col min="14085" max="14085" width="11.44140625" bestFit="1" customWidth="1"/>
    <col min="14086" max="14086" width="14.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099" width="15.5546875" bestFit="1" customWidth="1"/>
    <col min="14100" max="14100" width="20.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3.88671875" customWidth="1"/>
    <col min="14340" max="14340" width="19.6640625" bestFit="1" customWidth="1"/>
    <col min="14341" max="14341" width="11.44140625" bestFit="1" customWidth="1"/>
    <col min="14342" max="14342" width="14.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5" width="15.5546875" bestFit="1" customWidth="1"/>
    <col min="14356" max="14356" width="20.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3.88671875" customWidth="1"/>
    <col min="14596" max="14596" width="19.6640625" bestFit="1" customWidth="1"/>
    <col min="14597" max="14597" width="11.44140625" bestFit="1" customWidth="1"/>
    <col min="14598" max="14598" width="14.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1" width="15.5546875" bestFit="1" customWidth="1"/>
    <col min="14612" max="14612" width="20.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3.88671875" customWidth="1"/>
    <col min="14852" max="14852" width="19.6640625" bestFit="1" customWidth="1"/>
    <col min="14853" max="14853" width="11.44140625" bestFit="1" customWidth="1"/>
    <col min="14854" max="14854" width="14.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7" width="15.5546875" bestFit="1" customWidth="1"/>
    <col min="14868" max="14868" width="20.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3.88671875" customWidth="1"/>
    <col min="15108" max="15108" width="19.6640625" bestFit="1" customWidth="1"/>
    <col min="15109" max="15109" width="11.44140625" bestFit="1" customWidth="1"/>
    <col min="15110" max="15110" width="14.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3" width="15.5546875" bestFit="1" customWidth="1"/>
    <col min="15124" max="15124" width="20.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3.88671875" customWidth="1"/>
    <col min="15364" max="15364" width="19.6640625" bestFit="1" customWidth="1"/>
    <col min="15365" max="15365" width="11.44140625" bestFit="1" customWidth="1"/>
    <col min="15366" max="15366" width="14.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79" width="15.5546875" bestFit="1" customWidth="1"/>
    <col min="15380" max="15380" width="20.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3.88671875" customWidth="1"/>
    <col min="15620" max="15620" width="19.6640625" bestFit="1" customWidth="1"/>
    <col min="15621" max="15621" width="11.44140625" bestFit="1" customWidth="1"/>
    <col min="15622" max="15622" width="14.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5" width="15.5546875" bestFit="1" customWidth="1"/>
    <col min="15636" max="15636" width="20.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3.88671875" customWidth="1"/>
    <col min="15876" max="15876" width="19.6640625" bestFit="1" customWidth="1"/>
    <col min="15877" max="15877" width="11.44140625" bestFit="1" customWidth="1"/>
    <col min="15878" max="15878" width="14.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1" width="15.5546875" bestFit="1" customWidth="1"/>
    <col min="15892" max="15892" width="20.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3.88671875" customWidth="1"/>
    <col min="16132" max="16132" width="19.6640625" bestFit="1" customWidth="1"/>
    <col min="16133" max="16133" width="11.44140625" bestFit="1" customWidth="1"/>
    <col min="16134" max="16134" width="14.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7" width="15.5546875" bestFit="1" customWidth="1"/>
    <col min="16148" max="16148" width="20.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1.25" customHeight="1" thickBot="1" x14ac:dyDescent="0.35">
      <c r="B1" s="3881"/>
      <c r="F1" s="202"/>
      <c r="G1" s="202">
        <f>C3</f>
        <v>18230639</v>
      </c>
      <c r="H1" s="202" t="str">
        <f>C4</f>
        <v>SF Existing Pilots - Gas</v>
      </c>
      <c r="I1" s="202"/>
    </row>
    <row r="2" spans="2:22" ht="16.2" thickBot="1" x14ac:dyDescent="0.35">
      <c r="B2" s="202" t="s">
        <v>131</v>
      </c>
      <c r="C2" s="203" t="s">
        <v>697</v>
      </c>
      <c r="G2" s="204" t="s">
        <v>8</v>
      </c>
      <c r="Q2" s="4765" t="s">
        <v>612</v>
      </c>
      <c r="R2" s="4765"/>
      <c r="S2" s="4762" t="s">
        <v>132</v>
      </c>
      <c r="T2" s="4763"/>
      <c r="U2" s="4764"/>
      <c r="V2" s="4766" t="s">
        <v>133</v>
      </c>
    </row>
    <row r="3" spans="2:22" ht="16.2" thickBot="1" x14ac:dyDescent="0.35">
      <c r="B3" s="203" t="s">
        <v>6</v>
      </c>
      <c r="C3" s="203">
        <v>18230639</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698</v>
      </c>
      <c r="F4" s="202">
        <v>2011</v>
      </c>
      <c r="G4" s="210">
        <f>B12</f>
        <v>3459</v>
      </c>
      <c r="H4" s="211">
        <f>B17</f>
        <v>2306</v>
      </c>
      <c r="I4" s="211">
        <f>B22</f>
        <v>3632</v>
      </c>
      <c r="J4" s="211">
        <f>B27</f>
        <v>12000</v>
      </c>
      <c r="K4" s="211">
        <f>B32</f>
        <v>600</v>
      </c>
      <c r="L4" s="211">
        <f>B37</f>
        <v>18000</v>
      </c>
      <c r="M4" s="211">
        <f>B42</f>
        <v>1200</v>
      </c>
      <c r="N4" s="211">
        <f>B47</f>
        <v>1200</v>
      </c>
      <c r="O4" s="211">
        <f>B52</f>
        <v>70000</v>
      </c>
      <c r="P4" s="211">
        <f>B53</f>
        <v>0</v>
      </c>
      <c r="Q4" s="213">
        <f>B54</f>
        <v>112397</v>
      </c>
      <c r="R4" s="372">
        <f>T54</f>
        <v>25200</v>
      </c>
      <c r="S4" s="331">
        <f>O4/Q4</f>
        <v>0.62279242328531903</v>
      </c>
      <c r="T4" s="331">
        <f>(J4+(H4*1.63))/Q4</f>
        <v>0.14020641120314598</v>
      </c>
      <c r="U4" s="331">
        <f>L4/Q4</f>
        <v>0.16014662313051059</v>
      </c>
      <c r="V4" s="216">
        <f>Q4/R4</f>
        <v>4.4601984126984124</v>
      </c>
    </row>
    <row r="5" spans="2:22" ht="16.2" thickBot="1" x14ac:dyDescent="0.35">
      <c r="B5" s="202" t="s">
        <v>34</v>
      </c>
      <c r="F5" s="202">
        <v>2012</v>
      </c>
      <c r="G5" s="217">
        <f>D12</f>
        <v>0</v>
      </c>
      <c r="H5" s="218">
        <f>D17</f>
        <v>0</v>
      </c>
      <c r="I5" s="218">
        <f>D22</f>
        <v>0</v>
      </c>
      <c r="J5" s="218">
        <f>D27</f>
        <v>0</v>
      </c>
      <c r="K5" s="218">
        <f>D32</f>
        <v>0</v>
      </c>
      <c r="L5" s="218">
        <f>D37</f>
        <v>0</v>
      </c>
      <c r="M5" s="218">
        <f>D42</f>
        <v>0</v>
      </c>
      <c r="N5" s="218">
        <f>D47</f>
        <v>0</v>
      </c>
      <c r="O5" s="218">
        <f>D52</f>
        <v>0</v>
      </c>
      <c r="P5" s="218">
        <f>D53</f>
        <v>0</v>
      </c>
      <c r="Q5" s="219">
        <f>SUM(G5:P5)</f>
        <v>0</v>
      </c>
      <c r="R5" s="373">
        <f>P54</f>
        <v>0</v>
      </c>
      <c r="S5" s="332" t="e">
        <f>O5/Q5</f>
        <v>#DIV/0!</v>
      </c>
      <c r="T5" s="332" t="e">
        <f>(J5+(H5*1.63))/Q5</f>
        <v>#DIV/0!</v>
      </c>
      <c r="U5" s="332" t="e">
        <f>L5/Q5</f>
        <v>#DIV/0!</v>
      </c>
      <c r="V5" s="222" t="e">
        <f>Q5/R5</f>
        <v>#DIV/0!</v>
      </c>
    </row>
    <row r="6" spans="2:22" ht="16.2" thickBot="1" x14ac:dyDescent="0.35">
      <c r="C6" s="202" t="s">
        <v>607</v>
      </c>
      <c r="F6" s="202">
        <v>2013</v>
      </c>
      <c r="G6" s="374">
        <f>E12</f>
        <v>0</v>
      </c>
      <c r="H6" s="375">
        <f>E17</f>
        <v>0</v>
      </c>
      <c r="I6" s="375">
        <f>E22</f>
        <v>0</v>
      </c>
      <c r="J6" s="375">
        <f>E27</f>
        <v>0</v>
      </c>
      <c r="K6" s="375">
        <f>E32</f>
        <v>0</v>
      </c>
      <c r="L6" s="375">
        <f>E37</f>
        <v>0</v>
      </c>
      <c r="M6" s="375">
        <f>E42</f>
        <v>0</v>
      </c>
      <c r="N6" s="375">
        <f>E47</f>
        <v>0</v>
      </c>
      <c r="O6" s="375">
        <f>E52</f>
        <v>0</v>
      </c>
      <c r="P6" s="375">
        <f>E53</f>
        <v>0</v>
      </c>
      <c r="Q6" s="219">
        <f>SUM(G6:P6)</f>
        <v>0</v>
      </c>
      <c r="R6" s="373">
        <f>Q54</f>
        <v>0</v>
      </c>
      <c r="S6" s="332" t="e">
        <f>O6/Q6</f>
        <v>#DIV/0!</v>
      </c>
      <c r="T6" s="332" t="e">
        <f>(J6+(H6*1.63))/Q6</f>
        <v>#DIV/0!</v>
      </c>
      <c r="U6" s="332" t="e">
        <f>L6/Q6</f>
        <v>#DIV/0!</v>
      </c>
      <c r="V6" s="222" t="e">
        <f>Q6/R6</f>
        <v>#DIV/0!</v>
      </c>
    </row>
    <row r="7" spans="2:22" ht="16.2" thickBot="1" x14ac:dyDescent="0.35">
      <c r="C7" s="227" t="s">
        <v>604</v>
      </c>
      <c r="F7" s="376" t="s">
        <v>178</v>
      </c>
      <c r="G7" s="377">
        <f>SUM(G5:G6)</f>
        <v>0</v>
      </c>
      <c r="H7" s="377">
        <f t="shared" ref="H7:P7" si="0">SUM(H5:H6)</f>
        <v>0</v>
      </c>
      <c r="I7" s="377">
        <f t="shared" si="0"/>
        <v>0</v>
      </c>
      <c r="J7" s="377">
        <f t="shared" si="0"/>
        <v>0</v>
      </c>
      <c r="K7" s="377">
        <f t="shared" si="0"/>
        <v>0</v>
      </c>
      <c r="L7" s="377">
        <f t="shared" si="0"/>
        <v>0</v>
      </c>
      <c r="M7" s="377">
        <f t="shared" si="0"/>
        <v>0</v>
      </c>
      <c r="N7" s="377">
        <f t="shared" si="0"/>
        <v>0</v>
      </c>
      <c r="O7" s="377">
        <f t="shared" si="0"/>
        <v>0</v>
      </c>
      <c r="P7" s="377">
        <f t="shared" si="0"/>
        <v>0</v>
      </c>
      <c r="Q7" s="378">
        <f>SUM(G7:P7)</f>
        <v>0</v>
      </c>
      <c r="R7" s="379">
        <f>R54</f>
        <v>0</v>
      </c>
      <c r="S7" s="332" t="e">
        <f>O7/Q7</f>
        <v>#DIV/0!</v>
      </c>
      <c r="T7" s="332" t="e">
        <f>(J7+(H7*1.63))/Q7</f>
        <v>#DIV/0!</v>
      </c>
      <c r="U7" s="332" t="e">
        <f>L7/Q7</f>
        <v>#DIV/0!</v>
      </c>
      <c r="V7" s="222" t="e">
        <f>Q7/R7</f>
        <v>#DIV/0!</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3459</v>
      </c>
      <c r="C12" s="244" t="s">
        <v>161</v>
      </c>
      <c r="D12" s="245">
        <f>SUM(D13:D16)</f>
        <v>0</v>
      </c>
      <c r="E12" s="245">
        <f>SUM(E13:E16)</f>
        <v>0</v>
      </c>
      <c r="F12" s="246">
        <f>D12+E12</f>
        <v>0</v>
      </c>
      <c r="H12" s="135"/>
      <c r="I12" s="247" t="str">
        <f t="shared" ref="I12:I53" si="1">C62</f>
        <v>Measure 1</v>
      </c>
      <c r="J12" s="248"/>
      <c r="K12" s="249"/>
      <c r="L12" s="380">
        <f t="shared" ref="L12:L53" si="2">D62</f>
        <v>0</v>
      </c>
      <c r="M12" s="267">
        <v>0</v>
      </c>
      <c r="N12" s="267">
        <v>0</v>
      </c>
      <c r="O12" s="252">
        <f>M12+N12</f>
        <v>0</v>
      </c>
      <c r="P12" s="381">
        <f t="shared" ref="P12:R27" si="3">M12*$D62</f>
        <v>0</v>
      </c>
      <c r="Q12" s="381">
        <f t="shared" si="3"/>
        <v>0</v>
      </c>
      <c r="R12" s="382">
        <f t="shared" si="3"/>
        <v>0</v>
      </c>
      <c r="T12" s="267">
        <v>25200</v>
      </c>
    </row>
    <row r="13" spans="2:22" ht="13.8" x14ac:dyDescent="0.3">
      <c r="B13" s="256"/>
      <c r="C13" s="257" t="s">
        <v>162</v>
      </c>
      <c r="D13" s="258">
        <v>0</v>
      </c>
      <c r="E13" s="258">
        <v>0</v>
      </c>
      <c r="F13" s="258">
        <f>SUM(D13:E13)</f>
        <v>0</v>
      </c>
      <c r="H13" s="135"/>
      <c r="I13" s="259" t="str">
        <f t="shared" si="1"/>
        <v>Measure 2</v>
      </c>
      <c r="J13" s="260"/>
      <c r="K13" s="261"/>
      <c r="L13" s="380">
        <f t="shared" si="2"/>
        <v>0</v>
      </c>
      <c r="M13" s="267">
        <v>0</v>
      </c>
      <c r="N13" s="267">
        <v>0</v>
      </c>
      <c r="O13" s="252">
        <f t="shared" ref="O13:O53" si="4">M13+N13</f>
        <v>0</v>
      </c>
      <c r="P13" s="381">
        <f t="shared" si="3"/>
        <v>0</v>
      </c>
      <c r="Q13" s="381">
        <f t="shared" si="3"/>
        <v>0</v>
      </c>
      <c r="R13" s="382">
        <f t="shared" si="3"/>
        <v>0</v>
      </c>
      <c r="T13" s="296">
        <v>0</v>
      </c>
    </row>
    <row r="14" spans="2:22" ht="13.8" x14ac:dyDescent="0.3">
      <c r="B14" s="264"/>
      <c r="C14" s="265" t="s">
        <v>163</v>
      </c>
      <c r="D14" s="266">
        <v>0</v>
      </c>
      <c r="E14" s="266"/>
      <c r="F14" s="258">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v>0</v>
      </c>
    </row>
    <row r="15" spans="2:22" ht="13.8" x14ac:dyDescent="0.3">
      <c r="B15" s="264"/>
      <c r="C15" s="265" t="s">
        <v>164</v>
      </c>
      <c r="D15" s="268">
        <v>0</v>
      </c>
      <c r="E15" s="268"/>
      <c r="F15" s="258">
        <f t="shared" si="5"/>
        <v>0</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4.4" thickBot="1" x14ac:dyDescent="0.35">
      <c r="B16" s="264"/>
      <c r="C16" s="265" t="s">
        <v>165</v>
      </c>
      <c r="D16" s="268">
        <v>0</v>
      </c>
      <c r="E16" s="268"/>
      <c r="F16" s="258">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4.4" thickBot="1" x14ac:dyDescent="0.35">
      <c r="B17" s="272">
        <v>2306</v>
      </c>
      <c r="C17" s="244" t="s">
        <v>166</v>
      </c>
      <c r="D17" s="245">
        <f>SUM(D18:D21)</f>
        <v>0</v>
      </c>
      <c r="E17" s="245">
        <f>SUM(E18:E21)</f>
        <v>0</v>
      </c>
      <c r="F17" s="246">
        <f>D17+E17</f>
        <v>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257" t="s">
        <v>162</v>
      </c>
      <c r="D18" s="258">
        <v>0</v>
      </c>
      <c r="E18" s="258">
        <v>0</v>
      </c>
      <c r="F18" s="258">
        <f t="shared" si="5"/>
        <v>0</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265" t="s">
        <v>163</v>
      </c>
      <c r="D19" s="266">
        <v>0</v>
      </c>
      <c r="E19" s="266"/>
      <c r="F19" s="258">
        <f t="shared" si="5"/>
        <v>0</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268">
        <v>0</v>
      </c>
      <c r="E20" s="268"/>
      <c r="F20" s="258">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268">
        <v>0</v>
      </c>
      <c r="E21" s="268"/>
      <c r="F21" s="258">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3632</v>
      </c>
      <c r="C22" s="244" t="s">
        <v>167</v>
      </c>
      <c r="D22" s="245">
        <f>SUM(D23:D26)</f>
        <v>0</v>
      </c>
      <c r="E22" s="245">
        <f>SUM(E23:E26)</f>
        <v>0</v>
      </c>
      <c r="F22" s="246">
        <f>D22+E22</f>
        <v>0</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258">
        <f>0.63*D12</f>
        <v>0</v>
      </c>
      <c r="E23" s="258">
        <f>0.63*E12</f>
        <v>0</v>
      </c>
      <c r="F23" s="258">
        <f t="shared" si="5"/>
        <v>0</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266">
        <f>0.63*D17</f>
        <v>0</v>
      </c>
      <c r="E24" s="266">
        <f>0.63*E17</f>
        <v>0</v>
      </c>
      <c r="F24" s="258">
        <f t="shared" si="5"/>
        <v>0</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268"/>
      <c r="E25" s="268"/>
      <c r="F25" s="268"/>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268"/>
      <c r="E26" s="268"/>
      <c r="F26" s="268"/>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12000</v>
      </c>
      <c r="C27" s="244" t="s">
        <v>170</v>
      </c>
      <c r="D27" s="245">
        <f>SUM(D28:D31)</f>
        <v>0</v>
      </c>
      <c r="E27" s="245">
        <f>SUM(E28:E31)</f>
        <v>0</v>
      </c>
      <c r="F27" s="24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258">
        <v>0</v>
      </c>
      <c r="E28" s="258">
        <v>0</v>
      </c>
      <c r="F28" s="258">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266">
        <v>0</v>
      </c>
      <c r="E29" s="266"/>
      <c r="F29" s="258">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266">
        <v>0</v>
      </c>
      <c r="E30" s="266"/>
      <c r="F30" s="258">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266">
        <v>0</v>
      </c>
      <c r="E31" s="266"/>
      <c r="F31" s="258">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600</v>
      </c>
      <c r="C32" s="244" t="s">
        <v>171</v>
      </c>
      <c r="D32" s="245">
        <f>SUM(D33:D36)</f>
        <v>0</v>
      </c>
      <c r="E32" s="245">
        <f>SUM(E33:E36)</f>
        <v>0</v>
      </c>
      <c r="F32" s="24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258">
        <v>0</v>
      </c>
      <c r="E33" s="258">
        <v>0</v>
      </c>
      <c r="F33" s="258">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266">
        <v>0</v>
      </c>
      <c r="E34" s="266"/>
      <c r="F34" s="258">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266">
        <v>0</v>
      </c>
      <c r="E35" s="266"/>
      <c r="F35" s="258">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266">
        <v>0</v>
      </c>
      <c r="E36" s="266"/>
      <c r="F36" s="258">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18000</v>
      </c>
      <c r="C37" s="244" t="s">
        <v>172</v>
      </c>
      <c r="D37" s="245">
        <f>SUM(D38:D41)</f>
        <v>0</v>
      </c>
      <c r="E37" s="245">
        <f>SUM(E38:E41)</f>
        <v>0</v>
      </c>
      <c r="F37" s="246">
        <f>D37+E37</f>
        <v>0</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162</v>
      </c>
      <c r="D38" s="258">
        <v>0</v>
      </c>
      <c r="E38" s="258">
        <v>0</v>
      </c>
      <c r="F38" s="258">
        <f t="shared" ref="F38:F51" si="8">SUM(D38:E38)</f>
        <v>0</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265" t="s">
        <v>163</v>
      </c>
      <c r="D39" s="266">
        <v>0</v>
      </c>
      <c r="E39" s="266"/>
      <c r="F39" s="258">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265" t="s">
        <v>164</v>
      </c>
      <c r="D40" s="266">
        <v>0</v>
      </c>
      <c r="E40" s="266"/>
      <c r="F40" s="258">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266">
        <v>0</v>
      </c>
      <c r="E41" s="266"/>
      <c r="F41" s="258">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1200</v>
      </c>
      <c r="C42" s="244" t="s">
        <v>173</v>
      </c>
      <c r="D42" s="245">
        <f>SUM(D43:D46)</f>
        <v>0</v>
      </c>
      <c r="E42" s="245">
        <f>SUM(E43:E46)</f>
        <v>0</v>
      </c>
      <c r="F42" s="24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258">
        <v>0</v>
      </c>
      <c r="E43" s="258">
        <v>0</v>
      </c>
      <c r="F43" s="258">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266">
        <v>0</v>
      </c>
      <c r="E44" s="266"/>
      <c r="F44" s="258">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266">
        <v>0</v>
      </c>
      <c r="E45" s="266"/>
      <c r="F45" s="258">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266">
        <v>0</v>
      </c>
      <c r="E46" s="266"/>
      <c r="F46" s="258">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1200</v>
      </c>
      <c r="C47" s="244" t="s">
        <v>174</v>
      </c>
      <c r="D47" s="245">
        <f>SUM(D48:D51)</f>
        <v>0</v>
      </c>
      <c r="E47" s="245">
        <f>SUM(E48:E51)</f>
        <v>0</v>
      </c>
      <c r="F47" s="24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258">
        <v>0</v>
      </c>
      <c r="E48" s="258">
        <v>0</v>
      </c>
      <c r="F48" s="258">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266">
        <v>0</v>
      </c>
      <c r="E49" s="266"/>
      <c r="F49" s="258">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266">
        <v>0</v>
      </c>
      <c r="E50" s="266"/>
      <c r="F50" s="258">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266">
        <v>0</v>
      </c>
      <c r="E51" s="266"/>
      <c r="F51" s="258">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70000</v>
      </c>
      <c r="C52" s="244" t="s">
        <v>175</v>
      </c>
      <c r="D52" s="245">
        <f>S104</f>
        <v>0</v>
      </c>
      <c r="E52" s="245">
        <f>T104</f>
        <v>0</v>
      </c>
      <c r="F52" s="246">
        <f>U104</f>
        <v>0</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245">
        <v>0</v>
      </c>
      <c r="E53" s="245">
        <v>0</v>
      </c>
      <c r="F53" s="24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273">
        <f>B12+B17+B22+B27+B32+B37+B42+B47+B52+B53</f>
        <v>112397</v>
      </c>
      <c r="C54" s="274" t="s">
        <v>178</v>
      </c>
      <c r="D54" s="273">
        <f>D12+D17+D22+D27+D32+D37+D42+D47+D52+D53</f>
        <v>0</v>
      </c>
      <c r="E54" s="273">
        <f>E12+E17+E22+E27+E32+E37+E42+E47+E52+E53</f>
        <v>0</v>
      </c>
      <c r="F54" s="273">
        <f>F12+F17+F22+F27+F32+F37+F42+F47+F52+F53</f>
        <v>0</v>
      </c>
      <c r="P54" s="385">
        <f>SUM(P12:P53)</f>
        <v>0</v>
      </c>
      <c r="Q54" s="385">
        <f>SUM(Q12:Q53)</f>
        <v>0</v>
      </c>
      <c r="R54" s="385">
        <f>SUM(R12:R53)</f>
        <v>0</v>
      </c>
      <c r="T54" s="385">
        <f>SUM(T12:T53)</f>
        <v>25200</v>
      </c>
    </row>
    <row r="55" spans="2:24" ht="13.8" x14ac:dyDescent="0.3">
      <c r="C55" s="274"/>
      <c r="D55" s="273"/>
      <c r="E55" s="273"/>
      <c r="F55" s="273"/>
    </row>
    <row r="56" spans="2:24" ht="13.8" x14ac:dyDescent="0.3">
      <c r="C56" s="274" t="s">
        <v>179</v>
      </c>
      <c r="D56" s="273">
        <f>D54-D52</f>
        <v>0</v>
      </c>
      <c r="E56" s="273">
        <f>E54-E52</f>
        <v>0</v>
      </c>
      <c r="F56" s="273">
        <f>F54-F52</f>
        <v>0</v>
      </c>
    </row>
    <row r="57" spans="2:24" ht="13.8" x14ac:dyDescent="0.3">
      <c r="C57" s="274" t="s">
        <v>180</v>
      </c>
      <c r="D57" s="276">
        <f>D52</f>
        <v>0</v>
      </c>
      <c r="E57" s="276">
        <f>E52</f>
        <v>0</v>
      </c>
      <c r="F57" s="276">
        <f>F52</f>
        <v>0</v>
      </c>
      <c r="G57" s="335" t="e">
        <f>F57/(F56+F57)</f>
        <v>#DIV/0!</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296" t="s">
        <v>409</v>
      </c>
      <c r="D62" s="267">
        <v>0</v>
      </c>
      <c r="E62" s="267" t="s">
        <v>617</v>
      </c>
      <c r="F62" s="296" t="s">
        <v>211</v>
      </c>
      <c r="G62" s="297">
        <v>0</v>
      </c>
      <c r="H62" s="297">
        <v>0</v>
      </c>
      <c r="I62" s="326">
        <v>0</v>
      </c>
      <c r="J62" s="267">
        <v>0</v>
      </c>
      <c r="K62" s="267"/>
      <c r="L62" s="3865" t="e">
        <f>P62/N62</f>
        <v>#DIV/0!</v>
      </c>
      <c r="M62" s="3865" t="e">
        <f>Q62/O62</f>
        <v>#DIV/0!</v>
      </c>
      <c r="N62" s="218">
        <f>(($I62*$F$56)+$U62)/$R62</f>
        <v>0</v>
      </c>
      <c r="O62" s="218">
        <f>(($I62*$F$56)+($G62*$O12))/$R62</f>
        <v>0</v>
      </c>
      <c r="P62" s="218">
        <f>IF(K62=0, 0, (HLOOKUP(K62,'[1]G-CESTDWO'!$A$5:$G$35,J62+1,FALSE)*R12))</f>
        <v>0</v>
      </c>
      <c r="Q62" s="218">
        <f>IF(K62=0, 0, (HLOOKUP(K62,'[1]G-CESTD'!$A$5:$G$35,J62+1,FALSE)*R12))</f>
        <v>0</v>
      </c>
      <c r="R62" s="292">
        <v>1.081</v>
      </c>
      <c r="S62" s="293">
        <f t="shared" ref="S62:U77" si="10">M12*$H62</f>
        <v>0</v>
      </c>
      <c r="T62" s="293">
        <f t="shared" si="10"/>
        <v>0</v>
      </c>
      <c r="U62" s="293">
        <f t="shared" si="10"/>
        <v>0</v>
      </c>
      <c r="V62" s="338" t="e">
        <f>U62/(U62+(I62*F$56))</f>
        <v>#DIV/0!</v>
      </c>
      <c r="W62" s="338" t="e">
        <f t="shared" ref="W62:W80" si="11">(I62*((F$17*1.63)+F$27))/(U62+(I62*F$56))</f>
        <v>#DIV/0!</v>
      </c>
      <c r="X62" s="338" t="e">
        <f>(I62*F$37)/(U62+(I62*F$56))</f>
        <v>#DIV/0!</v>
      </c>
    </row>
    <row r="63" spans="2:24" ht="13.8" x14ac:dyDescent="0.3">
      <c r="B63" s="296"/>
      <c r="C63" s="296" t="s">
        <v>410</v>
      </c>
      <c r="D63" s="296">
        <v>0</v>
      </c>
      <c r="E63" s="296" t="s">
        <v>617</v>
      </c>
      <c r="F63" s="296" t="s">
        <v>211</v>
      </c>
      <c r="G63" s="297">
        <v>0</v>
      </c>
      <c r="H63" s="297">
        <v>0</v>
      </c>
      <c r="I63" s="326">
        <v>0</v>
      </c>
      <c r="J63" s="267">
        <v>0</v>
      </c>
      <c r="K63" s="267"/>
      <c r="L63" s="3865" t="e">
        <f t="shared" ref="L63:M103" si="12">P63/N63</f>
        <v>#DIV/0!</v>
      </c>
      <c r="M63" s="3865" t="e">
        <f t="shared" si="12"/>
        <v>#DIV/0!</v>
      </c>
      <c r="N63" s="218">
        <f t="shared" ref="N63:N103" si="13">(($I63*$F$56)+$U63)/$R63</f>
        <v>0</v>
      </c>
      <c r="O63" s="218">
        <f t="shared" ref="O63:O103" si="14">(($I63*$F$56)+($G63*$O13))/$R63</f>
        <v>0</v>
      </c>
      <c r="P63" s="218">
        <f>IF(K63=0, 0, (HLOOKUP(K63,'[1]G-CESTDWO'!$A$5:$G$35,J63+1,FALSE)*R13))</f>
        <v>0</v>
      </c>
      <c r="Q63" s="218">
        <f>IF(K63=0, 0, (HLOOKUP(K63,'[1]G-CESTD'!$A$5:$G$35,J63+1,FALSE)*R13))</f>
        <v>0</v>
      </c>
      <c r="R63" s="292">
        <v>1.081</v>
      </c>
      <c r="S63" s="293">
        <f t="shared" si="10"/>
        <v>0</v>
      </c>
      <c r="T63" s="293">
        <f t="shared" si="10"/>
        <v>0</v>
      </c>
      <c r="U63" s="293">
        <f t="shared" si="10"/>
        <v>0</v>
      </c>
      <c r="V63" s="338" t="e">
        <f t="shared" ref="V63:V80" si="15">U63/(U63+(I63*F$56))</f>
        <v>#DIV/0!</v>
      </c>
      <c r="W63" s="338" t="e">
        <f t="shared" si="11"/>
        <v>#DIV/0!</v>
      </c>
      <c r="X63" s="338" t="e">
        <f t="shared" ref="X63:X80" si="16">(I63*F$37)/(U63+(I63*F$56))</f>
        <v>#DIV/0!</v>
      </c>
    </row>
    <row r="64" spans="2:24" ht="13.8" x14ac:dyDescent="0.3">
      <c r="B64" s="296"/>
      <c r="C64" s="296" t="s">
        <v>411</v>
      </c>
      <c r="D64" s="267">
        <v>0</v>
      </c>
      <c r="E64" s="296" t="s">
        <v>617</v>
      </c>
      <c r="F64" s="296" t="s">
        <v>211</v>
      </c>
      <c r="G64" s="297">
        <v>0</v>
      </c>
      <c r="H64" s="297">
        <v>0</v>
      </c>
      <c r="I64" s="326">
        <v>0</v>
      </c>
      <c r="J64" s="267">
        <v>0</v>
      </c>
      <c r="K64" s="267"/>
      <c r="L64" s="3865" t="e">
        <f t="shared" si="12"/>
        <v>#DIV/0!</v>
      </c>
      <c r="M64" s="3865" t="e">
        <f t="shared" si="12"/>
        <v>#DIV/0!</v>
      </c>
      <c r="N64" s="218">
        <f t="shared" si="13"/>
        <v>0</v>
      </c>
      <c r="O64" s="218">
        <f t="shared" si="14"/>
        <v>0</v>
      </c>
      <c r="P64" s="218">
        <f>IF(K64=0, 0, (HLOOKUP(K64,'[1]G-CESTDWO'!$A$5:$G$35,J64+1,FALSE)*R14))</f>
        <v>0</v>
      </c>
      <c r="Q64" s="218">
        <f>IF(K64=0, 0, (HLOOKUP(K64,'[1]G-CESTD'!$A$5:$G$35,J64+1,FALSE)*R14))</f>
        <v>0</v>
      </c>
      <c r="R64" s="292">
        <v>1.081</v>
      </c>
      <c r="S64" s="293">
        <f t="shared" si="10"/>
        <v>0</v>
      </c>
      <c r="T64" s="293">
        <f t="shared" si="10"/>
        <v>0</v>
      </c>
      <c r="U64" s="293">
        <f t="shared" si="10"/>
        <v>0</v>
      </c>
      <c r="V64" s="338" t="e">
        <f t="shared" si="15"/>
        <v>#DIV/0!</v>
      </c>
      <c r="W64" s="338" t="e">
        <f t="shared" si="11"/>
        <v>#DIV/0!</v>
      </c>
      <c r="X64" s="338" t="e">
        <f t="shared" si="16"/>
        <v>#DIV/0!</v>
      </c>
    </row>
    <row r="65" spans="2:24" ht="13.8" x14ac:dyDescent="0.3">
      <c r="B65" s="296"/>
      <c r="C65" s="296" t="s">
        <v>213</v>
      </c>
      <c r="D65" s="296">
        <v>0</v>
      </c>
      <c r="E65" s="296" t="s">
        <v>617</v>
      </c>
      <c r="F65" s="296" t="s">
        <v>211</v>
      </c>
      <c r="G65" s="297"/>
      <c r="H65" s="297"/>
      <c r="I65" s="326">
        <v>0</v>
      </c>
      <c r="J65" s="267"/>
      <c r="K65" s="267"/>
      <c r="L65" s="3865" t="e">
        <f t="shared" si="12"/>
        <v>#DIV/0!</v>
      </c>
      <c r="M65" s="3865" t="e">
        <f t="shared" si="12"/>
        <v>#DIV/0!</v>
      </c>
      <c r="N65" s="218">
        <f t="shared" si="13"/>
        <v>0</v>
      </c>
      <c r="O65" s="218">
        <f t="shared" si="14"/>
        <v>0</v>
      </c>
      <c r="P65" s="218">
        <f>IF(K65=0, 0, (HLOOKUP(K65,'[1]G-CESTDWO'!$A$5:$G$35,J65+1,FALSE)*R15))</f>
        <v>0</v>
      </c>
      <c r="Q65" s="218">
        <f>IF(K65=0, 0, (HLOOKUP(K65,'[1]G-CESTD'!$A$5:$G$35,J65+1,FALSE)*R15))</f>
        <v>0</v>
      </c>
      <c r="R65" s="292">
        <v>1.081</v>
      </c>
      <c r="S65" s="293">
        <f t="shared" si="10"/>
        <v>0</v>
      </c>
      <c r="T65" s="293">
        <f t="shared" si="10"/>
        <v>0</v>
      </c>
      <c r="U65" s="293">
        <f t="shared" si="10"/>
        <v>0</v>
      </c>
      <c r="V65" s="338" t="e">
        <f t="shared" si="15"/>
        <v>#DIV/0!</v>
      </c>
      <c r="W65" s="338" t="e">
        <f t="shared" si="11"/>
        <v>#DIV/0!</v>
      </c>
      <c r="X65" s="338" t="e">
        <f t="shared" si="16"/>
        <v>#DIV/0!</v>
      </c>
    </row>
    <row r="66" spans="2:24" ht="13.8" x14ac:dyDescent="0.3">
      <c r="B66" s="296"/>
      <c r="C66" s="296" t="s">
        <v>214</v>
      </c>
      <c r="D66" s="267">
        <v>0</v>
      </c>
      <c r="E66" s="296" t="s">
        <v>617</v>
      </c>
      <c r="F66" s="296" t="s">
        <v>211</v>
      </c>
      <c r="G66" s="297"/>
      <c r="H66" s="297"/>
      <c r="I66" s="326">
        <v>0</v>
      </c>
      <c r="J66" s="267"/>
      <c r="K66" s="267"/>
      <c r="L66" s="3865" t="e">
        <f t="shared" si="12"/>
        <v>#DIV/0!</v>
      </c>
      <c r="M66" s="3865" t="e">
        <f t="shared" si="12"/>
        <v>#DIV/0!</v>
      </c>
      <c r="N66" s="218">
        <f t="shared" si="13"/>
        <v>0</v>
      </c>
      <c r="O66" s="218">
        <f t="shared" si="14"/>
        <v>0</v>
      </c>
      <c r="P66" s="218">
        <f>IF(K66=0, 0, (HLOOKUP(K66,'[1]G-CESTDWO'!$A$5:$G$35,J66+1,FALSE)*R16))</f>
        <v>0</v>
      </c>
      <c r="Q66" s="218">
        <f>IF(K66=0, 0, (HLOOKUP(K66,'[1]G-CESTD'!$A$5:$G$35,J66+1,FALSE)*R16))</f>
        <v>0</v>
      </c>
      <c r="R66" s="292">
        <v>1.081</v>
      </c>
      <c r="S66" s="293">
        <f t="shared" si="10"/>
        <v>0</v>
      </c>
      <c r="T66" s="293">
        <f t="shared" si="10"/>
        <v>0</v>
      </c>
      <c r="U66" s="293">
        <f t="shared" si="10"/>
        <v>0</v>
      </c>
      <c r="V66" s="338" t="e">
        <f t="shared" si="15"/>
        <v>#DIV/0!</v>
      </c>
      <c r="W66" s="338" t="e">
        <f t="shared" si="11"/>
        <v>#DIV/0!</v>
      </c>
      <c r="X66" s="338" t="e">
        <f t="shared" si="16"/>
        <v>#DIV/0!</v>
      </c>
    </row>
    <row r="67" spans="2:24" ht="13.8" x14ac:dyDescent="0.3">
      <c r="B67" s="296"/>
      <c r="C67" s="296" t="s">
        <v>215</v>
      </c>
      <c r="D67" s="296">
        <v>0</v>
      </c>
      <c r="E67" s="296" t="s">
        <v>617</v>
      </c>
      <c r="F67" s="296" t="s">
        <v>211</v>
      </c>
      <c r="G67" s="297"/>
      <c r="H67" s="297"/>
      <c r="I67" s="326">
        <v>0</v>
      </c>
      <c r="J67" s="267"/>
      <c r="K67" s="267"/>
      <c r="L67" s="3865" t="e">
        <f t="shared" si="12"/>
        <v>#DIV/0!</v>
      </c>
      <c r="M67" s="3865" t="e">
        <f t="shared" si="12"/>
        <v>#DIV/0!</v>
      </c>
      <c r="N67" s="218">
        <f t="shared" si="13"/>
        <v>0</v>
      </c>
      <c r="O67" s="218">
        <f t="shared" si="14"/>
        <v>0</v>
      </c>
      <c r="P67" s="218">
        <f>IF(K67=0, 0, (HLOOKUP(K67,'[1]G-CESTDWO'!$A$5:$G$35,J67+1,FALSE)*R17))</f>
        <v>0</v>
      </c>
      <c r="Q67" s="218">
        <f>IF(K67=0, 0, (HLOOKUP(K67,'[1]G-CESTD'!$A$5:$G$35,J67+1,FALSE)*R17))</f>
        <v>0</v>
      </c>
      <c r="R67" s="292">
        <v>1.081</v>
      </c>
      <c r="S67" s="293">
        <f t="shared" si="10"/>
        <v>0</v>
      </c>
      <c r="T67" s="293">
        <f t="shared" si="10"/>
        <v>0</v>
      </c>
      <c r="U67" s="293">
        <f t="shared" si="10"/>
        <v>0</v>
      </c>
      <c r="V67" s="338" t="e">
        <f t="shared" si="15"/>
        <v>#DIV/0!</v>
      </c>
      <c r="W67" s="338" t="e">
        <f t="shared" si="11"/>
        <v>#DIV/0!</v>
      </c>
      <c r="X67" s="338" t="e">
        <f t="shared" si="16"/>
        <v>#DIV/0!</v>
      </c>
    </row>
    <row r="68" spans="2:24" ht="13.8" x14ac:dyDescent="0.3">
      <c r="B68" s="296"/>
      <c r="C68" s="296" t="s">
        <v>216</v>
      </c>
      <c r="D68" s="267">
        <v>0</v>
      </c>
      <c r="E68" s="296" t="s">
        <v>617</v>
      </c>
      <c r="F68" s="296" t="s">
        <v>211</v>
      </c>
      <c r="G68" s="297"/>
      <c r="H68" s="297"/>
      <c r="I68" s="326">
        <v>0</v>
      </c>
      <c r="J68" s="267"/>
      <c r="K68" s="267"/>
      <c r="L68" s="3865" t="e">
        <f t="shared" si="12"/>
        <v>#DIV/0!</v>
      </c>
      <c r="M68" s="3865" t="e">
        <f t="shared" si="12"/>
        <v>#DIV/0!</v>
      </c>
      <c r="N68" s="218">
        <f t="shared" si="13"/>
        <v>0</v>
      </c>
      <c r="O68" s="218">
        <f t="shared" si="14"/>
        <v>0</v>
      </c>
      <c r="P68" s="218">
        <f>IF(K68=0, 0, (HLOOKUP(K68,'[1]G-CESTDWO'!$A$5:$G$35,J68+1,FALSE)*R18))</f>
        <v>0</v>
      </c>
      <c r="Q68" s="218">
        <f>IF(K68=0, 0, (HLOOKUP(K68,'[1]G-CESTD'!$A$5:$G$35,J68+1,FALSE)*R18))</f>
        <v>0</v>
      </c>
      <c r="R68" s="292">
        <v>1.081</v>
      </c>
      <c r="S68" s="293">
        <f t="shared" si="10"/>
        <v>0</v>
      </c>
      <c r="T68" s="293">
        <f t="shared" si="10"/>
        <v>0</v>
      </c>
      <c r="U68" s="293">
        <f t="shared" si="10"/>
        <v>0</v>
      </c>
      <c r="V68" s="338" t="e">
        <f t="shared" si="15"/>
        <v>#DIV/0!</v>
      </c>
      <c r="W68" s="338" t="e">
        <f t="shared" si="11"/>
        <v>#DIV/0!</v>
      </c>
      <c r="X68" s="338" t="e">
        <f t="shared" si="16"/>
        <v>#DIV/0!</v>
      </c>
    </row>
    <row r="69" spans="2:24" ht="13.8" x14ac:dyDescent="0.3">
      <c r="B69" s="296"/>
      <c r="C69" s="296" t="s">
        <v>217</v>
      </c>
      <c r="D69" s="296">
        <v>0</v>
      </c>
      <c r="E69" s="296" t="s">
        <v>617</v>
      </c>
      <c r="F69" s="296" t="s">
        <v>211</v>
      </c>
      <c r="G69" s="297"/>
      <c r="H69" s="297"/>
      <c r="I69" s="326">
        <v>0</v>
      </c>
      <c r="J69" s="267"/>
      <c r="K69" s="267"/>
      <c r="L69" s="3865" t="e">
        <f t="shared" si="12"/>
        <v>#DIV/0!</v>
      </c>
      <c r="M69" s="3865" t="e">
        <f t="shared" si="12"/>
        <v>#DIV/0!</v>
      </c>
      <c r="N69" s="218">
        <f t="shared" si="13"/>
        <v>0</v>
      </c>
      <c r="O69" s="218">
        <f t="shared" si="14"/>
        <v>0</v>
      </c>
      <c r="P69" s="218">
        <f>IF(K69=0, 0, (HLOOKUP(K69,'[1]G-CESTDWO'!$A$5:$G$35,J69+1,FALSE)*R19))</f>
        <v>0</v>
      </c>
      <c r="Q69" s="218">
        <f>IF(K69=0, 0, (HLOOKUP(K69,'[1]G-CESTD'!$A$5:$G$35,J69+1,FALSE)*R19))</f>
        <v>0</v>
      </c>
      <c r="R69" s="292">
        <v>1.081</v>
      </c>
      <c r="S69" s="293">
        <f t="shared" si="10"/>
        <v>0</v>
      </c>
      <c r="T69" s="293">
        <f t="shared" si="10"/>
        <v>0</v>
      </c>
      <c r="U69" s="293">
        <f t="shared" si="10"/>
        <v>0</v>
      </c>
      <c r="V69" s="338" t="e">
        <f t="shared" si="15"/>
        <v>#DIV/0!</v>
      </c>
      <c r="W69" s="338" t="e">
        <f t="shared" si="11"/>
        <v>#DIV/0!</v>
      </c>
      <c r="X69" s="338" t="e">
        <f t="shared" si="16"/>
        <v>#DIV/0!</v>
      </c>
    </row>
    <row r="70" spans="2:24" ht="13.8" x14ac:dyDescent="0.3">
      <c r="B70" s="296"/>
      <c r="C70" s="296" t="s">
        <v>218</v>
      </c>
      <c r="D70" s="267">
        <v>0</v>
      </c>
      <c r="E70" s="296" t="s">
        <v>617</v>
      </c>
      <c r="F70" s="296" t="s">
        <v>211</v>
      </c>
      <c r="G70" s="297"/>
      <c r="H70" s="297"/>
      <c r="I70" s="326">
        <v>0</v>
      </c>
      <c r="J70" s="267"/>
      <c r="K70" s="267"/>
      <c r="L70" s="3865" t="e">
        <f t="shared" si="12"/>
        <v>#DIV/0!</v>
      </c>
      <c r="M70" s="3865" t="e">
        <f t="shared" si="12"/>
        <v>#DIV/0!</v>
      </c>
      <c r="N70" s="218">
        <f t="shared" si="13"/>
        <v>0</v>
      </c>
      <c r="O70" s="218">
        <f t="shared" si="14"/>
        <v>0</v>
      </c>
      <c r="P70" s="218">
        <f>IF(K70=0, 0, (HLOOKUP(K70,'[1]G-CESTDWO'!$A$5:$G$35,J70+1,FALSE)*R20))</f>
        <v>0</v>
      </c>
      <c r="Q70" s="218">
        <f>IF(K70=0, 0, (HLOOKUP(K70,'[1]G-CESTD'!$A$5:$G$35,J70+1,FALSE)*R20))</f>
        <v>0</v>
      </c>
      <c r="R70" s="292">
        <v>1.081</v>
      </c>
      <c r="S70" s="293">
        <f t="shared" si="10"/>
        <v>0</v>
      </c>
      <c r="T70" s="293">
        <f t="shared" si="10"/>
        <v>0</v>
      </c>
      <c r="U70" s="293">
        <f t="shared" si="10"/>
        <v>0</v>
      </c>
      <c r="V70" s="338" t="e">
        <f t="shared" si="15"/>
        <v>#DIV/0!</v>
      </c>
      <c r="W70" s="338" t="e">
        <f t="shared" si="11"/>
        <v>#DIV/0!</v>
      </c>
      <c r="X70" s="338" t="e">
        <f t="shared" si="16"/>
        <v>#DIV/0!</v>
      </c>
    </row>
    <row r="71" spans="2:24" ht="13.8" x14ac:dyDescent="0.3">
      <c r="B71" s="296"/>
      <c r="C71" s="296" t="s">
        <v>219</v>
      </c>
      <c r="D71" s="296">
        <v>0</v>
      </c>
      <c r="E71" s="296" t="s">
        <v>617</v>
      </c>
      <c r="F71" s="296" t="s">
        <v>211</v>
      </c>
      <c r="G71" s="297"/>
      <c r="H71" s="297"/>
      <c r="I71" s="326">
        <v>0</v>
      </c>
      <c r="J71" s="267"/>
      <c r="K71" s="267"/>
      <c r="L71" s="3865" t="e">
        <f t="shared" si="12"/>
        <v>#DIV/0!</v>
      </c>
      <c r="M71" s="3865" t="e">
        <f t="shared" si="12"/>
        <v>#DIV/0!</v>
      </c>
      <c r="N71" s="218">
        <f t="shared" si="13"/>
        <v>0</v>
      </c>
      <c r="O71" s="218">
        <f t="shared" si="14"/>
        <v>0</v>
      </c>
      <c r="P71" s="218">
        <f>IF(K71=0, 0, (HLOOKUP(K71,'[1]G-CESTDWO'!$A$5:$G$35,J71+1,FALSE)*R21))</f>
        <v>0</v>
      </c>
      <c r="Q71" s="218">
        <f>IF(K71=0, 0, (HLOOKUP(K71,'[1]G-CESTD'!$A$5:$G$35,J71+1,FALSE)*R21))</f>
        <v>0</v>
      </c>
      <c r="R71" s="292">
        <v>1.081</v>
      </c>
      <c r="S71" s="293">
        <f t="shared" si="10"/>
        <v>0</v>
      </c>
      <c r="T71" s="293">
        <f t="shared" si="10"/>
        <v>0</v>
      </c>
      <c r="U71" s="293">
        <f t="shared" si="10"/>
        <v>0</v>
      </c>
      <c r="V71" s="338" t="e">
        <f t="shared" si="15"/>
        <v>#DIV/0!</v>
      </c>
      <c r="W71" s="338" t="e">
        <f t="shared" si="11"/>
        <v>#DIV/0!</v>
      </c>
      <c r="X71" s="338" t="e">
        <f t="shared" si="16"/>
        <v>#DIV/0!</v>
      </c>
    </row>
    <row r="72" spans="2:24" ht="13.8" x14ac:dyDescent="0.3">
      <c r="B72" s="296"/>
      <c r="C72" s="296" t="s">
        <v>220</v>
      </c>
      <c r="D72" s="267">
        <v>0</v>
      </c>
      <c r="E72" s="296" t="s">
        <v>617</v>
      </c>
      <c r="F72" s="296" t="s">
        <v>211</v>
      </c>
      <c r="G72" s="297"/>
      <c r="H72" s="297"/>
      <c r="I72" s="326">
        <v>0</v>
      </c>
      <c r="J72" s="267"/>
      <c r="K72" s="267"/>
      <c r="L72" s="3865" t="e">
        <f t="shared" si="12"/>
        <v>#DIV/0!</v>
      </c>
      <c r="M72" s="3865" t="e">
        <f t="shared" si="12"/>
        <v>#DIV/0!</v>
      </c>
      <c r="N72" s="218">
        <f t="shared" si="13"/>
        <v>0</v>
      </c>
      <c r="O72" s="218">
        <f t="shared" si="14"/>
        <v>0</v>
      </c>
      <c r="P72" s="218">
        <f>IF(K72=0, 0, (HLOOKUP(K72,'[1]G-CESTDWO'!$A$5:$G$35,J72+1,FALSE)*R22))</f>
        <v>0</v>
      </c>
      <c r="Q72" s="218">
        <f>IF(K72=0, 0, (HLOOKUP(K72,'[1]G-CESTD'!$A$5:$G$35,J72+1,FALSE)*R22))</f>
        <v>0</v>
      </c>
      <c r="R72" s="292">
        <v>1.081</v>
      </c>
      <c r="S72" s="293">
        <f t="shared" si="10"/>
        <v>0</v>
      </c>
      <c r="T72" s="293">
        <f t="shared" si="10"/>
        <v>0</v>
      </c>
      <c r="U72" s="293">
        <f t="shared" si="10"/>
        <v>0</v>
      </c>
      <c r="V72" s="338" t="e">
        <f t="shared" si="15"/>
        <v>#DIV/0!</v>
      </c>
      <c r="W72" s="338" t="e">
        <f t="shared" si="11"/>
        <v>#DIV/0!</v>
      </c>
      <c r="X72" s="338" t="e">
        <f t="shared" si="16"/>
        <v>#DIV/0!</v>
      </c>
    </row>
    <row r="73" spans="2:24" ht="13.8" x14ac:dyDescent="0.3">
      <c r="B73" s="296"/>
      <c r="C73" s="296" t="s">
        <v>221</v>
      </c>
      <c r="D73" s="296">
        <v>0</v>
      </c>
      <c r="E73" s="296" t="s">
        <v>617</v>
      </c>
      <c r="F73" s="296" t="s">
        <v>211</v>
      </c>
      <c r="G73" s="297"/>
      <c r="H73" s="297"/>
      <c r="I73" s="326">
        <v>0</v>
      </c>
      <c r="J73" s="267"/>
      <c r="K73" s="267"/>
      <c r="L73" s="3865" t="e">
        <f t="shared" si="12"/>
        <v>#DIV/0!</v>
      </c>
      <c r="M73" s="3865" t="e">
        <f t="shared" si="12"/>
        <v>#DIV/0!</v>
      </c>
      <c r="N73" s="218">
        <f t="shared" si="13"/>
        <v>0</v>
      </c>
      <c r="O73" s="218">
        <f t="shared" si="14"/>
        <v>0</v>
      </c>
      <c r="P73" s="218">
        <f>IF(K73=0, 0, (HLOOKUP(K73,'[1]G-CESTDWO'!$A$5:$G$35,J73+1,FALSE)*R23))</f>
        <v>0</v>
      </c>
      <c r="Q73" s="218">
        <f>IF(K73=0, 0, (HLOOKUP(K73,'[1]G-CESTD'!$A$5:$G$35,J73+1,FALSE)*R23))</f>
        <v>0</v>
      </c>
      <c r="R73" s="292">
        <v>1.081</v>
      </c>
      <c r="S73" s="293">
        <f t="shared" si="10"/>
        <v>0</v>
      </c>
      <c r="T73" s="293">
        <f t="shared" si="10"/>
        <v>0</v>
      </c>
      <c r="U73" s="293">
        <f t="shared" si="10"/>
        <v>0</v>
      </c>
      <c r="V73" s="338" t="e">
        <f t="shared" si="15"/>
        <v>#DIV/0!</v>
      </c>
      <c r="W73" s="338" t="e">
        <f t="shared" si="11"/>
        <v>#DIV/0!</v>
      </c>
      <c r="X73" s="338" t="e">
        <f t="shared" si="16"/>
        <v>#DIV/0!</v>
      </c>
    </row>
    <row r="74" spans="2:24" ht="13.8" x14ac:dyDescent="0.3">
      <c r="B74" s="296"/>
      <c r="C74" s="296" t="s">
        <v>222</v>
      </c>
      <c r="D74" s="267">
        <v>0</v>
      </c>
      <c r="E74" s="296" t="s">
        <v>617</v>
      </c>
      <c r="F74" s="296" t="s">
        <v>211</v>
      </c>
      <c r="G74" s="297"/>
      <c r="H74" s="297"/>
      <c r="I74" s="326">
        <v>0</v>
      </c>
      <c r="J74" s="267"/>
      <c r="K74" s="267"/>
      <c r="L74" s="3865" t="e">
        <f t="shared" si="12"/>
        <v>#DIV/0!</v>
      </c>
      <c r="M74" s="3865" t="e">
        <f t="shared" si="12"/>
        <v>#DIV/0!</v>
      </c>
      <c r="N74" s="218">
        <f t="shared" si="13"/>
        <v>0</v>
      </c>
      <c r="O74" s="218">
        <f t="shared" si="14"/>
        <v>0</v>
      </c>
      <c r="P74" s="218">
        <f>IF(K74=0, 0, (HLOOKUP(K74,'[1]G-CESTDWO'!$A$5:$G$35,J74+1,FALSE)*R24))</f>
        <v>0</v>
      </c>
      <c r="Q74" s="218">
        <f>IF(K74=0, 0, (HLOOKUP(K74,'[1]G-CESTD'!$A$5:$G$35,J74+1,FALSE)*R24))</f>
        <v>0</v>
      </c>
      <c r="R74" s="292">
        <v>1.081</v>
      </c>
      <c r="S74" s="293">
        <f t="shared" si="10"/>
        <v>0</v>
      </c>
      <c r="T74" s="293">
        <f t="shared" si="10"/>
        <v>0</v>
      </c>
      <c r="U74" s="293">
        <f t="shared" si="10"/>
        <v>0</v>
      </c>
      <c r="V74" s="338" t="e">
        <f t="shared" si="15"/>
        <v>#DIV/0!</v>
      </c>
      <c r="W74" s="338" t="e">
        <f t="shared" si="11"/>
        <v>#DIV/0!</v>
      </c>
      <c r="X74" s="338" t="e">
        <f t="shared" si="16"/>
        <v>#DIV/0!</v>
      </c>
    </row>
    <row r="75" spans="2:24" ht="13.8" x14ac:dyDescent="0.3">
      <c r="B75" s="296"/>
      <c r="C75" s="296" t="s">
        <v>223</v>
      </c>
      <c r="D75" s="296">
        <v>0</v>
      </c>
      <c r="E75" s="296" t="s">
        <v>617</v>
      </c>
      <c r="F75" s="296" t="s">
        <v>211</v>
      </c>
      <c r="G75" s="297"/>
      <c r="H75" s="297"/>
      <c r="I75" s="326">
        <v>0</v>
      </c>
      <c r="J75" s="267"/>
      <c r="K75" s="267"/>
      <c r="L75" s="3865" t="e">
        <f t="shared" si="12"/>
        <v>#DIV/0!</v>
      </c>
      <c r="M75" s="3865" t="e">
        <f t="shared" si="12"/>
        <v>#DIV/0!</v>
      </c>
      <c r="N75" s="218">
        <f t="shared" si="13"/>
        <v>0</v>
      </c>
      <c r="O75" s="218">
        <f t="shared" si="14"/>
        <v>0</v>
      </c>
      <c r="P75" s="218">
        <f>IF(K75=0, 0, (HLOOKUP(K75,'[1]G-CESTDWO'!$A$5:$G$35,J75+1,FALSE)*R25))</f>
        <v>0</v>
      </c>
      <c r="Q75" s="218">
        <f>IF(K75=0, 0, (HLOOKUP(K75,'[1]G-CESTD'!$A$5:$G$35,J75+1,FALSE)*R25))</f>
        <v>0</v>
      </c>
      <c r="R75" s="292">
        <v>1.081</v>
      </c>
      <c r="S75" s="293">
        <f t="shared" si="10"/>
        <v>0</v>
      </c>
      <c r="T75" s="293">
        <f t="shared" si="10"/>
        <v>0</v>
      </c>
      <c r="U75" s="293">
        <f t="shared" si="10"/>
        <v>0</v>
      </c>
      <c r="V75" s="338" t="e">
        <f t="shared" si="15"/>
        <v>#DIV/0!</v>
      </c>
      <c r="W75" s="338" t="e">
        <f t="shared" si="11"/>
        <v>#DIV/0!</v>
      </c>
      <c r="X75" s="338" t="e">
        <f t="shared" si="16"/>
        <v>#DIV/0!</v>
      </c>
    </row>
    <row r="76" spans="2:24" ht="13.8" x14ac:dyDescent="0.3">
      <c r="B76" s="296"/>
      <c r="C76" s="296" t="s">
        <v>224</v>
      </c>
      <c r="D76" s="267">
        <v>0</v>
      </c>
      <c r="E76" s="296" t="s">
        <v>617</v>
      </c>
      <c r="F76" s="296" t="s">
        <v>211</v>
      </c>
      <c r="G76" s="297"/>
      <c r="H76" s="297"/>
      <c r="I76" s="326">
        <v>0</v>
      </c>
      <c r="J76" s="267"/>
      <c r="K76" s="267"/>
      <c r="L76" s="3865" t="e">
        <f t="shared" si="12"/>
        <v>#DIV/0!</v>
      </c>
      <c r="M76" s="3865" t="e">
        <f t="shared" si="12"/>
        <v>#DIV/0!</v>
      </c>
      <c r="N76" s="218">
        <f t="shared" si="13"/>
        <v>0</v>
      </c>
      <c r="O76" s="218">
        <f t="shared" si="14"/>
        <v>0</v>
      </c>
      <c r="P76" s="218">
        <f>IF(K76=0, 0, (HLOOKUP(K76,'[1]G-CESTDWO'!$A$5:$G$35,J76+1,FALSE)*R26))</f>
        <v>0</v>
      </c>
      <c r="Q76" s="218">
        <f>IF(K76=0, 0, (HLOOKUP(K76,'[1]G-CESTD'!$A$5:$G$35,J76+1,FALSE)*R26))</f>
        <v>0</v>
      </c>
      <c r="R76" s="292">
        <v>1.081</v>
      </c>
      <c r="S76" s="293">
        <f t="shared" si="10"/>
        <v>0</v>
      </c>
      <c r="T76" s="293">
        <f t="shared" si="10"/>
        <v>0</v>
      </c>
      <c r="U76" s="293">
        <f t="shared" si="10"/>
        <v>0</v>
      </c>
      <c r="V76" s="338" t="e">
        <f t="shared" si="15"/>
        <v>#DIV/0!</v>
      </c>
      <c r="W76" s="338" t="e">
        <f t="shared" si="11"/>
        <v>#DIV/0!</v>
      </c>
      <c r="X76" s="338" t="e">
        <f t="shared" si="16"/>
        <v>#DIV/0!</v>
      </c>
    </row>
    <row r="77" spans="2:24" ht="13.8" x14ac:dyDescent="0.3">
      <c r="B77" s="296"/>
      <c r="C77" s="296" t="s">
        <v>225</v>
      </c>
      <c r="D77" s="296">
        <v>0</v>
      </c>
      <c r="E77" s="296" t="s">
        <v>617</v>
      </c>
      <c r="F77" s="296" t="s">
        <v>211</v>
      </c>
      <c r="G77" s="297"/>
      <c r="H77" s="297"/>
      <c r="I77" s="326">
        <v>0</v>
      </c>
      <c r="J77" s="267"/>
      <c r="K77" s="267"/>
      <c r="L77" s="3865" t="e">
        <f t="shared" si="12"/>
        <v>#DIV/0!</v>
      </c>
      <c r="M77" s="3865" t="e">
        <f t="shared" si="12"/>
        <v>#DIV/0!</v>
      </c>
      <c r="N77" s="218">
        <f t="shared" si="13"/>
        <v>0</v>
      </c>
      <c r="O77" s="218">
        <f t="shared" si="14"/>
        <v>0</v>
      </c>
      <c r="P77" s="218">
        <f>IF(K77=0, 0, (HLOOKUP(K77,'[1]G-CESTDWO'!$A$5:$G$35,J77+1,FALSE)*R27))</f>
        <v>0</v>
      </c>
      <c r="Q77" s="218">
        <f>IF(K77=0, 0, (HLOOKUP(K77,'[1]G-CESTD'!$A$5:$G$35,J77+1,FALSE)*R27))</f>
        <v>0</v>
      </c>
      <c r="R77" s="292">
        <v>1.081</v>
      </c>
      <c r="S77" s="293">
        <f t="shared" si="10"/>
        <v>0</v>
      </c>
      <c r="T77" s="293">
        <f t="shared" si="10"/>
        <v>0</v>
      </c>
      <c r="U77" s="293">
        <f t="shared" si="10"/>
        <v>0</v>
      </c>
      <c r="V77" s="338" t="e">
        <f t="shared" si="15"/>
        <v>#DIV/0!</v>
      </c>
      <c r="W77" s="338" t="e">
        <f t="shared" si="11"/>
        <v>#DIV/0!</v>
      </c>
      <c r="X77" s="338" t="e">
        <f t="shared" si="16"/>
        <v>#DIV/0!</v>
      </c>
    </row>
    <row r="78" spans="2:24" ht="13.8" x14ac:dyDescent="0.3">
      <c r="B78" s="296"/>
      <c r="C78" s="296" t="s">
        <v>226</v>
      </c>
      <c r="D78" s="267">
        <v>0</v>
      </c>
      <c r="E78" s="296" t="s">
        <v>617</v>
      </c>
      <c r="F78" s="296" t="s">
        <v>211</v>
      </c>
      <c r="G78" s="297"/>
      <c r="H78" s="297"/>
      <c r="I78" s="326">
        <v>0</v>
      </c>
      <c r="J78" s="267"/>
      <c r="K78" s="267"/>
      <c r="L78" s="3865" t="e">
        <f t="shared" si="12"/>
        <v>#DIV/0!</v>
      </c>
      <c r="M78" s="3865" t="e">
        <f t="shared" si="12"/>
        <v>#DIV/0!</v>
      </c>
      <c r="N78" s="218">
        <f t="shared" si="13"/>
        <v>0</v>
      </c>
      <c r="O78" s="218">
        <f t="shared" si="14"/>
        <v>0</v>
      </c>
      <c r="P78" s="218">
        <f>IF(K78=0, 0, (HLOOKUP(K78,'[1]G-CESTDWO'!$A$5:$G$35,J78+1,FALSE)*R28))</f>
        <v>0</v>
      </c>
      <c r="Q78" s="218">
        <f>IF(K78=0, 0, (HLOOKUP(K78,'[1]G-CESTD'!$A$5:$G$35,J78+1,FALSE)*R28))</f>
        <v>0</v>
      </c>
      <c r="R78" s="292">
        <v>1.081</v>
      </c>
      <c r="S78" s="293">
        <f t="shared" ref="S78:U103" si="17">M28*$H78</f>
        <v>0</v>
      </c>
      <c r="T78" s="293">
        <f t="shared" si="17"/>
        <v>0</v>
      </c>
      <c r="U78" s="293">
        <f t="shared" si="17"/>
        <v>0</v>
      </c>
      <c r="V78" s="338" t="e">
        <f t="shared" si="15"/>
        <v>#DIV/0!</v>
      </c>
      <c r="W78" s="338" t="e">
        <f t="shared" si="11"/>
        <v>#DIV/0!</v>
      </c>
      <c r="X78" s="338" t="e">
        <f t="shared" si="16"/>
        <v>#DIV/0!</v>
      </c>
    </row>
    <row r="79" spans="2:24" ht="13.8" x14ac:dyDescent="0.3">
      <c r="B79" s="296"/>
      <c r="C79" s="296" t="s">
        <v>227</v>
      </c>
      <c r="D79" s="296">
        <v>0</v>
      </c>
      <c r="E79" s="296" t="s">
        <v>617</v>
      </c>
      <c r="F79" s="296" t="s">
        <v>211</v>
      </c>
      <c r="G79" s="297"/>
      <c r="H79" s="297"/>
      <c r="I79" s="326">
        <v>0</v>
      </c>
      <c r="J79" s="267"/>
      <c r="K79" s="267"/>
      <c r="L79" s="3865" t="e">
        <f t="shared" si="12"/>
        <v>#DIV/0!</v>
      </c>
      <c r="M79" s="3865" t="e">
        <f t="shared" si="12"/>
        <v>#DIV/0!</v>
      </c>
      <c r="N79" s="218">
        <f t="shared" si="13"/>
        <v>0</v>
      </c>
      <c r="O79" s="218">
        <f t="shared" si="14"/>
        <v>0</v>
      </c>
      <c r="P79" s="218">
        <f>IF(K79=0, 0, (HLOOKUP(K79,'[1]G-CESTDWO'!$A$5:$G$35,J79+1,FALSE)*R29))</f>
        <v>0</v>
      </c>
      <c r="Q79" s="218">
        <f>IF(K79=0, 0, (HLOOKUP(K79,'[1]G-CESTD'!$A$5:$G$35,J79+1,FALSE)*R29))</f>
        <v>0</v>
      </c>
      <c r="R79" s="292">
        <v>1.081</v>
      </c>
      <c r="S79" s="293">
        <f t="shared" si="17"/>
        <v>0</v>
      </c>
      <c r="T79" s="293">
        <f t="shared" si="17"/>
        <v>0</v>
      </c>
      <c r="U79" s="293">
        <f t="shared" si="17"/>
        <v>0</v>
      </c>
      <c r="V79" s="338" t="e">
        <f t="shared" si="15"/>
        <v>#DIV/0!</v>
      </c>
      <c r="W79" s="338" t="e">
        <f t="shared" si="11"/>
        <v>#DIV/0!</v>
      </c>
      <c r="X79" s="338" t="e">
        <f t="shared" si="16"/>
        <v>#DIV/0!</v>
      </c>
    </row>
    <row r="80" spans="2:24" ht="13.8" x14ac:dyDescent="0.3">
      <c r="B80" s="296"/>
      <c r="C80" s="296" t="s">
        <v>228</v>
      </c>
      <c r="D80" s="296">
        <v>0</v>
      </c>
      <c r="E80" s="296" t="s">
        <v>617</v>
      </c>
      <c r="F80" s="296" t="s">
        <v>211</v>
      </c>
      <c r="G80" s="297"/>
      <c r="H80" s="297"/>
      <c r="I80" s="326">
        <v>0</v>
      </c>
      <c r="J80" s="267"/>
      <c r="K80" s="267"/>
      <c r="L80" s="3865" t="e">
        <f t="shared" si="12"/>
        <v>#DIV/0!</v>
      </c>
      <c r="M80" s="3865" t="e">
        <f t="shared" si="12"/>
        <v>#DIV/0!</v>
      </c>
      <c r="N80" s="218">
        <f t="shared" si="13"/>
        <v>0</v>
      </c>
      <c r="O80" s="218">
        <f t="shared" si="14"/>
        <v>0</v>
      </c>
      <c r="P80" s="218">
        <f>IF(K80=0, 0, (HLOOKUP(K80,'[1]G-CESTDWO'!$A$5:$G$35,J80+1,FALSE)*R30))</f>
        <v>0</v>
      </c>
      <c r="Q80" s="218">
        <f>IF(K80=0, 0, (HLOOKUP(K80,'[1]G-CESTD'!$A$5:$G$35,J80+1,FALSE)*R30))</f>
        <v>0</v>
      </c>
      <c r="R80" s="292">
        <v>1.081</v>
      </c>
      <c r="S80" s="293">
        <f t="shared" si="17"/>
        <v>0</v>
      </c>
      <c r="T80" s="293">
        <f t="shared" si="17"/>
        <v>0</v>
      </c>
      <c r="U80" s="293">
        <f t="shared" si="17"/>
        <v>0</v>
      </c>
      <c r="V80" s="338" t="e">
        <f t="shared" si="15"/>
        <v>#DIV/0!</v>
      </c>
      <c r="W80" s="338" t="e">
        <f t="shared" si="11"/>
        <v>#DIV/0!</v>
      </c>
      <c r="X80" s="338" t="e">
        <f t="shared" si="16"/>
        <v>#DIV/0!</v>
      </c>
    </row>
    <row r="81" spans="2:21" ht="13.8" x14ac:dyDescent="0.3">
      <c r="B81" s="296"/>
      <c r="C81" s="296" t="s">
        <v>229</v>
      </c>
      <c r="D81" s="296">
        <v>0</v>
      </c>
      <c r="E81" s="296" t="s">
        <v>617</v>
      </c>
      <c r="F81" s="296" t="s">
        <v>211</v>
      </c>
      <c r="G81" s="297"/>
      <c r="H81" s="297"/>
      <c r="I81" s="326">
        <v>0</v>
      </c>
      <c r="J81" s="267"/>
      <c r="K81" s="267"/>
      <c r="L81" s="3865" t="e">
        <f t="shared" si="12"/>
        <v>#DIV/0!</v>
      </c>
      <c r="M81" s="3865" t="e">
        <f t="shared" si="12"/>
        <v>#DIV/0!</v>
      </c>
      <c r="N81" s="218">
        <f t="shared" si="13"/>
        <v>0</v>
      </c>
      <c r="O81" s="218">
        <f t="shared" si="14"/>
        <v>0</v>
      </c>
      <c r="P81" s="218">
        <f>IF(K81=0, 0, (HLOOKUP(K81,'[1]G-CESTDWO'!$A$5:$G$35,J81+1,FALSE)*R31))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2"/>
        <v>#DIV/0!</v>
      </c>
      <c r="M82" s="3865" t="e">
        <f t="shared" si="12"/>
        <v>#DIV/0!</v>
      </c>
      <c r="N82" s="218">
        <f t="shared" si="13"/>
        <v>0</v>
      </c>
      <c r="O82" s="218">
        <f t="shared" si="14"/>
        <v>0</v>
      </c>
      <c r="P82" s="218">
        <f>IF(K82=0, 0, (HLOOKUP(K82,'[1]G-CESTDWO'!$A$5:$G$35,J82+1,FALSE)*R32))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2"/>
        <v>#DIV/0!</v>
      </c>
      <c r="M83" s="3865" t="e">
        <f t="shared" si="12"/>
        <v>#DIV/0!</v>
      </c>
      <c r="N83" s="218">
        <f t="shared" si="13"/>
        <v>0</v>
      </c>
      <c r="O83" s="218">
        <f t="shared" si="14"/>
        <v>0</v>
      </c>
      <c r="P83" s="218">
        <f>IF(K83=0, 0, (HLOOKUP(K83,'[1]G-CESTDWO'!$A$5:$G$35,J83+1,FALSE)*R33))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2"/>
        <v>#DIV/0!</v>
      </c>
      <c r="M84" s="3865" t="e">
        <f t="shared" si="12"/>
        <v>#DIV/0!</v>
      </c>
      <c r="N84" s="218">
        <f t="shared" si="13"/>
        <v>0</v>
      </c>
      <c r="O84" s="218">
        <f t="shared" si="14"/>
        <v>0</v>
      </c>
      <c r="P84" s="218">
        <f>IF(K84=0, 0, (HLOOKUP(K84,'[1]G-CESTDWO'!$A$5:$G$35,J84+1,FALSE)*R34))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2"/>
        <v>#DIV/0!</v>
      </c>
      <c r="M85" s="3865" t="e">
        <f t="shared" si="12"/>
        <v>#DIV/0!</v>
      </c>
      <c r="N85" s="218">
        <f t="shared" si="13"/>
        <v>0</v>
      </c>
      <c r="O85" s="218">
        <f t="shared" si="14"/>
        <v>0</v>
      </c>
      <c r="P85" s="218">
        <f>IF(K85=0, 0, (HLOOKUP(K85,'[1]G-CESTDWO'!$A$5:$G$35,J85+1,FALSE)*R35))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2"/>
        <v>#DIV/0!</v>
      </c>
      <c r="M86" s="3865" t="e">
        <f t="shared" si="12"/>
        <v>#DIV/0!</v>
      </c>
      <c r="N86" s="218">
        <f t="shared" si="13"/>
        <v>0</v>
      </c>
      <c r="O86" s="218">
        <f t="shared" si="14"/>
        <v>0</v>
      </c>
      <c r="P86" s="218">
        <f>IF(K86=0, 0, (HLOOKUP(K86,'[1]G-CESTDWO'!$A$5:$G$35,J86+1,FALSE)*R36))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2"/>
        <v>#DIV/0!</v>
      </c>
      <c r="M87" s="3865" t="e">
        <f t="shared" si="12"/>
        <v>#DIV/0!</v>
      </c>
      <c r="N87" s="218">
        <f t="shared" si="13"/>
        <v>0</v>
      </c>
      <c r="O87" s="218">
        <f t="shared" si="14"/>
        <v>0</v>
      </c>
      <c r="P87" s="218">
        <f>IF(K87=0, 0, (HLOOKUP(K87,'[1]G-CESTDWO'!$A$5:$G$35,J87+1,FALSE)*R37))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2"/>
        <v>#DIV/0!</v>
      </c>
      <c r="M88" s="3865" t="e">
        <f t="shared" si="12"/>
        <v>#DIV/0!</v>
      </c>
      <c r="N88" s="218">
        <f t="shared" si="13"/>
        <v>0</v>
      </c>
      <c r="O88" s="218">
        <f t="shared" si="14"/>
        <v>0</v>
      </c>
      <c r="P88" s="218">
        <f>IF(K88=0, 0, (HLOOKUP(K88,'[1]G-CESTDWO'!$A$5:$G$35,J88+1,FALSE)*R38))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2"/>
        <v>#DIV/0!</v>
      </c>
      <c r="M89" s="3865" t="e">
        <f t="shared" si="12"/>
        <v>#DIV/0!</v>
      </c>
      <c r="N89" s="218">
        <f t="shared" si="13"/>
        <v>0</v>
      </c>
      <c r="O89" s="218">
        <f t="shared" si="14"/>
        <v>0</v>
      </c>
      <c r="P89" s="218">
        <f>IF(K89=0, 0, (HLOOKUP(K89,'[1]G-CESTDWO'!$A$5:$G$35,J89+1,FALSE)*R39))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2"/>
        <v>#DIV/0!</v>
      </c>
      <c r="M90" s="3865" t="e">
        <f t="shared" si="12"/>
        <v>#DIV/0!</v>
      </c>
      <c r="N90" s="218">
        <f t="shared" si="13"/>
        <v>0</v>
      </c>
      <c r="O90" s="218">
        <f t="shared" si="14"/>
        <v>0</v>
      </c>
      <c r="P90" s="218">
        <f>IF(K90=0, 0, (HLOOKUP(K90,'[1]G-CESTDWO'!$A$5:$G$35,J90+1,FALSE)*R40))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2"/>
        <v>#DIV/0!</v>
      </c>
      <c r="M91" s="3865" t="e">
        <f t="shared" si="12"/>
        <v>#DIV/0!</v>
      </c>
      <c r="N91" s="218">
        <f t="shared" si="13"/>
        <v>0</v>
      </c>
      <c r="O91" s="218">
        <f t="shared" si="14"/>
        <v>0</v>
      </c>
      <c r="P91" s="218">
        <f>IF(K91=0, 0, (HLOOKUP(K91,'[1]G-CESTDWO'!$A$5:$G$35,J91+1,FALSE)*R41))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2"/>
        <v>#DIV/0!</v>
      </c>
      <c r="M92" s="3865" t="e">
        <f t="shared" si="12"/>
        <v>#DIV/0!</v>
      </c>
      <c r="N92" s="218">
        <f t="shared" si="13"/>
        <v>0</v>
      </c>
      <c r="O92" s="218">
        <f t="shared" si="14"/>
        <v>0</v>
      </c>
      <c r="P92" s="218">
        <f>IF(K92=0, 0, (HLOOKUP(K92,'[1]G-CESTDWO'!$A$5:$G$35,J92+1,FALSE)*R42))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2"/>
        <v>#DIV/0!</v>
      </c>
      <c r="M93" s="3865" t="e">
        <f t="shared" si="12"/>
        <v>#DIV/0!</v>
      </c>
      <c r="N93" s="218">
        <f t="shared" si="13"/>
        <v>0</v>
      </c>
      <c r="O93" s="218">
        <f t="shared" si="14"/>
        <v>0</v>
      </c>
      <c r="P93" s="218">
        <f>IF(K93=0, 0, (HLOOKUP(K93,'[1]G-CESTDWO'!$A$5:$G$35,J93+1,FALSE)*R43))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2"/>
        <v>#DIV/0!</v>
      </c>
      <c r="M94" s="3865" t="e">
        <f t="shared" si="12"/>
        <v>#DIV/0!</v>
      </c>
      <c r="N94" s="218">
        <f t="shared" si="13"/>
        <v>0</v>
      </c>
      <c r="O94" s="218">
        <f t="shared" si="14"/>
        <v>0</v>
      </c>
      <c r="P94" s="218">
        <f>IF(K94=0, 0, (HLOOKUP(K94,'[1]G-CESTDWO'!$A$5:$G$35,J94+1,FALSE)*R44))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2"/>
        <v>#DIV/0!</v>
      </c>
      <c r="M95" s="3865" t="e">
        <f t="shared" si="12"/>
        <v>#DIV/0!</v>
      </c>
      <c r="N95" s="218">
        <f t="shared" si="13"/>
        <v>0</v>
      </c>
      <c r="O95" s="218">
        <f t="shared" si="14"/>
        <v>0</v>
      </c>
      <c r="P95" s="218">
        <f>IF(K95=0, 0, (HLOOKUP(K95,'[1]G-CESTDWO'!$A$5:$G$35,J95+1,FALSE)*R45))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2"/>
        <v>#DIV/0!</v>
      </c>
      <c r="M96" s="3865" t="e">
        <f t="shared" si="12"/>
        <v>#DIV/0!</v>
      </c>
      <c r="N96" s="218">
        <f t="shared" si="13"/>
        <v>0</v>
      </c>
      <c r="O96" s="218">
        <f t="shared" si="14"/>
        <v>0</v>
      </c>
      <c r="P96" s="218">
        <f>IF(K96=0, 0, (HLOOKUP(K96,'[1]G-CESTDWO'!$A$5:$G$35,J96+1,FALSE)*R46))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2"/>
        <v>#DIV/0!</v>
      </c>
      <c r="M97" s="3865" t="e">
        <f t="shared" si="12"/>
        <v>#DIV/0!</v>
      </c>
      <c r="N97" s="218">
        <f t="shared" si="13"/>
        <v>0</v>
      </c>
      <c r="O97" s="218">
        <f t="shared" si="14"/>
        <v>0</v>
      </c>
      <c r="P97" s="218">
        <f>IF(K97=0, 0, (HLOOKUP(K97,'[1]G-CESTDWO'!$A$5:$G$35,J97+1,FALSE)*R47))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2"/>
        <v>#DIV/0!</v>
      </c>
      <c r="M98" s="3865" t="e">
        <f t="shared" si="12"/>
        <v>#DIV/0!</v>
      </c>
      <c r="N98" s="218">
        <f t="shared" si="13"/>
        <v>0</v>
      </c>
      <c r="O98" s="218">
        <f t="shared" si="14"/>
        <v>0</v>
      </c>
      <c r="P98" s="218">
        <f>IF(K98=0, 0, (HLOOKUP(K98,'[1]G-CESTDWO'!$A$5:$G$35,J98+1,FALSE)*R48))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2"/>
        <v>#DIV/0!</v>
      </c>
      <c r="M99" s="3865" t="e">
        <f t="shared" si="12"/>
        <v>#DIV/0!</v>
      </c>
      <c r="N99" s="218">
        <f t="shared" si="13"/>
        <v>0</v>
      </c>
      <c r="O99" s="218">
        <f t="shared" si="14"/>
        <v>0</v>
      </c>
      <c r="P99" s="218">
        <f>IF(K99=0, 0, (HLOOKUP(K99,'[1]G-CESTDWO'!$A$5:$G$35,J99+1,FALSE)*R49))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2"/>
        <v>#DIV/0!</v>
      </c>
      <c r="M100" s="3865" t="e">
        <f t="shared" si="12"/>
        <v>#DIV/0!</v>
      </c>
      <c r="N100" s="218">
        <f t="shared" si="13"/>
        <v>0</v>
      </c>
      <c r="O100" s="218">
        <f t="shared" si="14"/>
        <v>0</v>
      </c>
      <c r="P100" s="218">
        <f>IF(K100=0, 0, (HLOOKUP(K100,'[1]G-CESTDWO'!$A$5:$G$35,J100+1,FALSE)*R50))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 t="shared" si="12"/>
        <v>#DIV/0!</v>
      </c>
      <c r="M101" s="3865" t="e">
        <f t="shared" si="12"/>
        <v>#DIV/0!</v>
      </c>
      <c r="N101" s="218">
        <f t="shared" si="13"/>
        <v>0</v>
      </c>
      <c r="O101" s="218">
        <f t="shared" si="14"/>
        <v>0</v>
      </c>
      <c r="P101" s="218">
        <f>IF(K101=0, 0, (HLOOKUP(K101,'[1]G-CESTDWO'!$A$5:$G$35,J101+1,FALSE)*R51))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 t="shared" si="12"/>
        <v>#DIV/0!</v>
      </c>
      <c r="M102" s="3865" t="e">
        <f t="shared" si="12"/>
        <v>#DIV/0!</v>
      </c>
      <c r="N102" s="218">
        <f t="shared" si="13"/>
        <v>0</v>
      </c>
      <c r="O102" s="218">
        <f t="shared" si="14"/>
        <v>0</v>
      </c>
      <c r="P102" s="218">
        <f>IF(K102=0, 0, (HLOOKUP(K102,'[1]G-CESTDWO'!$A$5:$G$35,J102+1,FALSE)*R52))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5" t="e">
        <f t="shared" si="12"/>
        <v>#DIV/0!</v>
      </c>
      <c r="M103" s="3865" t="e">
        <f t="shared" si="12"/>
        <v>#DIV/0!</v>
      </c>
      <c r="N103" s="218">
        <f t="shared" si="13"/>
        <v>0</v>
      </c>
      <c r="O103" s="218">
        <f t="shared" si="14"/>
        <v>0</v>
      </c>
      <c r="P103" s="218">
        <f>IF(K103=0, 0, (HLOOKUP(K103,'[1]G-CESTDWO'!$A$5:$G$35,J103+1,FALSE)*R53))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0</v>
      </c>
      <c r="H104" s="301">
        <f>U104</f>
        <v>0</v>
      </c>
      <c r="I104" s="302">
        <f>SUM(I62:I103)</f>
        <v>0</v>
      </c>
      <c r="J104" s="303" t="e">
        <f>ROUND(SUMPRODUCT(J62:J103,R12:R53)/R54,0)</f>
        <v>#DIV/0!</v>
      </c>
      <c r="K104" s="274"/>
      <c r="L104" s="3866" t="e">
        <f>P104/N104</f>
        <v>#DIV/0!</v>
      </c>
      <c r="M104" s="3867" t="e">
        <f>Q104/O104</f>
        <v>#DIV/0!</v>
      </c>
      <c r="N104" s="311">
        <f>SUM(N62:N103)</f>
        <v>0</v>
      </c>
      <c r="O104" s="311">
        <f>SUM(O62:O103)</f>
        <v>0</v>
      </c>
      <c r="P104" s="311">
        <f>SUM(P62:P103)</f>
        <v>0</v>
      </c>
      <c r="Q104" s="311">
        <f>SUM(Q62:Q103)</f>
        <v>0</v>
      </c>
      <c r="R104" s="307">
        <v>1.081</v>
      </c>
      <c r="S104" s="308">
        <f>SUM(S62:S103)</f>
        <v>0</v>
      </c>
      <c r="T104" s="308">
        <f>SUM(T62:T103)</f>
        <v>0</v>
      </c>
      <c r="U104" s="308">
        <f>SUM(U62:U103)</f>
        <v>0</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5" top="0.34" bottom="0.37" header="0.3" footer="0.3"/>
  <pageSetup paperSize="17" scale="53"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H37" sqref="H37"/>
    </sheetView>
  </sheetViews>
  <sheetFormatPr defaultRowHeight="13.2" x14ac:dyDescent="0.25"/>
  <cols>
    <col min="1" max="1" width="16.33203125" style="3369" customWidth="1"/>
    <col min="2" max="2" width="17.33203125" customWidth="1"/>
    <col min="3" max="3" width="38.6640625" customWidth="1"/>
    <col min="4" max="4" width="15.6640625" style="19" customWidth="1"/>
    <col min="5" max="5" width="15.6640625" customWidth="1"/>
    <col min="6" max="6" width="14.109375"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22.109375" bestFit="1" customWidth="1"/>
    <col min="18" max="18" width="17.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19.33203125" bestFit="1" customWidth="1"/>
    <col min="259" max="259" width="43.88671875" customWidth="1"/>
    <col min="260" max="260" width="19.33203125" customWidth="1"/>
    <col min="261" max="261" width="15.33203125" bestFit="1" customWidth="1"/>
    <col min="262" max="262" width="12"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22.109375" bestFit="1" customWidth="1"/>
    <col min="274" max="274" width="17.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19.33203125" bestFit="1" customWidth="1"/>
    <col min="515" max="515" width="43.88671875" customWidth="1"/>
    <col min="516" max="516" width="19.33203125" customWidth="1"/>
    <col min="517" max="517" width="15.33203125" bestFit="1" customWidth="1"/>
    <col min="518" max="518" width="12"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22.109375" bestFit="1" customWidth="1"/>
    <col min="530" max="530" width="17.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19.33203125" bestFit="1" customWidth="1"/>
    <col min="771" max="771" width="43.88671875" customWidth="1"/>
    <col min="772" max="772" width="19.33203125" customWidth="1"/>
    <col min="773" max="773" width="15.33203125" bestFit="1" customWidth="1"/>
    <col min="774" max="774" width="12"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22.109375" bestFit="1" customWidth="1"/>
    <col min="786" max="786" width="17.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19.33203125" bestFit="1" customWidth="1"/>
    <col min="1027" max="1027" width="43.88671875" customWidth="1"/>
    <col min="1028" max="1028" width="19.33203125" customWidth="1"/>
    <col min="1029" max="1029" width="15.33203125" bestFit="1" customWidth="1"/>
    <col min="1030" max="1030" width="12"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22.109375" bestFit="1" customWidth="1"/>
    <col min="1042" max="1042" width="17.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19.33203125" bestFit="1" customWidth="1"/>
    <col min="1283" max="1283" width="43.88671875" customWidth="1"/>
    <col min="1284" max="1284" width="19.33203125" customWidth="1"/>
    <col min="1285" max="1285" width="15.33203125" bestFit="1" customWidth="1"/>
    <col min="1286" max="1286" width="12"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22.109375" bestFit="1" customWidth="1"/>
    <col min="1298" max="1298" width="17.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19.33203125" bestFit="1" customWidth="1"/>
    <col min="1539" max="1539" width="43.88671875" customWidth="1"/>
    <col min="1540" max="1540" width="19.33203125" customWidth="1"/>
    <col min="1541" max="1541" width="15.33203125" bestFit="1" customWidth="1"/>
    <col min="1542" max="1542" width="12"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22.109375" bestFit="1" customWidth="1"/>
    <col min="1554" max="1554" width="17.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19.33203125" bestFit="1" customWidth="1"/>
    <col min="1795" max="1795" width="43.88671875" customWidth="1"/>
    <col min="1796" max="1796" width="19.33203125" customWidth="1"/>
    <col min="1797" max="1797" width="15.33203125" bestFit="1" customWidth="1"/>
    <col min="1798" max="1798" width="12"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22.109375" bestFit="1" customWidth="1"/>
    <col min="1810" max="1810" width="17.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19.33203125" bestFit="1" customWidth="1"/>
    <col min="2051" max="2051" width="43.88671875" customWidth="1"/>
    <col min="2052" max="2052" width="19.33203125" customWidth="1"/>
    <col min="2053" max="2053" width="15.33203125" bestFit="1" customWidth="1"/>
    <col min="2054" max="2054" width="12"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22.109375" bestFit="1" customWidth="1"/>
    <col min="2066" max="2066" width="17.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19.33203125" bestFit="1" customWidth="1"/>
    <col min="2307" max="2307" width="43.88671875" customWidth="1"/>
    <col min="2308" max="2308" width="19.33203125" customWidth="1"/>
    <col min="2309" max="2309" width="15.33203125" bestFit="1" customWidth="1"/>
    <col min="2310" max="2310" width="12"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22.109375" bestFit="1" customWidth="1"/>
    <col min="2322" max="2322" width="17.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19.33203125" bestFit="1" customWidth="1"/>
    <col min="2563" max="2563" width="43.88671875" customWidth="1"/>
    <col min="2564" max="2564" width="19.33203125" customWidth="1"/>
    <col min="2565" max="2565" width="15.33203125" bestFit="1" customWidth="1"/>
    <col min="2566" max="2566" width="12"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22.109375" bestFit="1" customWidth="1"/>
    <col min="2578" max="2578" width="17.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19.33203125" bestFit="1" customWidth="1"/>
    <col min="2819" max="2819" width="43.88671875" customWidth="1"/>
    <col min="2820" max="2820" width="19.33203125" customWidth="1"/>
    <col min="2821" max="2821" width="15.33203125" bestFit="1" customWidth="1"/>
    <col min="2822" max="2822" width="12"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22.109375" bestFit="1" customWidth="1"/>
    <col min="2834" max="2834" width="17.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19.33203125" bestFit="1" customWidth="1"/>
    <col min="3075" max="3075" width="43.88671875" customWidth="1"/>
    <col min="3076" max="3076" width="19.33203125" customWidth="1"/>
    <col min="3077" max="3077" width="15.33203125" bestFit="1" customWidth="1"/>
    <col min="3078" max="3078" width="12"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22.109375" bestFit="1" customWidth="1"/>
    <col min="3090" max="3090" width="17.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19.33203125" bestFit="1" customWidth="1"/>
    <col min="3331" max="3331" width="43.88671875" customWidth="1"/>
    <col min="3332" max="3332" width="19.33203125" customWidth="1"/>
    <col min="3333" max="3333" width="15.33203125" bestFit="1" customWidth="1"/>
    <col min="3334" max="3334" width="12"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22.109375" bestFit="1" customWidth="1"/>
    <col min="3346" max="3346" width="17.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19.33203125" bestFit="1" customWidth="1"/>
    <col min="3587" max="3587" width="43.88671875" customWidth="1"/>
    <col min="3588" max="3588" width="19.33203125" customWidth="1"/>
    <col min="3589" max="3589" width="15.33203125" bestFit="1" customWidth="1"/>
    <col min="3590" max="3590" width="12"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22.109375" bestFit="1" customWidth="1"/>
    <col min="3602" max="3602" width="17.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19.33203125" bestFit="1" customWidth="1"/>
    <col min="3843" max="3843" width="43.88671875" customWidth="1"/>
    <col min="3844" max="3844" width="19.33203125" customWidth="1"/>
    <col min="3845" max="3845" width="15.33203125" bestFit="1" customWidth="1"/>
    <col min="3846" max="3846" width="12"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22.109375" bestFit="1" customWidth="1"/>
    <col min="3858" max="3858" width="17.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19.33203125" bestFit="1" customWidth="1"/>
    <col min="4099" max="4099" width="43.88671875" customWidth="1"/>
    <col min="4100" max="4100" width="19.33203125" customWidth="1"/>
    <col min="4101" max="4101" width="15.33203125" bestFit="1" customWidth="1"/>
    <col min="4102" max="4102" width="12"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22.109375" bestFit="1" customWidth="1"/>
    <col min="4114" max="4114" width="17.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19.33203125" bestFit="1" customWidth="1"/>
    <col min="4355" max="4355" width="43.88671875" customWidth="1"/>
    <col min="4356" max="4356" width="19.33203125" customWidth="1"/>
    <col min="4357" max="4357" width="15.33203125" bestFit="1" customWidth="1"/>
    <col min="4358" max="4358" width="12"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22.109375" bestFit="1" customWidth="1"/>
    <col min="4370" max="4370" width="17.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19.33203125" bestFit="1" customWidth="1"/>
    <col min="4611" max="4611" width="43.88671875" customWidth="1"/>
    <col min="4612" max="4612" width="19.33203125" customWidth="1"/>
    <col min="4613" max="4613" width="15.33203125" bestFit="1" customWidth="1"/>
    <col min="4614" max="4614" width="12"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22.109375" bestFit="1" customWidth="1"/>
    <col min="4626" max="4626" width="17.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19.33203125" bestFit="1" customWidth="1"/>
    <col min="4867" max="4867" width="43.88671875" customWidth="1"/>
    <col min="4868" max="4868" width="19.33203125" customWidth="1"/>
    <col min="4869" max="4869" width="15.33203125" bestFit="1" customWidth="1"/>
    <col min="4870" max="4870" width="12"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22.109375" bestFit="1" customWidth="1"/>
    <col min="4882" max="4882" width="17.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19.33203125" bestFit="1" customWidth="1"/>
    <col min="5123" max="5123" width="43.88671875" customWidth="1"/>
    <col min="5124" max="5124" width="19.33203125" customWidth="1"/>
    <col min="5125" max="5125" width="15.33203125" bestFit="1" customWidth="1"/>
    <col min="5126" max="5126" width="12"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22.109375" bestFit="1" customWidth="1"/>
    <col min="5138" max="5138" width="17.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19.33203125" bestFit="1" customWidth="1"/>
    <col min="5379" max="5379" width="43.88671875" customWidth="1"/>
    <col min="5380" max="5380" width="19.33203125" customWidth="1"/>
    <col min="5381" max="5381" width="15.33203125" bestFit="1" customWidth="1"/>
    <col min="5382" max="5382" width="12"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22.109375" bestFit="1" customWidth="1"/>
    <col min="5394" max="5394" width="17.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19.33203125" bestFit="1" customWidth="1"/>
    <col min="5635" max="5635" width="43.88671875" customWidth="1"/>
    <col min="5636" max="5636" width="19.33203125" customWidth="1"/>
    <col min="5637" max="5637" width="15.33203125" bestFit="1" customWidth="1"/>
    <col min="5638" max="5638" width="12"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22.109375" bestFit="1" customWidth="1"/>
    <col min="5650" max="5650" width="17.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19.33203125" bestFit="1" customWidth="1"/>
    <col min="5891" max="5891" width="43.88671875" customWidth="1"/>
    <col min="5892" max="5892" width="19.33203125" customWidth="1"/>
    <col min="5893" max="5893" width="15.33203125" bestFit="1" customWidth="1"/>
    <col min="5894" max="5894" width="12"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22.109375" bestFit="1" customWidth="1"/>
    <col min="5906" max="5906" width="17.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19.33203125" bestFit="1" customWidth="1"/>
    <col min="6147" max="6147" width="43.88671875" customWidth="1"/>
    <col min="6148" max="6148" width="19.33203125" customWidth="1"/>
    <col min="6149" max="6149" width="15.33203125" bestFit="1" customWidth="1"/>
    <col min="6150" max="6150" width="12"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22.109375" bestFit="1" customWidth="1"/>
    <col min="6162" max="6162" width="17.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19.33203125" bestFit="1" customWidth="1"/>
    <col min="6403" max="6403" width="43.88671875" customWidth="1"/>
    <col min="6404" max="6404" width="19.33203125" customWidth="1"/>
    <col min="6405" max="6405" width="15.33203125" bestFit="1" customWidth="1"/>
    <col min="6406" max="6406" width="12"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22.109375" bestFit="1" customWidth="1"/>
    <col min="6418" max="6418" width="17.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19.33203125" bestFit="1" customWidth="1"/>
    <col min="6659" max="6659" width="43.88671875" customWidth="1"/>
    <col min="6660" max="6660" width="19.33203125" customWidth="1"/>
    <col min="6661" max="6661" width="15.33203125" bestFit="1" customWidth="1"/>
    <col min="6662" max="6662" width="12"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22.109375" bestFit="1" customWidth="1"/>
    <col min="6674" max="6674" width="17.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19.33203125" bestFit="1" customWidth="1"/>
    <col min="6915" max="6915" width="43.88671875" customWidth="1"/>
    <col min="6916" max="6916" width="19.33203125" customWidth="1"/>
    <col min="6917" max="6917" width="15.33203125" bestFit="1" customWidth="1"/>
    <col min="6918" max="6918" width="12"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22.109375" bestFit="1" customWidth="1"/>
    <col min="6930" max="6930" width="17.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19.33203125" bestFit="1" customWidth="1"/>
    <col min="7171" max="7171" width="43.88671875" customWidth="1"/>
    <col min="7172" max="7172" width="19.33203125" customWidth="1"/>
    <col min="7173" max="7173" width="15.33203125" bestFit="1" customWidth="1"/>
    <col min="7174" max="7174" width="12"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22.109375" bestFit="1" customWidth="1"/>
    <col min="7186" max="7186" width="17.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19.33203125" bestFit="1" customWidth="1"/>
    <col min="7427" max="7427" width="43.88671875" customWidth="1"/>
    <col min="7428" max="7428" width="19.33203125" customWidth="1"/>
    <col min="7429" max="7429" width="15.33203125" bestFit="1" customWidth="1"/>
    <col min="7430" max="7430" width="12"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22.109375" bestFit="1" customWidth="1"/>
    <col min="7442" max="7442" width="17.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19.33203125" bestFit="1" customWidth="1"/>
    <col min="7683" max="7683" width="43.88671875" customWidth="1"/>
    <col min="7684" max="7684" width="19.33203125" customWidth="1"/>
    <col min="7685" max="7685" width="15.33203125" bestFit="1" customWidth="1"/>
    <col min="7686" max="7686" width="12"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22.109375" bestFit="1" customWidth="1"/>
    <col min="7698" max="7698" width="17.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19.33203125" bestFit="1" customWidth="1"/>
    <col min="7939" max="7939" width="43.88671875" customWidth="1"/>
    <col min="7940" max="7940" width="19.33203125" customWidth="1"/>
    <col min="7941" max="7941" width="15.33203125" bestFit="1" customWidth="1"/>
    <col min="7942" max="7942" width="12"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22.109375" bestFit="1" customWidth="1"/>
    <col min="7954" max="7954" width="17.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19.33203125" bestFit="1" customWidth="1"/>
    <col min="8195" max="8195" width="43.88671875" customWidth="1"/>
    <col min="8196" max="8196" width="19.33203125" customWidth="1"/>
    <col min="8197" max="8197" width="15.33203125" bestFit="1" customWidth="1"/>
    <col min="8198" max="8198" width="12"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22.109375" bestFit="1" customWidth="1"/>
    <col min="8210" max="8210" width="17.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19.33203125" bestFit="1" customWidth="1"/>
    <col min="8451" max="8451" width="43.88671875" customWidth="1"/>
    <col min="8452" max="8452" width="19.33203125" customWidth="1"/>
    <col min="8453" max="8453" width="15.33203125" bestFit="1" customWidth="1"/>
    <col min="8454" max="8454" width="12"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22.109375" bestFit="1" customWidth="1"/>
    <col min="8466" max="8466" width="17.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19.33203125" bestFit="1" customWidth="1"/>
    <col min="8707" max="8707" width="43.88671875" customWidth="1"/>
    <col min="8708" max="8708" width="19.33203125" customWidth="1"/>
    <col min="8709" max="8709" width="15.33203125" bestFit="1" customWidth="1"/>
    <col min="8710" max="8710" width="12"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22.109375" bestFit="1" customWidth="1"/>
    <col min="8722" max="8722" width="17.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19.33203125" bestFit="1" customWidth="1"/>
    <col min="8963" max="8963" width="43.88671875" customWidth="1"/>
    <col min="8964" max="8964" width="19.33203125" customWidth="1"/>
    <col min="8965" max="8965" width="15.33203125" bestFit="1" customWidth="1"/>
    <col min="8966" max="8966" width="12"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22.109375" bestFit="1" customWidth="1"/>
    <col min="8978" max="8978" width="17.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19.33203125" bestFit="1" customWidth="1"/>
    <col min="9219" max="9219" width="43.88671875" customWidth="1"/>
    <col min="9220" max="9220" width="19.33203125" customWidth="1"/>
    <col min="9221" max="9221" width="15.33203125" bestFit="1" customWidth="1"/>
    <col min="9222" max="9222" width="12"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22.109375" bestFit="1" customWidth="1"/>
    <col min="9234" max="9234" width="17.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19.33203125" bestFit="1" customWidth="1"/>
    <col min="9475" max="9475" width="43.88671875" customWidth="1"/>
    <col min="9476" max="9476" width="19.33203125" customWidth="1"/>
    <col min="9477" max="9477" width="15.33203125" bestFit="1" customWidth="1"/>
    <col min="9478" max="9478" width="12"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22.109375" bestFit="1" customWidth="1"/>
    <col min="9490" max="9490" width="17.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19.33203125" bestFit="1" customWidth="1"/>
    <col min="9731" max="9731" width="43.88671875" customWidth="1"/>
    <col min="9732" max="9732" width="19.33203125" customWidth="1"/>
    <col min="9733" max="9733" width="15.33203125" bestFit="1" customWidth="1"/>
    <col min="9734" max="9734" width="12"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22.109375" bestFit="1" customWidth="1"/>
    <col min="9746" max="9746" width="17.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19.33203125" bestFit="1" customWidth="1"/>
    <col min="9987" max="9987" width="43.88671875" customWidth="1"/>
    <col min="9988" max="9988" width="19.33203125" customWidth="1"/>
    <col min="9989" max="9989" width="15.33203125" bestFit="1" customWidth="1"/>
    <col min="9990" max="9990" width="12"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22.109375" bestFit="1" customWidth="1"/>
    <col min="10002" max="10002" width="17.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19.33203125" bestFit="1" customWidth="1"/>
    <col min="10243" max="10243" width="43.88671875" customWidth="1"/>
    <col min="10244" max="10244" width="19.33203125" customWidth="1"/>
    <col min="10245" max="10245" width="15.33203125" bestFit="1" customWidth="1"/>
    <col min="10246" max="10246" width="12"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22.109375" bestFit="1" customWidth="1"/>
    <col min="10258" max="10258" width="17.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19.33203125" bestFit="1" customWidth="1"/>
    <col min="10499" max="10499" width="43.88671875" customWidth="1"/>
    <col min="10500" max="10500" width="19.33203125" customWidth="1"/>
    <col min="10501" max="10501" width="15.33203125" bestFit="1" customWidth="1"/>
    <col min="10502" max="10502" width="12"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22.109375" bestFit="1" customWidth="1"/>
    <col min="10514" max="10514" width="17.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19.33203125" bestFit="1" customWidth="1"/>
    <col min="10755" max="10755" width="43.88671875" customWidth="1"/>
    <col min="10756" max="10756" width="19.33203125" customWidth="1"/>
    <col min="10757" max="10757" width="15.33203125" bestFit="1" customWidth="1"/>
    <col min="10758" max="10758" width="12"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22.109375" bestFit="1" customWidth="1"/>
    <col min="10770" max="10770" width="17.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19.33203125" bestFit="1" customWidth="1"/>
    <col min="11011" max="11011" width="43.88671875" customWidth="1"/>
    <col min="11012" max="11012" width="19.33203125" customWidth="1"/>
    <col min="11013" max="11013" width="15.33203125" bestFit="1" customWidth="1"/>
    <col min="11014" max="11014" width="12"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22.109375" bestFit="1" customWidth="1"/>
    <col min="11026" max="11026" width="17.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19.33203125" bestFit="1" customWidth="1"/>
    <col min="11267" max="11267" width="43.88671875" customWidth="1"/>
    <col min="11268" max="11268" width="19.33203125" customWidth="1"/>
    <col min="11269" max="11269" width="15.33203125" bestFit="1" customWidth="1"/>
    <col min="11270" max="11270" width="12"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22.109375" bestFit="1" customWidth="1"/>
    <col min="11282" max="11282" width="17.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19.33203125" bestFit="1" customWidth="1"/>
    <col min="11523" max="11523" width="43.88671875" customWidth="1"/>
    <col min="11524" max="11524" width="19.33203125" customWidth="1"/>
    <col min="11525" max="11525" width="15.33203125" bestFit="1" customWidth="1"/>
    <col min="11526" max="11526" width="12"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22.109375" bestFit="1" customWidth="1"/>
    <col min="11538" max="11538" width="17.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19.33203125" bestFit="1" customWidth="1"/>
    <col min="11779" max="11779" width="43.88671875" customWidth="1"/>
    <col min="11780" max="11780" width="19.33203125" customWidth="1"/>
    <col min="11781" max="11781" width="15.33203125" bestFit="1" customWidth="1"/>
    <col min="11782" max="11782" width="12"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22.109375" bestFit="1" customWidth="1"/>
    <col min="11794" max="11794" width="17.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19.33203125" bestFit="1" customWidth="1"/>
    <col min="12035" max="12035" width="43.88671875" customWidth="1"/>
    <col min="12036" max="12036" width="19.33203125" customWidth="1"/>
    <col min="12037" max="12037" width="15.33203125" bestFit="1" customWidth="1"/>
    <col min="12038" max="12038" width="12"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22.109375" bestFit="1" customWidth="1"/>
    <col min="12050" max="12050" width="17.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19.33203125" bestFit="1" customWidth="1"/>
    <col min="12291" max="12291" width="43.88671875" customWidth="1"/>
    <col min="12292" max="12292" width="19.33203125" customWidth="1"/>
    <col min="12293" max="12293" width="15.33203125" bestFit="1" customWidth="1"/>
    <col min="12294" max="12294" width="12"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22.109375" bestFit="1" customWidth="1"/>
    <col min="12306" max="12306" width="17.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19.33203125" bestFit="1" customWidth="1"/>
    <col min="12547" max="12547" width="43.88671875" customWidth="1"/>
    <col min="12548" max="12548" width="19.33203125" customWidth="1"/>
    <col min="12549" max="12549" width="15.33203125" bestFit="1" customWidth="1"/>
    <col min="12550" max="12550" width="12"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22.109375" bestFit="1" customWidth="1"/>
    <col min="12562" max="12562" width="17.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19.33203125" bestFit="1" customWidth="1"/>
    <col min="12803" max="12803" width="43.88671875" customWidth="1"/>
    <col min="12804" max="12804" width="19.33203125" customWidth="1"/>
    <col min="12805" max="12805" width="15.33203125" bestFit="1" customWidth="1"/>
    <col min="12806" max="12806" width="12"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22.109375" bestFit="1" customWidth="1"/>
    <col min="12818" max="12818" width="17.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19.33203125" bestFit="1" customWidth="1"/>
    <col min="13059" max="13059" width="43.88671875" customWidth="1"/>
    <col min="13060" max="13060" width="19.33203125" customWidth="1"/>
    <col min="13061" max="13061" width="15.33203125" bestFit="1" customWidth="1"/>
    <col min="13062" max="13062" width="12"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22.109375" bestFit="1" customWidth="1"/>
    <col min="13074" max="13074" width="17.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19.33203125" bestFit="1" customWidth="1"/>
    <col min="13315" max="13315" width="43.88671875" customWidth="1"/>
    <col min="13316" max="13316" width="19.33203125" customWidth="1"/>
    <col min="13317" max="13317" width="15.33203125" bestFit="1" customWidth="1"/>
    <col min="13318" max="13318" width="12"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22.109375" bestFit="1" customWidth="1"/>
    <col min="13330" max="13330" width="17.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19.33203125" bestFit="1" customWidth="1"/>
    <col min="13571" max="13571" width="43.88671875" customWidth="1"/>
    <col min="13572" max="13572" width="19.33203125" customWidth="1"/>
    <col min="13573" max="13573" width="15.33203125" bestFit="1" customWidth="1"/>
    <col min="13574" max="13574" width="12"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22.109375" bestFit="1" customWidth="1"/>
    <col min="13586" max="13586" width="17.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19.33203125" bestFit="1" customWidth="1"/>
    <col min="13827" max="13827" width="43.88671875" customWidth="1"/>
    <col min="13828" max="13828" width="19.33203125" customWidth="1"/>
    <col min="13829" max="13829" width="15.33203125" bestFit="1" customWidth="1"/>
    <col min="13830" max="13830" width="12"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22.109375" bestFit="1" customWidth="1"/>
    <col min="13842" max="13842" width="17.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19.33203125" bestFit="1" customWidth="1"/>
    <col min="14083" max="14083" width="43.88671875" customWidth="1"/>
    <col min="14084" max="14084" width="19.33203125" customWidth="1"/>
    <col min="14085" max="14085" width="15.33203125" bestFit="1" customWidth="1"/>
    <col min="14086" max="14086" width="12"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22.109375" bestFit="1" customWidth="1"/>
    <col min="14098" max="14098" width="17.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19.33203125" bestFit="1" customWidth="1"/>
    <col min="14339" max="14339" width="43.88671875" customWidth="1"/>
    <col min="14340" max="14340" width="19.33203125" customWidth="1"/>
    <col min="14341" max="14341" width="15.33203125" bestFit="1" customWidth="1"/>
    <col min="14342" max="14342" width="12"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22.109375" bestFit="1" customWidth="1"/>
    <col min="14354" max="14354" width="17.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19.33203125" bestFit="1" customWidth="1"/>
    <col min="14595" max="14595" width="43.88671875" customWidth="1"/>
    <col min="14596" max="14596" width="19.33203125" customWidth="1"/>
    <col min="14597" max="14597" width="15.33203125" bestFit="1" customWidth="1"/>
    <col min="14598" max="14598" width="12"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22.109375" bestFit="1" customWidth="1"/>
    <col min="14610" max="14610" width="17.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19.33203125" bestFit="1" customWidth="1"/>
    <col min="14851" max="14851" width="43.88671875" customWidth="1"/>
    <col min="14852" max="14852" width="19.33203125" customWidth="1"/>
    <col min="14853" max="14853" width="15.33203125" bestFit="1" customWidth="1"/>
    <col min="14854" max="14854" width="12"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22.109375" bestFit="1" customWidth="1"/>
    <col min="14866" max="14866" width="17.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19.33203125" bestFit="1" customWidth="1"/>
    <col min="15107" max="15107" width="43.88671875" customWidth="1"/>
    <col min="15108" max="15108" width="19.33203125" customWidth="1"/>
    <col min="15109" max="15109" width="15.33203125" bestFit="1" customWidth="1"/>
    <col min="15110" max="15110" width="12"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22.109375" bestFit="1" customWidth="1"/>
    <col min="15122" max="15122" width="17.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19.33203125" bestFit="1" customWidth="1"/>
    <col min="15363" max="15363" width="43.88671875" customWidth="1"/>
    <col min="15364" max="15364" width="19.33203125" customWidth="1"/>
    <col min="15365" max="15365" width="15.33203125" bestFit="1" customWidth="1"/>
    <col min="15366" max="15366" width="12"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22.109375" bestFit="1" customWidth="1"/>
    <col min="15378" max="15378" width="17.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19.33203125" bestFit="1" customWidth="1"/>
    <col min="15619" max="15619" width="43.88671875" customWidth="1"/>
    <col min="15620" max="15620" width="19.33203125" customWidth="1"/>
    <col min="15621" max="15621" width="15.33203125" bestFit="1" customWidth="1"/>
    <col min="15622" max="15622" width="12"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22.109375" bestFit="1" customWidth="1"/>
    <col min="15634" max="15634" width="17.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19.33203125" bestFit="1" customWidth="1"/>
    <col min="15875" max="15875" width="43.88671875" customWidth="1"/>
    <col min="15876" max="15876" width="19.33203125" customWidth="1"/>
    <col min="15877" max="15877" width="15.33203125" bestFit="1" customWidth="1"/>
    <col min="15878" max="15878" width="12"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22.109375" bestFit="1" customWidth="1"/>
    <col min="15890" max="15890" width="17.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19.33203125" bestFit="1" customWidth="1"/>
    <col min="16131" max="16131" width="43.88671875" customWidth="1"/>
    <col min="16132" max="16132" width="19.33203125" customWidth="1"/>
    <col min="16133" max="16133" width="15.33203125" bestFit="1" customWidth="1"/>
    <col min="16134" max="16134" width="12"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22.109375" bestFit="1" customWidth="1"/>
    <col min="16146" max="16146" width="17.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3.5" customHeight="1" thickBot="1" x14ac:dyDescent="0.35">
      <c r="B1" s="3881"/>
      <c r="D1" s="390"/>
      <c r="F1" s="202"/>
      <c r="G1" s="202">
        <f>C3</f>
        <v>18230738</v>
      </c>
      <c r="H1" s="202" t="str">
        <f>C4</f>
        <v>Home Energy Reports G</v>
      </c>
      <c r="I1" s="202"/>
    </row>
    <row r="2" spans="2:22" ht="16.2" thickBot="1" x14ac:dyDescent="0.35">
      <c r="B2" s="202" t="s">
        <v>131</v>
      </c>
      <c r="C2" s="203" t="s">
        <v>697</v>
      </c>
      <c r="G2" s="204" t="s">
        <v>8</v>
      </c>
      <c r="Q2" s="4765" t="s">
        <v>612</v>
      </c>
      <c r="R2" s="4765"/>
      <c r="S2" s="4762" t="s">
        <v>132</v>
      </c>
      <c r="T2" s="4763"/>
      <c r="U2" s="4764"/>
      <c r="V2" s="4766" t="s">
        <v>133</v>
      </c>
    </row>
    <row r="3" spans="2:22" ht="16.2" thickBot="1" x14ac:dyDescent="0.35">
      <c r="B3" s="203" t="s">
        <v>6</v>
      </c>
      <c r="C3" s="203">
        <v>18230738</v>
      </c>
      <c r="D3" s="391"/>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699</v>
      </c>
      <c r="F4" s="202">
        <v>2011</v>
      </c>
      <c r="G4" s="210">
        <f>B12</f>
        <v>11532</v>
      </c>
      <c r="H4" s="211">
        <f>B17</f>
        <v>1200</v>
      </c>
      <c r="I4" s="211">
        <f>B22</f>
        <v>8021</v>
      </c>
      <c r="J4" s="211">
        <f>B27</f>
        <v>3600</v>
      </c>
      <c r="K4" s="211">
        <f>B32</f>
        <v>243</v>
      </c>
      <c r="L4" s="211">
        <f>B37</f>
        <v>133131</v>
      </c>
      <c r="M4" s="211">
        <f>B42</f>
        <v>0</v>
      </c>
      <c r="N4" s="211">
        <f>B47</f>
        <v>779</v>
      </c>
      <c r="O4" s="211">
        <f>B52</f>
        <v>97138</v>
      </c>
      <c r="P4" s="211">
        <f>B53</f>
        <v>0</v>
      </c>
      <c r="Q4" s="213">
        <f>B54</f>
        <v>255644</v>
      </c>
      <c r="R4" s="372">
        <f>T54</f>
        <v>0</v>
      </c>
      <c r="S4" s="331">
        <f>O4/Q4</f>
        <v>0.37997371344525982</v>
      </c>
      <c r="T4" s="331">
        <f>(J4+(H4*1.63))/Q4</f>
        <v>2.1733347936974855E-2</v>
      </c>
      <c r="U4" s="331">
        <f>L4/Q4</f>
        <v>0.52076716058268535</v>
      </c>
      <c r="V4" s="216" t="e">
        <f>Q4/R4</f>
        <v>#DIV/0!</v>
      </c>
    </row>
    <row r="5" spans="2:22" ht="16.2" thickBot="1" x14ac:dyDescent="0.35">
      <c r="B5" s="202" t="s">
        <v>34</v>
      </c>
      <c r="F5" s="202">
        <v>2012</v>
      </c>
      <c r="G5" s="217">
        <f>D12</f>
        <v>8337.5999999999985</v>
      </c>
      <c r="H5" s="218">
        <f>D17</f>
        <v>6000</v>
      </c>
      <c r="I5" s="218">
        <f>D22</f>
        <v>9032.6879999999983</v>
      </c>
      <c r="J5" s="218">
        <f>D27</f>
        <v>0</v>
      </c>
      <c r="K5" s="218">
        <f>D32</f>
        <v>0</v>
      </c>
      <c r="L5" s="218">
        <f>D37</f>
        <v>37149</v>
      </c>
      <c r="M5" s="218">
        <f>D42</f>
        <v>0</v>
      </c>
      <c r="N5" s="218">
        <f>D47</f>
        <v>0</v>
      </c>
      <c r="O5" s="218">
        <f>D52</f>
        <v>37149</v>
      </c>
      <c r="P5" s="218">
        <f>D53</f>
        <v>0</v>
      </c>
      <c r="Q5" s="219">
        <f>SUM(G5:P5)</f>
        <v>97668.288</v>
      </c>
      <c r="R5" s="373">
        <f>P54</f>
        <v>346724</v>
      </c>
      <c r="S5" s="332">
        <f>O5/Q5</f>
        <v>0.38035887349637992</v>
      </c>
      <c r="T5" s="332">
        <f>(J5+(H5*1.63))/Q5</f>
        <v>0.10013485646436231</v>
      </c>
      <c r="U5" s="332">
        <f>L5/Q5</f>
        <v>0.38035887349637992</v>
      </c>
      <c r="V5" s="222">
        <f>Q5/R5</f>
        <v>0.28168885915021746</v>
      </c>
    </row>
    <row r="6" spans="2:22" ht="16.2" thickBot="1" x14ac:dyDescent="0.35">
      <c r="C6" s="202" t="s">
        <v>414</v>
      </c>
      <c r="F6" s="202">
        <v>2013</v>
      </c>
      <c r="G6" s="374">
        <f>E12</f>
        <v>8587.7250000000004</v>
      </c>
      <c r="H6" s="375">
        <f>E17</f>
        <v>6150</v>
      </c>
      <c r="I6" s="375">
        <f>E22</f>
        <v>9284.7667500000007</v>
      </c>
      <c r="J6" s="375">
        <f>E27</f>
        <v>0</v>
      </c>
      <c r="K6" s="375">
        <f>E32</f>
        <v>0</v>
      </c>
      <c r="L6" s="375">
        <f>E37</f>
        <v>37149</v>
      </c>
      <c r="M6" s="375">
        <f>E42</f>
        <v>0</v>
      </c>
      <c r="N6" s="375">
        <f>E47</f>
        <v>0</v>
      </c>
      <c r="O6" s="375">
        <f>E52</f>
        <v>37149</v>
      </c>
      <c r="P6" s="375">
        <f>E53</f>
        <v>0</v>
      </c>
      <c r="Q6" s="219">
        <f>SUM(G6:P6)</f>
        <v>98320.491750000001</v>
      </c>
      <c r="R6" s="373">
        <f>Q54</f>
        <v>346724</v>
      </c>
      <c r="S6" s="332">
        <f>O6/Q6</f>
        <v>0.37783578314944705</v>
      </c>
      <c r="T6" s="332">
        <f>(J6+(H6*1.63))/Q6</f>
        <v>0.10195738265314362</v>
      </c>
      <c r="U6" s="332">
        <f>L6/Q6</f>
        <v>0.37783578314944705</v>
      </c>
      <c r="V6" s="222">
        <f>Q6/R6</f>
        <v>0.28356990502532275</v>
      </c>
    </row>
    <row r="7" spans="2:22" ht="16.2" thickBot="1" x14ac:dyDescent="0.35">
      <c r="C7" s="227" t="s">
        <v>604</v>
      </c>
      <c r="F7" s="376" t="s">
        <v>178</v>
      </c>
      <c r="G7" s="377">
        <f>SUM(G5:G6)</f>
        <v>16925.324999999997</v>
      </c>
      <c r="H7" s="377">
        <f t="shared" ref="H7:P7" si="0">SUM(H5:H6)</f>
        <v>12150</v>
      </c>
      <c r="I7" s="377">
        <f t="shared" si="0"/>
        <v>18317.454749999997</v>
      </c>
      <c r="J7" s="377">
        <f t="shared" si="0"/>
        <v>0</v>
      </c>
      <c r="K7" s="377">
        <f t="shared" si="0"/>
        <v>0</v>
      </c>
      <c r="L7" s="377">
        <f t="shared" si="0"/>
        <v>74298</v>
      </c>
      <c r="M7" s="377">
        <f t="shared" si="0"/>
        <v>0</v>
      </c>
      <c r="N7" s="377">
        <f t="shared" si="0"/>
        <v>0</v>
      </c>
      <c r="O7" s="377">
        <f t="shared" si="0"/>
        <v>74298</v>
      </c>
      <c r="P7" s="377">
        <f t="shared" si="0"/>
        <v>0</v>
      </c>
      <c r="Q7" s="378">
        <f>SUM(G7:P7)</f>
        <v>195988.77974999999</v>
      </c>
      <c r="R7" s="379">
        <f>R54</f>
        <v>693448</v>
      </c>
      <c r="S7" s="332">
        <f>O7/Q7</f>
        <v>0.37909313020252122</v>
      </c>
      <c r="T7" s="332">
        <f>(J7+(H7*1.63))/Q7</f>
        <v>0.1010491520242245</v>
      </c>
      <c r="U7" s="332">
        <f>L7/Q7</f>
        <v>0.37909313020252122</v>
      </c>
      <c r="V7" s="222">
        <f>Q7/R7</f>
        <v>0.28262938208777005</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11532</v>
      </c>
      <c r="C12" s="244" t="s">
        <v>161</v>
      </c>
      <c r="D12" s="354">
        <f>SUM(D13:D16)</f>
        <v>8337.5999999999985</v>
      </c>
      <c r="E12" s="354">
        <f>SUM(E13:E16)</f>
        <v>8587.7250000000004</v>
      </c>
      <c r="F12" s="396">
        <f>D12+E12</f>
        <v>16925.324999999997</v>
      </c>
      <c r="H12" s="135"/>
      <c r="I12" s="247" t="str">
        <f t="shared" ref="I12:I53" si="1">C62</f>
        <v>Home Energy Reports - OPOWER</v>
      </c>
      <c r="J12" s="248"/>
      <c r="K12" s="249"/>
      <c r="L12" s="380">
        <f t="shared" ref="L12:L53" si="2">D62</f>
        <v>14</v>
      </c>
      <c r="M12" s="267">
        <v>24766</v>
      </c>
      <c r="N12" s="267">
        <v>24766</v>
      </c>
      <c r="O12" s="252">
        <f>M12+N12</f>
        <v>49532</v>
      </c>
      <c r="P12" s="381">
        <f t="shared" ref="P12:R27" si="3">M12*$D62</f>
        <v>346724</v>
      </c>
      <c r="Q12" s="381">
        <f t="shared" si="3"/>
        <v>346724</v>
      </c>
      <c r="R12" s="382">
        <f t="shared" si="3"/>
        <v>693448</v>
      </c>
      <c r="T12" s="267"/>
    </row>
    <row r="13" spans="2:22" ht="13.8" x14ac:dyDescent="0.3">
      <c r="B13" s="256"/>
      <c r="C13" s="257" t="s">
        <v>265</v>
      </c>
      <c r="D13" s="357">
        <v>5558.4</v>
      </c>
      <c r="E13" s="357">
        <v>5725.15</v>
      </c>
      <c r="F13" s="357">
        <f>SUM(D13:E13)</f>
        <v>11283.55</v>
      </c>
      <c r="H13" s="135"/>
      <c r="I13" s="259" t="str">
        <f t="shared" si="1"/>
        <v>Measure 2</v>
      </c>
      <c r="J13" s="260"/>
      <c r="K13" s="261"/>
      <c r="L13" s="380">
        <f t="shared" si="2"/>
        <v>0</v>
      </c>
      <c r="M13" s="267">
        <v>40000</v>
      </c>
      <c r="N13" s="267">
        <v>40000</v>
      </c>
      <c r="O13" s="252">
        <f t="shared" ref="O13:O53" si="4">M13+N13</f>
        <v>80000</v>
      </c>
      <c r="P13" s="381">
        <f t="shared" si="3"/>
        <v>0</v>
      </c>
      <c r="Q13" s="381">
        <f t="shared" si="3"/>
        <v>0</v>
      </c>
      <c r="R13" s="382">
        <f t="shared" si="3"/>
        <v>0</v>
      </c>
      <c r="T13" s="296"/>
    </row>
    <row r="14" spans="2:22" ht="13.8" x14ac:dyDescent="0.3">
      <c r="B14" s="264"/>
      <c r="C14" s="265" t="s">
        <v>417</v>
      </c>
      <c r="D14" s="357">
        <v>0</v>
      </c>
      <c r="E14" s="357">
        <v>0</v>
      </c>
      <c r="F14" s="357">
        <f t="shared" ref="F14:F24" si="5">SUM(D14:E14)</f>
        <v>0</v>
      </c>
      <c r="H14" s="135"/>
      <c r="I14" s="259" t="str">
        <f t="shared" si="1"/>
        <v>Measure 3</v>
      </c>
      <c r="J14" s="260"/>
      <c r="K14" s="261"/>
      <c r="L14" s="380">
        <f t="shared" si="2"/>
        <v>0</v>
      </c>
      <c r="M14" s="267">
        <v>0</v>
      </c>
      <c r="N14" s="267">
        <v>0</v>
      </c>
      <c r="O14" s="252">
        <f t="shared" si="4"/>
        <v>0</v>
      </c>
      <c r="P14" s="381">
        <f t="shared" si="3"/>
        <v>0</v>
      </c>
      <c r="Q14" s="381">
        <f t="shared" si="3"/>
        <v>0</v>
      </c>
      <c r="R14" s="382">
        <f t="shared" si="3"/>
        <v>0</v>
      </c>
      <c r="T14" s="296"/>
    </row>
    <row r="15" spans="2:22" ht="13.8" x14ac:dyDescent="0.3">
      <c r="B15" s="264"/>
      <c r="C15" s="265" t="s">
        <v>418</v>
      </c>
      <c r="D15" s="360">
        <v>2779.2</v>
      </c>
      <c r="E15" s="360">
        <v>2862.5750000000003</v>
      </c>
      <c r="F15" s="357">
        <f t="shared" si="5"/>
        <v>5641.7749999999996</v>
      </c>
      <c r="H15" s="135"/>
      <c r="I15" s="259" t="str">
        <f t="shared" si="1"/>
        <v>Measure 4</v>
      </c>
      <c r="J15" s="260"/>
      <c r="K15" s="261"/>
      <c r="L15" s="380">
        <f t="shared" si="2"/>
        <v>0</v>
      </c>
      <c r="M15" s="267">
        <v>0</v>
      </c>
      <c r="N15" s="267">
        <v>0</v>
      </c>
      <c r="O15" s="252">
        <f t="shared" si="4"/>
        <v>0</v>
      </c>
      <c r="P15" s="381">
        <f t="shared" si="3"/>
        <v>0</v>
      </c>
      <c r="Q15" s="381">
        <f t="shared" si="3"/>
        <v>0</v>
      </c>
      <c r="R15" s="382">
        <f t="shared" si="3"/>
        <v>0</v>
      </c>
      <c r="T15" s="296"/>
    </row>
    <row r="16" spans="2:22" ht="14.4" thickBot="1" x14ac:dyDescent="0.35">
      <c r="B16" s="264"/>
      <c r="C16" s="265" t="s">
        <v>419</v>
      </c>
      <c r="D16" s="360">
        <v>0</v>
      </c>
      <c r="E16" s="360">
        <v>0</v>
      </c>
      <c r="F16" s="357">
        <f t="shared" si="5"/>
        <v>0</v>
      </c>
      <c r="H16" s="135"/>
      <c r="I16" s="259" t="str">
        <f t="shared" si="1"/>
        <v>Measure 5</v>
      </c>
      <c r="J16" s="260"/>
      <c r="K16" s="261"/>
      <c r="L16" s="380">
        <f t="shared" si="2"/>
        <v>0</v>
      </c>
      <c r="M16" s="267">
        <v>0</v>
      </c>
      <c r="N16" s="267">
        <v>0</v>
      </c>
      <c r="O16" s="252">
        <f t="shared" si="4"/>
        <v>0</v>
      </c>
      <c r="P16" s="381">
        <f t="shared" si="3"/>
        <v>0</v>
      </c>
      <c r="Q16" s="381">
        <f t="shared" si="3"/>
        <v>0</v>
      </c>
      <c r="R16" s="382">
        <f t="shared" si="3"/>
        <v>0</v>
      </c>
      <c r="T16" s="296"/>
    </row>
    <row r="17" spans="2:20" ht="14.4" thickBot="1" x14ac:dyDescent="0.35">
      <c r="B17" s="272">
        <v>1200</v>
      </c>
      <c r="C17" s="244" t="s">
        <v>166</v>
      </c>
      <c r="D17" s="354">
        <f>SUM(D18:D21)</f>
        <v>6000</v>
      </c>
      <c r="E17" s="354">
        <f>SUM(E18:E21)</f>
        <v>6150</v>
      </c>
      <c r="F17" s="396">
        <f>D17+E17</f>
        <v>12150</v>
      </c>
      <c r="H17" s="135"/>
      <c r="I17" s="259" t="str">
        <f t="shared" si="1"/>
        <v>Measure 6</v>
      </c>
      <c r="J17" s="260"/>
      <c r="K17" s="261"/>
      <c r="L17" s="380">
        <f t="shared" si="2"/>
        <v>0</v>
      </c>
      <c r="M17" s="267">
        <v>0</v>
      </c>
      <c r="N17" s="267">
        <v>0</v>
      </c>
      <c r="O17" s="252">
        <f t="shared" si="4"/>
        <v>0</v>
      </c>
      <c r="P17" s="381">
        <f t="shared" si="3"/>
        <v>0</v>
      </c>
      <c r="Q17" s="381">
        <f t="shared" si="3"/>
        <v>0</v>
      </c>
      <c r="R17" s="382">
        <f t="shared" si="3"/>
        <v>0</v>
      </c>
      <c r="T17" s="296"/>
    </row>
    <row r="18" spans="2:20" ht="13.8" x14ac:dyDescent="0.3">
      <c r="B18" s="256"/>
      <c r="C18" s="346" t="s">
        <v>420</v>
      </c>
      <c r="D18" s="357">
        <v>3000</v>
      </c>
      <c r="E18" s="357">
        <v>3075</v>
      </c>
      <c r="F18" s="357">
        <f t="shared" si="5"/>
        <v>6075</v>
      </c>
      <c r="H18" s="135"/>
      <c r="I18" s="259" t="str">
        <f t="shared" si="1"/>
        <v>Measure 7</v>
      </c>
      <c r="J18" s="260"/>
      <c r="K18" s="261"/>
      <c r="L18" s="380">
        <f t="shared" si="2"/>
        <v>0</v>
      </c>
      <c r="M18" s="267">
        <v>0</v>
      </c>
      <c r="N18" s="267">
        <v>0</v>
      </c>
      <c r="O18" s="252">
        <f t="shared" si="4"/>
        <v>0</v>
      </c>
      <c r="P18" s="381">
        <f t="shared" si="3"/>
        <v>0</v>
      </c>
      <c r="Q18" s="381">
        <f t="shared" si="3"/>
        <v>0</v>
      </c>
      <c r="R18" s="382">
        <f t="shared" si="3"/>
        <v>0</v>
      </c>
      <c r="T18" s="296"/>
    </row>
    <row r="19" spans="2:20" ht="13.8" x14ac:dyDescent="0.3">
      <c r="B19" s="264"/>
      <c r="C19" s="348" t="s">
        <v>421</v>
      </c>
      <c r="D19" s="357">
        <v>3000</v>
      </c>
      <c r="E19" s="357">
        <v>3075</v>
      </c>
      <c r="F19" s="357">
        <f t="shared" si="5"/>
        <v>6075</v>
      </c>
      <c r="H19" s="135"/>
      <c r="I19" s="259" t="str">
        <f t="shared" si="1"/>
        <v>Measure 8</v>
      </c>
      <c r="J19" s="260"/>
      <c r="K19" s="261"/>
      <c r="L19" s="380">
        <f t="shared" si="2"/>
        <v>0</v>
      </c>
      <c r="M19" s="267">
        <v>0</v>
      </c>
      <c r="N19" s="267">
        <v>0</v>
      </c>
      <c r="O19" s="252">
        <f t="shared" si="4"/>
        <v>0</v>
      </c>
      <c r="P19" s="381">
        <f t="shared" si="3"/>
        <v>0</v>
      </c>
      <c r="Q19" s="381">
        <f t="shared" si="3"/>
        <v>0</v>
      </c>
      <c r="R19" s="382">
        <f t="shared" si="3"/>
        <v>0</v>
      </c>
      <c r="T19" s="296"/>
    </row>
    <row r="20" spans="2:20" ht="13.8" x14ac:dyDescent="0.3">
      <c r="B20" s="264"/>
      <c r="C20" s="265" t="s">
        <v>164</v>
      </c>
      <c r="D20" s="360">
        <v>0</v>
      </c>
      <c r="E20" s="360"/>
      <c r="F20" s="357">
        <f t="shared" si="5"/>
        <v>0</v>
      </c>
      <c r="H20" s="135"/>
      <c r="I20" s="259" t="str">
        <f t="shared" si="1"/>
        <v>Measure 9</v>
      </c>
      <c r="J20" s="260"/>
      <c r="K20" s="261"/>
      <c r="L20" s="380">
        <f t="shared" si="2"/>
        <v>0</v>
      </c>
      <c r="M20" s="267">
        <v>0</v>
      </c>
      <c r="N20" s="267">
        <v>0</v>
      </c>
      <c r="O20" s="252">
        <f t="shared" si="4"/>
        <v>0</v>
      </c>
      <c r="P20" s="381">
        <f t="shared" si="3"/>
        <v>0</v>
      </c>
      <c r="Q20" s="381">
        <f t="shared" si="3"/>
        <v>0</v>
      </c>
      <c r="R20" s="382">
        <f t="shared" si="3"/>
        <v>0</v>
      </c>
      <c r="T20" s="296"/>
    </row>
    <row r="21" spans="2:20" ht="14.4" thickBot="1" x14ac:dyDescent="0.35">
      <c r="B21" s="264"/>
      <c r="C21" s="265" t="s">
        <v>165</v>
      </c>
      <c r="D21" s="360">
        <v>0</v>
      </c>
      <c r="E21" s="360"/>
      <c r="F21" s="357">
        <f t="shared" si="5"/>
        <v>0</v>
      </c>
      <c r="H21" s="135"/>
      <c r="I21" s="259" t="str">
        <f t="shared" si="1"/>
        <v>Measure 10</v>
      </c>
      <c r="J21" s="260"/>
      <c r="K21" s="261"/>
      <c r="L21" s="380">
        <f t="shared" si="2"/>
        <v>0</v>
      </c>
      <c r="M21" s="267">
        <v>0</v>
      </c>
      <c r="N21" s="267">
        <v>0</v>
      </c>
      <c r="O21" s="252">
        <f t="shared" si="4"/>
        <v>0</v>
      </c>
      <c r="P21" s="381">
        <f t="shared" si="3"/>
        <v>0</v>
      </c>
      <c r="Q21" s="381">
        <f t="shared" si="3"/>
        <v>0</v>
      </c>
      <c r="R21" s="382">
        <f t="shared" si="3"/>
        <v>0</v>
      </c>
      <c r="T21" s="296"/>
    </row>
    <row r="22" spans="2:20" ht="14.4" thickBot="1" x14ac:dyDescent="0.35">
      <c r="B22" s="272">
        <v>8021</v>
      </c>
      <c r="C22" s="244" t="s">
        <v>167</v>
      </c>
      <c r="D22" s="354">
        <f>SUM(D23:D26)</f>
        <v>9032.6879999999983</v>
      </c>
      <c r="E22" s="354">
        <f>SUM(E23:E26)</f>
        <v>9284.7667500000007</v>
      </c>
      <c r="F22" s="396">
        <f>D22+E22</f>
        <v>18317.454749999997</v>
      </c>
      <c r="G22" s="55"/>
      <c r="H22" s="135"/>
      <c r="I22" s="259" t="str">
        <f t="shared" si="1"/>
        <v>Measure 11</v>
      </c>
      <c r="J22" s="260"/>
      <c r="K22" s="261"/>
      <c r="L22" s="380">
        <f t="shared" si="2"/>
        <v>0</v>
      </c>
      <c r="M22" s="267">
        <v>0</v>
      </c>
      <c r="N22" s="267">
        <v>0</v>
      </c>
      <c r="O22" s="252">
        <f t="shared" si="4"/>
        <v>0</v>
      </c>
      <c r="P22" s="381">
        <f t="shared" si="3"/>
        <v>0</v>
      </c>
      <c r="Q22" s="381">
        <f t="shared" si="3"/>
        <v>0</v>
      </c>
      <c r="R22" s="382">
        <f t="shared" si="3"/>
        <v>0</v>
      </c>
      <c r="T22" s="296"/>
    </row>
    <row r="23" spans="2:20" ht="13.8" x14ac:dyDescent="0.3">
      <c r="B23" s="256"/>
      <c r="C23" s="257" t="s">
        <v>168</v>
      </c>
      <c r="D23" s="357">
        <f>0.63*D12</f>
        <v>5252.6879999999992</v>
      </c>
      <c r="E23" s="357">
        <f>0.63*E12</f>
        <v>5410.2667500000007</v>
      </c>
      <c r="F23" s="357">
        <f t="shared" si="5"/>
        <v>10662.954750000001</v>
      </c>
      <c r="H23" s="135"/>
      <c r="I23" s="259" t="str">
        <f t="shared" si="1"/>
        <v>Measure 12</v>
      </c>
      <c r="J23" s="260"/>
      <c r="K23" s="261"/>
      <c r="L23" s="380">
        <f t="shared" si="2"/>
        <v>0</v>
      </c>
      <c r="M23" s="267">
        <v>0</v>
      </c>
      <c r="N23" s="267">
        <v>0</v>
      </c>
      <c r="O23" s="252">
        <f t="shared" si="4"/>
        <v>0</v>
      </c>
      <c r="P23" s="381">
        <f t="shared" si="3"/>
        <v>0</v>
      </c>
      <c r="Q23" s="381">
        <f t="shared" si="3"/>
        <v>0</v>
      </c>
      <c r="R23" s="382">
        <f t="shared" si="3"/>
        <v>0</v>
      </c>
      <c r="T23" s="296"/>
    </row>
    <row r="24" spans="2:20" ht="13.8" x14ac:dyDescent="0.3">
      <c r="B24" s="256"/>
      <c r="C24" s="257" t="s">
        <v>169</v>
      </c>
      <c r="D24" s="351">
        <f>0.63*D17</f>
        <v>3780</v>
      </c>
      <c r="E24" s="351">
        <f>0.63*E17</f>
        <v>3874.5</v>
      </c>
      <c r="F24" s="357">
        <f t="shared" si="5"/>
        <v>7654.5</v>
      </c>
      <c r="H24" s="135"/>
      <c r="I24" s="259" t="str">
        <f t="shared" si="1"/>
        <v>Measure 13</v>
      </c>
      <c r="J24" s="260"/>
      <c r="K24" s="261"/>
      <c r="L24" s="380">
        <f t="shared" si="2"/>
        <v>0</v>
      </c>
      <c r="M24" s="267">
        <v>0</v>
      </c>
      <c r="N24" s="267">
        <v>0</v>
      </c>
      <c r="O24" s="252">
        <f t="shared" si="4"/>
        <v>0</v>
      </c>
      <c r="P24" s="381">
        <f t="shared" si="3"/>
        <v>0</v>
      </c>
      <c r="Q24" s="381">
        <f t="shared" si="3"/>
        <v>0</v>
      </c>
      <c r="R24" s="382">
        <f t="shared" si="3"/>
        <v>0</v>
      </c>
      <c r="T24" s="296"/>
    </row>
    <row r="25" spans="2:20" ht="13.8" x14ac:dyDescent="0.3">
      <c r="B25" s="264"/>
      <c r="C25" s="265"/>
      <c r="D25" s="360"/>
      <c r="E25" s="360"/>
      <c r="F25" s="360"/>
      <c r="H25" s="135"/>
      <c r="I25" s="259" t="str">
        <f t="shared" si="1"/>
        <v>Measure 14</v>
      </c>
      <c r="J25" s="260"/>
      <c r="K25" s="261"/>
      <c r="L25" s="380">
        <f t="shared" si="2"/>
        <v>0</v>
      </c>
      <c r="M25" s="267">
        <v>0</v>
      </c>
      <c r="N25" s="267">
        <v>0</v>
      </c>
      <c r="O25" s="252">
        <f t="shared" si="4"/>
        <v>0</v>
      </c>
      <c r="P25" s="381">
        <f t="shared" si="3"/>
        <v>0</v>
      </c>
      <c r="Q25" s="381">
        <f t="shared" si="3"/>
        <v>0</v>
      </c>
      <c r="R25" s="382">
        <f t="shared" si="3"/>
        <v>0</v>
      </c>
      <c r="T25" s="296"/>
    </row>
    <row r="26" spans="2:20" ht="14.4" thickBot="1" x14ac:dyDescent="0.35">
      <c r="B26" s="264"/>
      <c r="C26" s="265"/>
      <c r="D26" s="360"/>
      <c r="E26" s="360"/>
      <c r="F26" s="360"/>
      <c r="H26" s="135"/>
      <c r="I26" s="259" t="str">
        <f t="shared" si="1"/>
        <v>Measure 15</v>
      </c>
      <c r="J26" s="260"/>
      <c r="K26" s="261"/>
      <c r="L26" s="380">
        <f t="shared" si="2"/>
        <v>0</v>
      </c>
      <c r="M26" s="267">
        <v>0</v>
      </c>
      <c r="N26" s="267">
        <v>0</v>
      </c>
      <c r="O26" s="252">
        <f t="shared" si="4"/>
        <v>0</v>
      </c>
      <c r="P26" s="381">
        <f t="shared" si="3"/>
        <v>0</v>
      </c>
      <c r="Q26" s="381">
        <f t="shared" si="3"/>
        <v>0</v>
      </c>
      <c r="R26" s="382">
        <f t="shared" si="3"/>
        <v>0</v>
      </c>
      <c r="T26" s="296"/>
    </row>
    <row r="27" spans="2:20" ht="14.4" thickBot="1" x14ac:dyDescent="0.35">
      <c r="B27" s="272">
        <v>3600</v>
      </c>
      <c r="C27" s="244" t="s">
        <v>170</v>
      </c>
      <c r="D27" s="354">
        <f>SUM(D28:D31)</f>
        <v>0</v>
      </c>
      <c r="E27" s="354">
        <f>SUM(E28:E31)</f>
        <v>0</v>
      </c>
      <c r="F27" s="396">
        <f>D27+E27</f>
        <v>0</v>
      </c>
      <c r="H27" s="135"/>
      <c r="I27" s="259" t="str">
        <f t="shared" si="1"/>
        <v>Measure 16</v>
      </c>
      <c r="J27" s="260"/>
      <c r="K27" s="261"/>
      <c r="L27" s="380">
        <f t="shared" si="2"/>
        <v>0</v>
      </c>
      <c r="M27" s="267">
        <v>0</v>
      </c>
      <c r="N27" s="267">
        <v>0</v>
      </c>
      <c r="O27" s="252">
        <f t="shared" si="4"/>
        <v>0</v>
      </c>
      <c r="P27" s="381">
        <f t="shared" si="3"/>
        <v>0</v>
      </c>
      <c r="Q27" s="381">
        <f t="shared" si="3"/>
        <v>0</v>
      </c>
      <c r="R27" s="382">
        <f t="shared" si="3"/>
        <v>0</v>
      </c>
      <c r="T27" s="296"/>
    </row>
    <row r="28" spans="2:20" ht="13.8" x14ac:dyDescent="0.3">
      <c r="B28" s="256"/>
      <c r="C28" s="257" t="s">
        <v>162</v>
      </c>
      <c r="D28" s="357">
        <v>0</v>
      </c>
      <c r="E28" s="357"/>
      <c r="F28" s="357">
        <f t="shared" ref="F28:F36" si="6">SUM(D28:E28)</f>
        <v>0</v>
      </c>
      <c r="H28" s="135"/>
      <c r="I28" s="259" t="str">
        <f t="shared" si="1"/>
        <v>Measure 17</v>
      </c>
      <c r="J28" s="260"/>
      <c r="K28" s="261"/>
      <c r="L28" s="380">
        <f t="shared" si="2"/>
        <v>0</v>
      </c>
      <c r="M28" s="267">
        <v>0</v>
      </c>
      <c r="N28" s="267">
        <v>0</v>
      </c>
      <c r="O28" s="252">
        <f t="shared" si="4"/>
        <v>0</v>
      </c>
      <c r="P28" s="381">
        <f t="shared" ref="P28:R43" si="7">M28*$D78</f>
        <v>0</v>
      </c>
      <c r="Q28" s="381">
        <f t="shared" si="7"/>
        <v>0</v>
      </c>
      <c r="R28" s="382">
        <f t="shared" si="7"/>
        <v>0</v>
      </c>
      <c r="T28" s="296"/>
    </row>
    <row r="29" spans="2:20" ht="13.8" x14ac:dyDescent="0.3">
      <c r="B29" s="264"/>
      <c r="C29" s="265" t="s">
        <v>163</v>
      </c>
      <c r="D29" s="351">
        <v>0</v>
      </c>
      <c r="E29" s="351"/>
      <c r="F29" s="357">
        <f t="shared" si="6"/>
        <v>0</v>
      </c>
      <c r="H29" s="135"/>
      <c r="I29" s="259" t="str">
        <f t="shared" si="1"/>
        <v>Measure 18</v>
      </c>
      <c r="J29" s="260"/>
      <c r="K29" s="261"/>
      <c r="L29" s="380">
        <f t="shared" si="2"/>
        <v>0</v>
      </c>
      <c r="M29" s="267">
        <v>0</v>
      </c>
      <c r="N29" s="267">
        <v>0</v>
      </c>
      <c r="O29" s="252">
        <f t="shared" si="4"/>
        <v>0</v>
      </c>
      <c r="P29" s="381">
        <f t="shared" si="7"/>
        <v>0</v>
      </c>
      <c r="Q29" s="381">
        <f t="shared" si="7"/>
        <v>0</v>
      </c>
      <c r="R29" s="382">
        <f t="shared" si="7"/>
        <v>0</v>
      </c>
      <c r="T29" s="296"/>
    </row>
    <row r="30" spans="2:20" ht="13.8" x14ac:dyDescent="0.3">
      <c r="B30" s="264"/>
      <c r="C30" s="265" t="s">
        <v>164</v>
      </c>
      <c r="D30" s="351">
        <v>0</v>
      </c>
      <c r="E30" s="351"/>
      <c r="F30" s="357">
        <f t="shared" si="6"/>
        <v>0</v>
      </c>
      <c r="H30" s="135"/>
      <c r="I30" s="259" t="str">
        <f t="shared" si="1"/>
        <v>Measure 19</v>
      </c>
      <c r="J30" s="260"/>
      <c r="K30" s="261"/>
      <c r="L30" s="380">
        <f t="shared" si="2"/>
        <v>0</v>
      </c>
      <c r="M30" s="267">
        <v>0</v>
      </c>
      <c r="N30" s="267">
        <v>0</v>
      </c>
      <c r="O30" s="252">
        <f t="shared" si="4"/>
        <v>0</v>
      </c>
      <c r="P30" s="381">
        <f t="shared" si="7"/>
        <v>0</v>
      </c>
      <c r="Q30" s="381">
        <f t="shared" si="7"/>
        <v>0</v>
      </c>
      <c r="R30" s="382">
        <f t="shared" si="7"/>
        <v>0</v>
      </c>
      <c r="T30" s="296"/>
    </row>
    <row r="31" spans="2:20" ht="14.4" thickBot="1" x14ac:dyDescent="0.35">
      <c r="B31" s="264"/>
      <c r="C31" s="265" t="s">
        <v>165</v>
      </c>
      <c r="D31" s="351">
        <v>0</v>
      </c>
      <c r="E31" s="351"/>
      <c r="F31" s="357">
        <f t="shared" si="6"/>
        <v>0</v>
      </c>
      <c r="H31" s="135"/>
      <c r="I31" s="259" t="str">
        <f t="shared" si="1"/>
        <v>Measure 20</v>
      </c>
      <c r="J31" s="260"/>
      <c r="K31" s="261"/>
      <c r="L31" s="380">
        <f t="shared" si="2"/>
        <v>0</v>
      </c>
      <c r="M31" s="267">
        <v>0</v>
      </c>
      <c r="N31" s="267">
        <v>0</v>
      </c>
      <c r="O31" s="252">
        <f t="shared" si="4"/>
        <v>0</v>
      </c>
      <c r="P31" s="381">
        <f t="shared" si="7"/>
        <v>0</v>
      </c>
      <c r="Q31" s="381">
        <f t="shared" si="7"/>
        <v>0</v>
      </c>
      <c r="R31" s="382">
        <f t="shared" si="7"/>
        <v>0</v>
      </c>
      <c r="T31" s="296"/>
    </row>
    <row r="32" spans="2:20" ht="14.4" thickBot="1" x14ac:dyDescent="0.35">
      <c r="B32" s="272">
        <v>243</v>
      </c>
      <c r="C32" s="244" t="s">
        <v>171</v>
      </c>
      <c r="D32" s="354">
        <f>SUM(D33:D36)</f>
        <v>0</v>
      </c>
      <c r="E32" s="354">
        <f>SUM(E33:E36)</f>
        <v>0</v>
      </c>
      <c r="F32" s="396">
        <f>D32+E32</f>
        <v>0</v>
      </c>
      <c r="H32" s="135"/>
      <c r="I32" s="259" t="str">
        <f t="shared" si="1"/>
        <v>Measure 21</v>
      </c>
      <c r="J32" s="260"/>
      <c r="K32" s="261"/>
      <c r="L32" s="380">
        <f t="shared" si="2"/>
        <v>0</v>
      </c>
      <c r="M32" s="267">
        <v>0</v>
      </c>
      <c r="N32" s="267">
        <v>0</v>
      </c>
      <c r="O32" s="252">
        <f t="shared" si="4"/>
        <v>0</v>
      </c>
      <c r="P32" s="381">
        <f t="shared" si="7"/>
        <v>0</v>
      </c>
      <c r="Q32" s="381">
        <f t="shared" si="7"/>
        <v>0</v>
      </c>
      <c r="R32" s="382">
        <f t="shared" si="7"/>
        <v>0</v>
      </c>
      <c r="T32" s="296"/>
    </row>
    <row r="33" spans="2:20" ht="13.8" x14ac:dyDescent="0.3">
      <c r="B33" s="264"/>
      <c r="C33" s="265" t="s">
        <v>162</v>
      </c>
      <c r="D33" s="351">
        <v>0</v>
      </c>
      <c r="E33" s="351"/>
      <c r="F33" s="357">
        <f t="shared" si="6"/>
        <v>0</v>
      </c>
      <c r="H33" s="135"/>
      <c r="I33" s="259" t="str">
        <f t="shared" si="1"/>
        <v>Measure 22</v>
      </c>
      <c r="J33" s="260"/>
      <c r="K33" s="261"/>
      <c r="L33" s="380">
        <f t="shared" si="2"/>
        <v>0</v>
      </c>
      <c r="M33" s="267">
        <v>0</v>
      </c>
      <c r="N33" s="267">
        <v>0</v>
      </c>
      <c r="O33" s="252">
        <f t="shared" si="4"/>
        <v>0</v>
      </c>
      <c r="P33" s="381">
        <f t="shared" si="7"/>
        <v>0</v>
      </c>
      <c r="Q33" s="381">
        <f t="shared" si="7"/>
        <v>0</v>
      </c>
      <c r="R33" s="382">
        <f t="shared" si="7"/>
        <v>0</v>
      </c>
      <c r="T33" s="296"/>
    </row>
    <row r="34" spans="2:20" ht="13.8" x14ac:dyDescent="0.3">
      <c r="B34" s="264"/>
      <c r="C34" s="265" t="s">
        <v>163</v>
      </c>
      <c r="D34" s="351">
        <v>0</v>
      </c>
      <c r="E34" s="351"/>
      <c r="F34" s="357">
        <f t="shared" si="6"/>
        <v>0</v>
      </c>
      <c r="H34" s="135"/>
      <c r="I34" s="259" t="str">
        <f t="shared" si="1"/>
        <v>Measure 23</v>
      </c>
      <c r="J34" s="260"/>
      <c r="K34" s="261"/>
      <c r="L34" s="380">
        <f t="shared" si="2"/>
        <v>0</v>
      </c>
      <c r="M34" s="267">
        <v>0</v>
      </c>
      <c r="N34" s="267">
        <v>0</v>
      </c>
      <c r="O34" s="252">
        <f t="shared" si="4"/>
        <v>0</v>
      </c>
      <c r="P34" s="381">
        <f t="shared" si="7"/>
        <v>0</v>
      </c>
      <c r="Q34" s="381">
        <f t="shared" si="7"/>
        <v>0</v>
      </c>
      <c r="R34" s="382">
        <f t="shared" si="7"/>
        <v>0</v>
      </c>
      <c r="T34" s="296"/>
    </row>
    <row r="35" spans="2:20" ht="13.8" x14ac:dyDescent="0.3">
      <c r="B35" s="264"/>
      <c r="C35" s="265" t="s">
        <v>164</v>
      </c>
      <c r="D35" s="351">
        <v>0</v>
      </c>
      <c r="E35" s="351"/>
      <c r="F35" s="357">
        <f t="shared" si="6"/>
        <v>0</v>
      </c>
      <c r="H35" s="135"/>
      <c r="I35" s="259" t="str">
        <f t="shared" si="1"/>
        <v>Measure 24</v>
      </c>
      <c r="J35" s="260"/>
      <c r="K35" s="261"/>
      <c r="L35" s="380">
        <f t="shared" si="2"/>
        <v>0</v>
      </c>
      <c r="M35" s="267">
        <v>0</v>
      </c>
      <c r="N35" s="267">
        <v>0</v>
      </c>
      <c r="O35" s="252">
        <f t="shared" si="4"/>
        <v>0</v>
      </c>
      <c r="P35" s="381">
        <f t="shared" si="7"/>
        <v>0</v>
      </c>
      <c r="Q35" s="381">
        <f t="shared" si="7"/>
        <v>0</v>
      </c>
      <c r="R35" s="382">
        <f t="shared" si="7"/>
        <v>0</v>
      </c>
      <c r="T35" s="296"/>
    </row>
    <row r="36" spans="2:20" ht="14.4" thickBot="1" x14ac:dyDescent="0.35">
      <c r="B36" s="264"/>
      <c r="C36" s="265" t="s">
        <v>165</v>
      </c>
      <c r="D36" s="351">
        <v>0</v>
      </c>
      <c r="E36" s="351"/>
      <c r="F36" s="357">
        <f t="shared" si="6"/>
        <v>0</v>
      </c>
      <c r="H36" s="135"/>
      <c r="I36" s="259" t="str">
        <f t="shared" si="1"/>
        <v>Measure 25</v>
      </c>
      <c r="J36" s="260"/>
      <c r="K36" s="261"/>
      <c r="L36" s="380">
        <f t="shared" si="2"/>
        <v>0</v>
      </c>
      <c r="M36" s="267">
        <v>0</v>
      </c>
      <c r="N36" s="267">
        <v>0</v>
      </c>
      <c r="O36" s="252">
        <f t="shared" si="4"/>
        <v>0</v>
      </c>
      <c r="P36" s="381">
        <f t="shared" si="7"/>
        <v>0</v>
      </c>
      <c r="Q36" s="381">
        <f t="shared" si="7"/>
        <v>0</v>
      </c>
      <c r="R36" s="382">
        <f t="shared" si="7"/>
        <v>0</v>
      </c>
      <c r="T36" s="296"/>
    </row>
    <row r="37" spans="2:20" ht="14.4" thickBot="1" x14ac:dyDescent="0.35">
      <c r="B37" s="272">
        <v>133131</v>
      </c>
      <c r="C37" s="244" t="s">
        <v>172</v>
      </c>
      <c r="D37" s="354">
        <f>SUM(D38:D41)</f>
        <v>37149</v>
      </c>
      <c r="E37" s="354">
        <f>SUM(E38:E41)</f>
        <v>37149</v>
      </c>
      <c r="F37" s="396">
        <f>D37+E37</f>
        <v>74298</v>
      </c>
      <c r="H37" s="135"/>
      <c r="I37" s="259" t="str">
        <f t="shared" si="1"/>
        <v>Measure 26</v>
      </c>
      <c r="J37" s="260"/>
      <c r="K37" s="270"/>
      <c r="L37" s="380">
        <f t="shared" si="2"/>
        <v>0</v>
      </c>
      <c r="M37" s="267">
        <v>0</v>
      </c>
      <c r="N37" s="267">
        <v>0</v>
      </c>
      <c r="O37" s="252">
        <f t="shared" si="4"/>
        <v>0</v>
      </c>
      <c r="P37" s="381">
        <f t="shared" si="7"/>
        <v>0</v>
      </c>
      <c r="Q37" s="381">
        <f t="shared" si="7"/>
        <v>0</v>
      </c>
      <c r="R37" s="382">
        <f t="shared" si="7"/>
        <v>0</v>
      </c>
      <c r="T37" s="296"/>
    </row>
    <row r="38" spans="2:20" ht="13.8" x14ac:dyDescent="0.3">
      <c r="B38" s="264"/>
      <c r="C38" s="265" t="s">
        <v>597</v>
      </c>
      <c r="D38" s="351">
        <v>37149</v>
      </c>
      <c r="E38" s="351">
        <v>37149</v>
      </c>
      <c r="F38" s="357">
        <f t="shared" ref="F38:F51" si="8">SUM(D38:E38)</f>
        <v>74298</v>
      </c>
      <c r="H38" s="135"/>
      <c r="I38" s="259" t="str">
        <f t="shared" si="1"/>
        <v>Measure 27</v>
      </c>
      <c r="J38" s="260"/>
      <c r="K38" s="270"/>
      <c r="L38" s="380">
        <f t="shared" si="2"/>
        <v>0</v>
      </c>
      <c r="M38" s="267">
        <v>0</v>
      </c>
      <c r="N38" s="267">
        <v>0</v>
      </c>
      <c r="O38" s="252">
        <f t="shared" si="4"/>
        <v>0</v>
      </c>
      <c r="P38" s="381">
        <f t="shared" si="7"/>
        <v>0</v>
      </c>
      <c r="Q38" s="381">
        <f t="shared" si="7"/>
        <v>0</v>
      </c>
      <c r="R38" s="382">
        <f t="shared" si="7"/>
        <v>0</v>
      </c>
      <c r="T38" s="296"/>
    </row>
    <row r="39" spans="2:20" ht="13.8" x14ac:dyDescent="0.3">
      <c r="B39" s="264"/>
      <c r="C39" s="3998" t="s">
        <v>163</v>
      </c>
      <c r="D39" s="351">
        <v>0</v>
      </c>
      <c r="E39" s="351">
        <v>0</v>
      </c>
      <c r="F39" s="357">
        <f t="shared" si="8"/>
        <v>0</v>
      </c>
      <c r="H39" s="135"/>
      <c r="I39" s="259" t="str">
        <f t="shared" si="1"/>
        <v>Measure 28</v>
      </c>
      <c r="J39" s="260"/>
      <c r="K39" s="270"/>
      <c r="L39" s="380">
        <f t="shared" si="2"/>
        <v>0</v>
      </c>
      <c r="M39" s="267">
        <v>0</v>
      </c>
      <c r="N39" s="267">
        <v>0</v>
      </c>
      <c r="O39" s="252">
        <f t="shared" si="4"/>
        <v>0</v>
      </c>
      <c r="P39" s="381">
        <f t="shared" si="7"/>
        <v>0</v>
      </c>
      <c r="Q39" s="381">
        <f t="shared" si="7"/>
        <v>0</v>
      </c>
      <c r="R39" s="382">
        <f t="shared" si="7"/>
        <v>0</v>
      </c>
      <c r="T39" s="296"/>
    </row>
    <row r="40" spans="2:20" ht="13.8" x14ac:dyDescent="0.3">
      <c r="B40" s="264"/>
      <c r="C40" s="3998" t="s">
        <v>164</v>
      </c>
      <c r="D40" s="351">
        <v>0</v>
      </c>
      <c r="E40" s="351">
        <v>0</v>
      </c>
      <c r="F40" s="357">
        <f t="shared" si="8"/>
        <v>0</v>
      </c>
      <c r="H40" s="135"/>
      <c r="I40" s="259" t="str">
        <f t="shared" si="1"/>
        <v>Measure 29</v>
      </c>
      <c r="J40" s="260"/>
      <c r="K40" s="270"/>
      <c r="L40" s="380">
        <f t="shared" si="2"/>
        <v>0</v>
      </c>
      <c r="M40" s="267">
        <v>0</v>
      </c>
      <c r="N40" s="267">
        <v>0</v>
      </c>
      <c r="O40" s="252">
        <f t="shared" si="4"/>
        <v>0</v>
      </c>
      <c r="P40" s="381">
        <f t="shared" si="7"/>
        <v>0</v>
      </c>
      <c r="Q40" s="381">
        <f t="shared" si="7"/>
        <v>0</v>
      </c>
      <c r="R40" s="382">
        <f t="shared" si="7"/>
        <v>0</v>
      </c>
      <c r="T40" s="296"/>
    </row>
    <row r="41" spans="2:20" ht="14.4" thickBot="1" x14ac:dyDescent="0.35">
      <c r="B41" s="264"/>
      <c r="C41" s="265" t="s">
        <v>165</v>
      </c>
      <c r="D41" s="351">
        <v>0</v>
      </c>
      <c r="E41" s="351"/>
      <c r="F41" s="357">
        <f t="shared" si="8"/>
        <v>0</v>
      </c>
      <c r="H41" s="135"/>
      <c r="I41" s="259" t="str">
        <f t="shared" si="1"/>
        <v>Measure 30</v>
      </c>
      <c r="J41" s="260"/>
      <c r="K41" s="270"/>
      <c r="L41" s="380">
        <f t="shared" si="2"/>
        <v>0</v>
      </c>
      <c r="M41" s="267">
        <v>0</v>
      </c>
      <c r="N41" s="267">
        <v>0</v>
      </c>
      <c r="O41" s="252">
        <f t="shared" si="4"/>
        <v>0</v>
      </c>
      <c r="P41" s="381">
        <f t="shared" si="7"/>
        <v>0</v>
      </c>
      <c r="Q41" s="381">
        <f t="shared" si="7"/>
        <v>0</v>
      </c>
      <c r="R41" s="382">
        <f t="shared" si="7"/>
        <v>0</v>
      </c>
      <c r="T41" s="296"/>
    </row>
    <row r="42" spans="2:20" ht="14.4" thickBot="1" x14ac:dyDescent="0.35">
      <c r="B42" s="272">
        <v>0</v>
      </c>
      <c r="C42" s="244" t="s">
        <v>173</v>
      </c>
      <c r="D42" s="354">
        <f>SUM(D43:D46)</f>
        <v>0</v>
      </c>
      <c r="E42" s="354">
        <f>SUM(E43:E46)</f>
        <v>0</v>
      </c>
      <c r="F42" s="396">
        <f>D42+E42</f>
        <v>0</v>
      </c>
      <c r="H42" s="135"/>
      <c r="I42" s="259" t="str">
        <f t="shared" si="1"/>
        <v>Measure 31</v>
      </c>
      <c r="J42" s="260"/>
      <c r="K42" s="270"/>
      <c r="L42" s="380">
        <f t="shared" si="2"/>
        <v>0</v>
      </c>
      <c r="M42" s="267">
        <v>0</v>
      </c>
      <c r="N42" s="267">
        <v>0</v>
      </c>
      <c r="O42" s="252">
        <f t="shared" si="4"/>
        <v>0</v>
      </c>
      <c r="P42" s="381">
        <f t="shared" si="7"/>
        <v>0</v>
      </c>
      <c r="Q42" s="381">
        <f t="shared" si="7"/>
        <v>0</v>
      </c>
      <c r="R42" s="382">
        <f t="shared" si="7"/>
        <v>0</v>
      </c>
      <c r="T42" s="296"/>
    </row>
    <row r="43" spans="2:20" ht="13.8" x14ac:dyDescent="0.3">
      <c r="B43" s="264"/>
      <c r="C43" s="265" t="s">
        <v>162</v>
      </c>
      <c r="D43" s="351">
        <v>0</v>
      </c>
      <c r="E43" s="351"/>
      <c r="F43" s="357">
        <f t="shared" si="8"/>
        <v>0</v>
      </c>
      <c r="H43" s="135"/>
      <c r="I43" s="259" t="str">
        <f t="shared" si="1"/>
        <v>Measure 32</v>
      </c>
      <c r="J43" s="260"/>
      <c r="K43" s="270"/>
      <c r="L43" s="380">
        <f t="shared" si="2"/>
        <v>0</v>
      </c>
      <c r="M43" s="267">
        <v>0</v>
      </c>
      <c r="N43" s="267">
        <v>0</v>
      </c>
      <c r="O43" s="252">
        <f t="shared" si="4"/>
        <v>0</v>
      </c>
      <c r="P43" s="381">
        <f t="shared" si="7"/>
        <v>0</v>
      </c>
      <c r="Q43" s="381">
        <f t="shared" si="7"/>
        <v>0</v>
      </c>
      <c r="R43" s="382">
        <f t="shared" si="7"/>
        <v>0</v>
      </c>
      <c r="T43" s="296"/>
    </row>
    <row r="44" spans="2:20" ht="13.8" x14ac:dyDescent="0.3">
      <c r="B44" s="264"/>
      <c r="C44" s="265" t="s">
        <v>163</v>
      </c>
      <c r="D44" s="351">
        <v>0</v>
      </c>
      <c r="E44" s="351"/>
      <c r="F44" s="357">
        <f t="shared" si="8"/>
        <v>0</v>
      </c>
      <c r="H44" s="135"/>
      <c r="I44" s="259" t="str">
        <f t="shared" si="1"/>
        <v>Measure 33</v>
      </c>
      <c r="J44" s="260"/>
      <c r="K44" s="270"/>
      <c r="L44" s="380">
        <f t="shared" si="2"/>
        <v>0</v>
      </c>
      <c r="M44" s="267">
        <v>0</v>
      </c>
      <c r="N44" s="267">
        <v>0</v>
      </c>
      <c r="O44" s="252">
        <f t="shared" si="4"/>
        <v>0</v>
      </c>
      <c r="P44" s="381">
        <f t="shared" ref="P44:R53" si="9">M44*$D94</f>
        <v>0</v>
      </c>
      <c r="Q44" s="381">
        <f t="shared" si="9"/>
        <v>0</v>
      </c>
      <c r="R44" s="382">
        <f t="shared" si="9"/>
        <v>0</v>
      </c>
      <c r="T44" s="296"/>
    </row>
    <row r="45" spans="2:20" ht="13.8" x14ac:dyDescent="0.3">
      <c r="B45" s="264"/>
      <c r="C45" s="265" t="s">
        <v>164</v>
      </c>
      <c r="D45" s="351">
        <v>0</v>
      </c>
      <c r="E45" s="351"/>
      <c r="F45" s="357">
        <f t="shared" si="8"/>
        <v>0</v>
      </c>
      <c r="H45" s="135"/>
      <c r="I45" s="259" t="str">
        <f t="shared" si="1"/>
        <v>Measure 34</v>
      </c>
      <c r="J45" s="260"/>
      <c r="K45" s="270"/>
      <c r="L45" s="380">
        <f t="shared" si="2"/>
        <v>0</v>
      </c>
      <c r="M45" s="267">
        <v>0</v>
      </c>
      <c r="N45" s="267">
        <v>0</v>
      </c>
      <c r="O45" s="252">
        <f t="shared" si="4"/>
        <v>0</v>
      </c>
      <c r="P45" s="381">
        <f t="shared" si="9"/>
        <v>0</v>
      </c>
      <c r="Q45" s="381">
        <f t="shared" si="9"/>
        <v>0</v>
      </c>
      <c r="R45" s="382">
        <f t="shared" si="9"/>
        <v>0</v>
      </c>
      <c r="T45" s="296"/>
    </row>
    <row r="46" spans="2:20" ht="14.4" thickBot="1" x14ac:dyDescent="0.35">
      <c r="B46" s="264"/>
      <c r="C46" s="265" t="s">
        <v>165</v>
      </c>
      <c r="D46" s="351">
        <v>0</v>
      </c>
      <c r="E46" s="351"/>
      <c r="F46" s="357">
        <f t="shared" si="8"/>
        <v>0</v>
      </c>
      <c r="H46" s="135"/>
      <c r="I46" s="259" t="str">
        <f t="shared" si="1"/>
        <v>Measure 35</v>
      </c>
      <c r="J46" s="260"/>
      <c r="K46" s="270"/>
      <c r="L46" s="380">
        <f t="shared" si="2"/>
        <v>0</v>
      </c>
      <c r="M46" s="267">
        <v>0</v>
      </c>
      <c r="N46" s="267">
        <v>0</v>
      </c>
      <c r="O46" s="252">
        <f t="shared" si="4"/>
        <v>0</v>
      </c>
      <c r="P46" s="381">
        <f t="shared" si="9"/>
        <v>0</v>
      </c>
      <c r="Q46" s="381">
        <f t="shared" si="9"/>
        <v>0</v>
      </c>
      <c r="R46" s="382">
        <f t="shared" si="9"/>
        <v>0</v>
      </c>
      <c r="T46" s="296"/>
    </row>
    <row r="47" spans="2:20" ht="14.4" thickBot="1" x14ac:dyDescent="0.35">
      <c r="B47" s="272">
        <v>779</v>
      </c>
      <c r="C47" s="244" t="s">
        <v>174</v>
      </c>
      <c r="D47" s="354">
        <f>SUM(D48:D51)</f>
        <v>0</v>
      </c>
      <c r="E47" s="354">
        <f>SUM(E48:E51)</f>
        <v>0</v>
      </c>
      <c r="F47" s="396">
        <f>D47+E47</f>
        <v>0</v>
      </c>
      <c r="H47" s="135"/>
      <c r="I47" s="259" t="str">
        <f t="shared" si="1"/>
        <v>Measure 36</v>
      </c>
      <c r="J47" s="260"/>
      <c r="K47" s="270"/>
      <c r="L47" s="380">
        <f t="shared" si="2"/>
        <v>0</v>
      </c>
      <c r="M47" s="267">
        <v>0</v>
      </c>
      <c r="N47" s="267">
        <v>0</v>
      </c>
      <c r="O47" s="252">
        <f t="shared" si="4"/>
        <v>0</v>
      </c>
      <c r="P47" s="381">
        <f t="shared" si="9"/>
        <v>0</v>
      </c>
      <c r="Q47" s="381">
        <f t="shared" si="9"/>
        <v>0</v>
      </c>
      <c r="R47" s="382">
        <f t="shared" si="9"/>
        <v>0</v>
      </c>
      <c r="T47" s="296"/>
    </row>
    <row r="48" spans="2:20" ht="13.8" x14ac:dyDescent="0.3">
      <c r="B48" s="264"/>
      <c r="C48" s="265" t="s">
        <v>162</v>
      </c>
      <c r="D48" s="351">
        <v>0</v>
      </c>
      <c r="E48" s="351"/>
      <c r="F48" s="357">
        <f t="shared" si="8"/>
        <v>0</v>
      </c>
      <c r="H48" s="135"/>
      <c r="I48" s="259" t="str">
        <f t="shared" si="1"/>
        <v>Measure 37</v>
      </c>
      <c r="J48" s="260"/>
      <c r="K48" s="270"/>
      <c r="L48" s="380">
        <f t="shared" si="2"/>
        <v>0</v>
      </c>
      <c r="M48" s="267">
        <v>0</v>
      </c>
      <c r="N48" s="267">
        <v>0</v>
      </c>
      <c r="O48" s="252">
        <f t="shared" si="4"/>
        <v>0</v>
      </c>
      <c r="P48" s="381">
        <f t="shared" si="9"/>
        <v>0</v>
      </c>
      <c r="Q48" s="381">
        <f t="shared" si="9"/>
        <v>0</v>
      </c>
      <c r="R48" s="382">
        <f t="shared" si="9"/>
        <v>0</v>
      </c>
      <c r="T48" s="296"/>
    </row>
    <row r="49" spans="2:24" ht="13.8" x14ac:dyDescent="0.3">
      <c r="B49" s="264"/>
      <c r="C49" s="265" t="s">
        <v>163</v>
      </c>
      <c r="D49" s="351">
        <v>0</v>
      </c>
      <c r="E49" s="351"/>
      <c r="F49" s="357">
        <f t="shared" si="8"/>
        <v>0</v>
      </c>
      <c r="I49" s="259" t="str">
        <f t="shared" si="1"/>
        <v>Measure 38</v>
      </c>
      <c r="J49" s="260"/>
      <c r="K49" s="261"/>
      <c r="L49" s="380">
        <f t="shared" si="2"/>
        <v>0</v>
      </c>
      <c r="M49" s="267">
        <v>0</v>
      </c>
      <c r="N49" s="267">
        <v>0</v>
      </c>
      <c r="O49" s="252">
        <f t="shared" si="4"/>
        <v>0</v>
      </c>
      <c r="P49" s="381">
        <f t="shared" si="9"/>
        <v>0</v>
      </c>
      <c r="Q49" s="381">
        <f t="shared" si="9"/>
        <v>0</v>
      </c>
      <c r="R49" s="382">
        <f t="shared" si="9"/>
        <v>0</v>
      </c>
      <c r="T49" s="296"/>
    </row>
    <row r="50" spans="2:24" ht="13.8" x14ac:dyDescent="0.3">
      <c r="B50" s="264"/>
      <c r="C50" s="265" t="s">
        <v>164</v>
      </c>
      <c r="D50" s="351">
        <v>0</v>
      </c>
      <c r="E50" s="351"/>
      <c r="F50" s="357">
        <f t="shared" si="8"/>
        <v>0</v>
      </c>
      <c r="I50" s="259" t="str">
        <f t="shared" si="1"/>
        <v>Measure 39</v>
      </c>
      <c r="J50" s="260"/>
      <c r="K50" s="261"/>
      <c r="L50" s="380">
        <f t="shared" si="2"/>
        <v>0</v>
      </c>
      <c r="M50" s="267">
        <v>0</v>
      </c>
      <c r="N50" s="267">
        <v>0</v>
      </c>
      <c r="O50" s="252">
        <f t="shared" si="4"/>
        <v>0</v>
      </c>
      <c r="P50" s="381">
        <f t="shared" si="9"/>
        <v>0</v>
      </c>
      <c r="Q50" s="381">
        <f t="shared" si="9"/>
        <v>0</v>
      </c>
      <c r="R50" s="382">
        <f t="shared" si="9"/>
        <v>0</v>
      </c>
      <c r="T50" s="296"/>
    </row>
    <row r="51" spans="2:24" ht="14.4" thickBot="1" x14ac:dyDescent="0.35">
      <c r="B51" s="264"/>
      <c r="C51" s="265" t="s">
        <v>165</v>
      </c>
      <c r="D51" s="351">
        <v>0</v>
      </c>
      <c r="E51" s="351"/>
      <c r="F51" s="357">
        <f t="shared" si="8"/>
        <v>0</v>
      </c>
      <c r="I51" s="259" t="str">
        <f t="shared" si="1"/>
        <v>Measure 40</v>
      </c>
      <c r="J51" s="260"/>
      <c r="K51" s="261"/>
      <c r="L51" s="380">
        <f t="shared" si="2"/>
        <v>0</v>
      </c>
      <c r="M51" s="267">
        <v>0</v>
      </c>
      <c r="N51" s="267">
        <v>0</v>
      </c>
      <c r="O51" s="252">
        <f t="shared" si="4"/>
        <v>0</v>
      </c>
      <c r="P51" s="381">
        <f t="shared" si="9"/>
        <v>0</v>
      </c>
      <c r="Q51" s="381">
        <f t="shared" si="9"/>
        <v>0</v>
      </c>
      <c r="R51" s="382">
        <f t="shared" si="9"/>
        <v>0</v>
      </c>
      <c r="T51" s="296"/>
    </row>
    <row r="52" spans="2:24" ht="14.4" thickBot="1" x14ac:dyDescent="0.35">
      <c r="B52" s="272">
        <v>97138</v>
      </c>
      <c r="C52" s="244" t="s">
        <v>175</v>
      </c>
      <c r="D52" s="354">
        <f>S104</f>
        <v>37149</v>
      </c>
      <c r="E52" s="354">
        <f>T104</f>
        <v>37149</v>
      </c>
      <c r="F52" s="396">
        <f>U104</f>
        <v>74298</v>
      </c>
      <c r="G52" s="271" t="s">
        <v>176</v>
      </c>
      <c r="I52" s="259" t="str">
        <f t="shared" si="1"/>
        <v>Measure 41</v>
      </c>
      <c r="J52" s="260"/>
      <c r="K52" s="261"/>
      <c r="L52" s="380">
        <f t="shared" si="2"/>
        <v>0</v>
      </c>
      <c r="M52" s="267">
        <v>0</v>
      </c>
      <c r="N52" s="267">
        <v>0</v>
      </c>
      <c r="O52" s="252">
        <f t="shared" si="4"/>
        <v>0</v>
      </c>
      <c r="P52" s="381">
        <f t="shared" si="9"/>
        <v>0</v>
      </c>
      <c r="Q52" s="381">
        <f t="shared" si="9"/>
        <v>0</v>
      </c>
      <c r="R52" s="382">
        <f t="shared" si="9"/>
        <v>0</v>
      </c>
      <c r="T52" s="296"/>
    </row>
    <row r="53" spans="2:24" ht="14.4" thickBot="1" x14ac:dyDescent="0.35">
      <c r="B53" s="272">
        <v>0</v>
      </c>
      <c r="C53" s="244" t="s">
        <v>177</v>
      </c>
      <c r="D53" s="354">
        <v>0</v>
      </c>
      <c r="E53" s="354">
        <v>0</v>
      </c>
      <c r="F53" s="396">
        <v>0</v>
      </c>
      <c r="I53" s="259" t="str">
        <f t="shared" si="1"/>
        <v>Measure 42</v>
      </c>
      <c r="J53" s="260"/>
      <c r="K53" s="261"/>
      <c r="L53" s="380">
        <f t="shared" si="2"/>
        <v>0</v>
      </c>
      <c r="M53" s="267">
        <v>0</v>
      </c>
      <c r="N53" s="267">
        <v>0</v>
      </c>
      <c r="O53" s="252">
        <f t="shared" si="4"/>
        <v>0</v>
      </c>
      <c r="P53" s="381">
        <f t="shared" si="9"/>
        <v>0</v>
      </c>
      <c r="Q53" s="381">
        <f t="shared" si="9"/>
        <v>0</v>
      </c>
      <c r="R53" s="382">
        <f t="shared" si="9"/>
        <v>0</v>
      </c>
      <c r="T53" s="296"/>
    </row>
    <row r="54" spans="2:24" ht="13.8" x14ac:dyDescent="0.3">
      <c r="B54" s="313">
        <f>B12+B17+B22+B27+B32+B37+B42+B47+B52+B53</f>
        <v>255644</v>
      </c>
      <c r="C54" s="274" t="s">
        <v>178</v>
      </c>
      <c r="D54" s="361">
        <f>D12+D17+D22+D27+D32+D37+D42+D47+D52+D53</f>
        <v>97668.288</v>
      </c>
      <c r="E54" s="361">
        <f>E12+E17+E22+E27+E32+E37+E42+E47+E52+E53</f>
        <v>98320.491750000001</v>
      </c>
      <c r="F54" s="361">
        <f>F12+F17+F22+F27+F32+F37+F42+F47+F52+F53</f>
        <v>195988.77974999999</v>
      </c>
      <c r="P54" s="385">
        <f>SUM(P12:P53)</f>
        <v>346724</v>
      </c>
      <c r="Q54" s="385">
        <f>SUM(Q12:Q53)</f>
        <v>346724</v>
      </c>
      <c r="R54" s="385">
        <f>SUM(R12:R53)</f>
        <v>693448</v>
      </c>
      <c r="T54" s="385">
        <f>SUM(T12:T53)</f>
        <v>0</v>
      </c>
    </row>
    <row r="55" spans="2:24" ht="13.8" x14ac:dyDescent="0.3">
      <c r="C55" s="274"/>
      <c r="D55" s="361"/>
      <c r="E55" s="361"/>
      <c r="F55" s="361"/>
    </row>
    <row r="56" spans="2:24" ht="13.8" x14ac:dyDescent="0.3">
      <c r="C56" s="274" t="s">
        <v>179</v>
      </c>
      <c r="D56" s="361">
        <f>D54-D52</f>
        <v>60519.288</v>
      </c>
      <c r="E56" s="361">
        <f>E54-E52</f>
        <v>61171.491750000001</v>
      </c>
      <c r="F56" s="361">
        <f>F54-F52</f>
        <v>121690.77974999999</v>
      </c>
    </row>
    <row r="57" spans="2:24" ht="13.8" x14ac:dyDescent="0.3">
      <c r="C57" s="274" t="s">
        <v>180</v>
      </c>
      <c r="D57" s="361">
        <f>D52</f>
        <v>37149</v>
      </c>
      <c r="E57" s="361">
        <f>E52</f>
        <v>37149</v>
      </c>
      <c r="F57" s="361">
        <f>F52</f>
        <v>74298</v>
      </c>
      <c r="G57" s="335">
        <f>F57/(F56+F57)</f>
        <v>0.37909313020252122</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67"/>
      <c r="C62" s="4113" t="s">
        <v>600</v>
      </c>
      <c r="D62" s="4114">
        <v>14</v>
      </c>
      <c r="E62" s="4114" t="s">
        <v>617</v>
      </c>
      <c r="F62" s="4113" t="s">
        <v>211</v>
      </c>
      <c r="G62" s="4115">
        <v>0</v>
      </c>
      <c r="H62" s="4121">
        <v>1.5</v>
      </c>
      <c r="I62" s="4116">
        <v>1</v>
      </c>
      <c r="J62" s="4114">
        <v>1</v>
      </c>
      <c r="K62" s="4114" t="s">
        <v>259</v>
      </c>
      <c r="L62" s="4119">
        <v>2.1466870418450981</v>
      </c>
      <c r="M62" s="4119">
        <v>3.4573414247216867</v>
      </c>
      <c r="N62" s="4120">
        <v>181303.21901017576</v>
      </c>
      <c r="O62" s="4120">
        <v>112572.41419981497</v>
      </c>
      <c r="P62" s="4120">
        <v>389201.27089394815</v>
      </c>
      <c r="Q62" s="4120">
        <v>389201.27089394815</v>
      </c>
      <c r="R62" s="4118">
        <v>1.081</v>
      </c>
      <c r="S62" s="293">
        <f t="shared" ref="S62:U77" si="10">M12*$H62</f>
        <v>37149</v>
      </c>
      <c r="T62" s="293">
        <f t="shared" si="10"/>
        <v>37149</v>
      </c>
      <c r="U62" s="293">
        <f t="shared" si="10"/>
        <v>74298</v>
      </c>
      <c r="V62" s="338">
        <f>U62/(U62+(I62*F$56))</f>
        <v>0.37909313020252122</v>
      </c>
      <c r="W62" s="338">
        <f t="shared" ref="W62:W80" si="11">(I62*((F$17*1.63)+F$27))/(U62+(I62*F$56))</f>
        <v>0.1010491520242245</v>
      </c>
      <c r="X62" s="338">
        <f>(I62*F$37)/(U62+(I62*F$56))</f>
        <v>0.37909313020252122</v>
      </c>
    </row>
    <row r="63" spans="2:24" ht="13.8" x14ac:dyDescent="0.3">
      <c r="B63" s="296"/>
      <c r="C63" s="4113" t="s">
        <v>410</v>
      </c>
      <c r="D63" s="4113">
        <v>0</v>
      </c>
      <c r="E63" s="4113" t="s">
        <v>617</v>
      </c>
      <c r="F63" s="4113" t="s">
        <v>211</v>
      </c>
      <c r="G63" s="4115">
        <v>0</v>
      </c>
      <c r="H63" s="4121"/>
      <c r="I63" s="4116">
        <v>0</v>
      </c>
      <c r="J63" s="4114"/>
      <c r="K63" s="4114"/>
      <c r="L63" s="4119" t="e">
        <v>#DIV/0!</v>
      </c>
      <c r="M63" s="4119" t="e">
        <v>#DIV/0!</v>
      </c>
      <c r="N63" s="4120">
        <v>0</v>
      </c>
      <c r="O63" s="4120">
        <v>0</v>
      </c>
      <c r="P63" s="4120">
        <v>0</v>
      </c>
      <c r="Q63" s="4120">
        <v>0</v>
      </c>
      <c r="R63" s="4118">
        <v>1.081</v>
      </c>
      <c r="S63" s="293">
        <f t="shared" si="10"/>
        <v>0</v>
      </c>
      <c r="T63" s="293">
        <f t="shared" si="10"/>
        <v>0</v>
      </c>
      <c r="U63" s="293">
        <f t="shared" si="10"/>
        <v>0</v>
      </c>
      <c r="V63" s="338" t="e">
        <f t="shared" ref="V63:V80" si="12">U63/(U63+(I63*F$56))</f>
        <v>#DIV/0!</v>
      </c>
      <c r="W63" s="338" t="e">
        <f t="shared" si="11"/>
        <v>#DIV/0!</v>
      </c>
      <c r="X63" s="338" t="e">
        <f t="shared" ref="X63:X80" si="13">(I63*F$37)/(U63+(I63*F$56))</f>
        <v>#DIV/0!</v>
      </c>
    </row>
    <row r="64" spans="2:24" ht="13.8" x14ac:dyDescent="0.3">
      <c r="B64" s="296"/>
      <c r="C64" s="296" t="s">
        <v>411</v>
      </c>
      <c r="D64" s="267">
        <v>0</v>
      </c>
      <c r="E64" s="296" t="s">
        <v>617</v>
      </c>
      <c r="F64" s="296" t="s">
        <v>211</v>
      </c>
      <c r="G64" s="297"/>
      <c r="H64" s="328"/>
      <c r="I64" s="326">
        <v>0</v>
      </c>
      <c r="J64" s="267"/>
      <c r="K64" s="267"/>
      <c r="L64" s="3865" t="e">
        <f t="shared" ref="L64:M103" si="14">P64/N64</f>
        <v>#DIV/0!</v>
      </c>
      <c r="M64" s="3865" t="e">
        <f t="shared" si="14"/>
        <v>#DIV/0!</v>
      </c>
      <c r="N64" s="218">
        <f t="shared" ref="N64:N103" si="15">(($I64*$F$56)+$U64)/$R64</f>
        <v>0</v>
      </c>
      <c r="O64" s="218">
        <f t="shared" ref="O64:O103" si="16">(($I64*$F$56)+($G64*$O14))/$R64</f>
        <v>0</v>
      </c>
      <c r="P64" s="218">
        <f>IF(K64=0, 0, (HLOOKUP(K64,'[1]G-CESTD'!$A$5:$G$35,J64+1,FALSE)*R14))</f>
        <v>0</v>
      </c>
      <c r="Q64" s="218">
        <f>IF(K64=0, 0, (HLOOKUP(K64,'[1]G-CESTD'!$A$5:$G$35,J64+1,FALSE)*R14))</f>
        <v>0</v>
      </c>
      <c r="R64" s="292">
        <v>1.081</v>
      </c>
      <c r="S64" s="293">
        <f t="shared" si="10"/>
        <v>0</v>
      </c>
      <c r="T64" s="293">
        <f t="shared" si="10"/>
        <v>0</v>
      </c>
      <c r="U64" s="293">
        <f t="shared" si="10"/>
        <v>0</v>
      </c>
      <c r="V64" s="338" t="e">
        <f t="shared" si="12"/>
        <v>#DIV/0!</v>
      </c>
      <c r="W64" s="338" t="e">
        <f t="shared" si="11"/>
        <v>#DIV/0!</v>
      </c>
      <c r="X64" s="338" t="e">
        <f t="shared" si="13"/>
        <v>#DIV/0!</v>
      </c>
    </row>
    <row r="65" spans="2:24" ht="13.8" x14ac:dyDescent="0.3">
      <c r="B65" s="296"/>
      <c r="C65" s="296" t="s">
        <v>213</v>
      </c>
      <c r="D65" s="296">
        <v>0</v>
      </c>
      <c r="E65" s="296" t="s">
        <v>617</v>
      </c>
      <c r="F65" s="296" t="s">
        <v>211</v>
      </c>
      <c r="G65" s="297"/>
      <c r="H65" s="297"/>
      <c r="I65" s="326">
        <v>0</v>
      </c>
      <c r="J65" s="267"/>
      <c r="K65" s="267"/>
      <c r="L65" s="3865" t="e">
        <f t="shared" si="14"/>
        <v>#DIV/0!</v>
      </c>
      <c r="M65" s="3865" t="e">
        <f t="shared" si="14"/>
        <v>#DIV/0!</v>
      </c>
      <c r="N65" s="218">
        <f t="shared" si="15"/>
        <v>0</v>
      </c>
      <c r="O65" s="218">
        <f t="shared" si="16"/>
        <v>0</v>
      </c>
      <c r="P65" s="218">
        <f>IF(K65=0, 0, (HLOOKUP(K65,'[1]G-CESTD'!$A$5:$G$35,J65+1,FALSE)*R15))</f>
        <v>0</v>
      </c>
      <c r="Q65" s="218">
        <f>IF(K65=0, 0, (HLOOKUP(K65,'[1]G-CESTD'!$A$5:$G$35,J65+1,FALSE)*R15))</f>
        <v>0</v>
      </c>
      <c r="R65" s="292">
        <v>1.081</v>
      </c>
      <c r="S65" s="293">
        <f t="shared" si="10"/>
        <v>0</v>
      </c>
      <c r="T65" s="293">
        <f t="shared" si="10"/>
        <v>0</v>
      </c>
      <c r="U65" s="293">
        <f t="shared" si="10"/>
        <v>0</v>
      </c>
      <c r="V65" s="338" t="e">
        <f t="shared" si="12"/>
        <v>#DIV/0!</v>
      </c>
      <c r="W65" s="338" t="e">
        <f t="shared" si="11"/>
        <v>#DIV/0!</v>
      </c>
      <c r="X65" s="338" t="e">
        <f t="shared" si="13"/>
        <v>#DIV/0!</v>
      </c>
    </row>
    <row r="66" spans="2:24" ht="13.8" x14ac:dyDescent="0.3">
      <c r="B66" s="296"/>
      <c r="C66" s="296" t="s">
        <v>214</v>
      </c>
      <c r="D66" s="267">
        <v>0</v>
      </c>
      <c r="E66" s="296" t="s">
        <v>617</v>
      </c>
      <c r="F66" s="296" t="s">
        <v>211</v>
      </c>
      <c r="G66" s="297"/>
      <c r="H66" s="297"/>
      <c r="I66" s="326">
        <v>0</v>
      </c>
      <c r="J66" s="267"/>
      <c r="K66" s="267"/>
      <c r="L66" s="3865" t="e">
        <f t="shared" si="14"/>
        <v>#DIV/0!</v>
      </c>
      <c r="M66" s="3865" t="e">
        <f t="shared" si="14"/>
        <v>#DIV/0!</v>
      </c>
      <c r="N66" s="218">
        <f t="shared" si="15"/>
        <v>0</v>
      </c>
      <c r="O66" s="218">
        <f t="shared" si="16"/>
        <v>0</v>
      </c>
      <c r="P66" s="218">
        <f>IF(K66=0, 0, (HLOOKUP(K66,'[1]G-CESTD'!$A$5:$G$35,J66+1,FALSE)*R16))</f>
        <v>0</v>
      </c>
      <c r="Q66" s="218">
        <f>IF(K66=0, 0, (HLOOKUP(K66,'[1]G-CESTD'!$A$5:$G$35,J66+1,FALSE)*R16))</f>
        <v>0</v>
      </c>
      <c r="R66" s="292">
        <v>1.081</v>
      </c>
      <c r="S66" s="293">
        <f t="shared" si="10"/>
        <v>0</v>
      </c>
      <c r="T66" s="293">
        <f t="shared" si="10"/>
        <v>0</v>
      </c>
      <c r="U66" s="293">
        <f t="shared" si="10"/>
        <v>0</v>
      </c>
      <c r="V66" s="338" t="e">
        <f t="shared" si="12"/>
        <v>#DIV/0!</v>
      </c>
      <c r="W66" s="338" t="e">
        <f t="shared" si="11"/>
        <v>#DIV/0!</v>
      </c>
      <c r="X66" s="338" t="e">
        <f t="shared" si="13"/>
        <v>#DIV/0!</v>
      </c>
    </row>
    <row r="67" spans="2:24" ht="13.8" x14ac:dyDescent="0.3">
      <c r="B67" s="296"/>
      <c r="C67" s="296" t="s">
        <v>215</v>
      </c>
      <c r="D67" s="296">
        <v>0</v>
      </c>
      <c r="E67" s="296" t="s">
        <v>617</v>
      </c>
      <c r="F67" s="296" t="s">
        <v>211</v>
      </c>
      <c r="G67" s="297"/>
      <c r="H67" s="297"/>
      <c r="I67" s="326">
        <v>0</v>
      </c>
      <c r="J67" s="267"/>
      <c r="K67" s="267"/>
      <c r="L67" s="3865" t="e">
        <f t="shared" si="14"/>
        <v>#DIV/0!</v>
      </c>
      <c r="M67" s="3865" t="e">
        <f t="shared" si="14"/>
        <v>#DIV/0!</v>
      </c>
      <c r="N67" s="218">
        <f t="shared" si="15"/>
        <v>0</v>
      </c>
      <c r="O67" s="218">
        <f t="shared" si="16"/>
        <v>0</v>
      </c>
      <c r="P67" s="218">
        <f>IF(K67=0, 0, (HLOOKUP(K67,'[1]G-CESTD'!$A$5:$G$35,J67+1,FALSE)*R17))</f>
        <v>0</v>
      </c>
      <c r="Q67" s="218">
        <f>IF(K67=0, 0, (HLOOKUP(K67,'[1]G-CESTD'!$A$5:$G$35,J67+1,FALSE)*R17))</f>
        <v>0</v>
      </c>
      <c r="R67" s="292">
        <v>1.081</v>
      </c>
      <c r="S67" s="293">
        <f t="shared" si="10"/>
        <v>0</v>
      </c>
      <c r="T67" s="293">
        <f t="shared" si="10"/>
        <v>0</v>
      </c>
      <c r="U67" s="293">
        <f t="shared" si="10"/>
        <v>0</v>
      </c>
      <c r="V67" s="338" t="e">
        <f t="shared" si="12"/>
        <v>#DIV/0!</v>
      </c>
      <c r="W67" s="338" t="e">
        <f t="shared" si="11"/>
        <v>#DIV/0!</v>
      </c>
      <c r="X67" s="338" t="e">
        <f t="shared" si="13"/>
        <v>#DIV/0!</v>
      </c>
    </row>
    <row r="68" spans="2:24" ht="13.8" x14ac:dyDescent="0.3">
      <c r="B68" s="296"/>
      <c r="C68" s="296" t="s">
        <v>216</v>
      </c>
      <c r="D68" s="267">
        <v>0</v>
      </c>
      <c r="E68" s="296" t="s">
        <v>617</v>
      </c>
      <c r="F68" s="296" t="s">
        <v>211</v>
      </c>
      <c r="G68" s="297"/>
      <c r="H68" s="297"/>
      <c r="I68" s="326">
        <v>0</v>
      </c>
      <c r="J68" s="267"/>
      <c r="K68" s="267"/>
      <c r="L68" s="3865" t="e">
        <f t="shared" si="14"/>
        <v>#DIV/0!</v>
      </c>
      <c r="M68" s="3865" t="e">
        <f t="shared" si="14"/>
        <v>#DIV/0!</v>
      </c>
      <c r="N68" s="218">
        <f t="shared" si="15"/>
        <v>0</v>
      </c>
      <c r="O68" s="218">
        <f t="shared" si="16"/>
        <v>0</v>
      </c>
      <c r="P68" s="218">
        <f>IF(K68=0, 0, (HLOOKUP(K68,'[1]G-CESTD'!$A$5:$G$35,J68+1,FALSE)*R18))</f>
        <v>0</v>
      </c>
      <c r="Q68" s="218">
        <f>IF(K68=0, 0, (HLOOKUP(K68,'[1]G-CESTD'!$A$5:$G$35,J68+1,FALSE)*R18))</f>
        <v>0</v>
      </c>
      <c r="R68" s="292">
        <v>1.081</v>
      </c>
      <c r="S68" s="293">
        <f t="shared" si="10"/>
        <v>0</v>
      </c>
      <c r="T68" s="293">
        <f t="shared" si="10"/>
        <v>0</v>
      </c>
      <c r="U68" s="293">
        <f t="shared" si="10"/>
        <v>0</v>
      </c>
      <c r="V68" s="338" t="e">
        <f t="shared" si="12"/>
        <v>#DIV/0!</v>
      </c>
      <c r="W68" s="338" t="e">
        <f t="shared" si="11"/>
        <v>#DIV/0!</v>
      </c>
      <c r="X68" s="338" t="e">
        <f t="shared" si="13"/>
        <v>#DIV/0!</v>
      </c>
    </row>
    <row r="69" spans="2:24" ht="13.8" x14ac:dyDescent="0.3">
      <c r="B69" s="296"/>
      <c r="C69" s="296" t="s">
        <v>217</v>
      </c>
      <c r="D69" s="296">
        <v>0</v>
      </c>
      <c r="E69" s="296" t="s">
        <v>617</v>
      </c>
      <c r="F69" s="296" t="s">
        <v>211</v>
      </c>
      <c r="G69" s="297"/>
      <c r="H69" s="297"/>
      <c r="I69" s="326">
        <v>0</v>
      </c>
      <c r="J69" s="267"/>
      <c r="K69" s="267"/>
      <c r="L69" s="3865" t="e">
        <f t="shared" si="14"/>
        <v>#DIV/0!</v>
      </c>
      <c r="M69" s="3865" t="e">
        <f t="shared" si="14"/>
        <v>#DIV/0!</v>
      </c>
      <c r="N69" s="218">
        <f t="shared" si="15"/>
        <v>0</v>
      </c>
      <c r="O69" s="218">
        <f t="shared" si="16"/>
        <v>0</v>
      </c>
      <c r="P69" s="218">
        <f>IF(K69=0, 0, (HLOOKUP(K69,'[1]G-CESTD'!$A$5:$G$35,J69+1,FALSE)*R19))</f>
        <v>0</v>
      </c>
      <c r="Q69" s="218">
        <f>IF(K69=0, 0, (HLOOKUP(K69,'[1]G-CESTD'!$A$5:$G$35,J69+1,FALSE)*R19))</f>
        <v>0</v>
      </c>
      <c r="R69" s="292">
        <v>1.081</v>
      </c>
      <c r="S69" s="293">
        <f t="shared" si="10"/>
        <v>0</v>
      </c>
      <c r="T69" s="293">
        <f t="shared" si="10"/>
        <v>0</v>
      </c>
      <c r="U69" s="293">
        <f t="shared" si="10"/>
        <v>0</v>
      </c>
      <c r="V69" s="338" t="e">
        <f t="shared" si="12"/>
        <v>#DIV/0!</v>
      </c>
      <c r="W69" s="338" t="e">
        <f t="shared" si="11"/>
        <v>#DIV/0!</v>
      </c>
      <c r="X69" s="338" t="e">
        <f t="shared" si="13"/>
        <v>#DIV/0!</v>
      </c>
    </row>
    <row r="70" spans="2:24" ht="13.8" x14ac:dyDescent="0.3">
      <c r="B70" s="296"/>
      <c r="C70" s="296" t="s">
        <v>218</v>
      </c>
      <c r="D70" s="267">
        <v>0</v>
      </c>
      <c r="E70" s="296" t="s">
        <v>617</v>
      </c>
      <c r="F70" s="296" t="s">
        <v>211</v>
      </c>
      <c r="G70" s="297"/>
      <c r="H70" s="297"/>
      <c r="I70" s="326">
        <v>0</v>
      </c>
      <c r="J70" s="267"/>
      <c r="K70" s="267"/>
      <c r="L70" s="3865" t="e">
        <f t="shared" si="14"/>
        <v>#DIV/0!</v>
      </c>
      <c r="M70" s="3865" t="e">
        <f t="shared" si="14"/>
        <v>#DIV/0!</v>
      </c>
      <c r="N70" s="218">
        <f t="shared" si="15"/>
        <v>0</v>
      </c>
      <c r="O70" s="218">
        <f t="shared" si="16"/>
        <v>0</v>
      </c>
      <c r="P70" s="218">
        <f>IF(K70=0, 0, (HLOOKUP(K70,'[1]G-CESTD'!$A$5:$G$35,J70+1,FALSE)*R20))</f>
        <v>0</v>
      </c>
      <c r="Q70" s="218">
        <f>IF(K70=0, 0, (HLOOKUP(K70,'[1]G-CESTD'!$A$5:$G$35,J70+1,FALSE)*R20))</f>
        <v>0</v>
      </c>
      <c r="R70" s="292">
        <v>1.081</v>
      </c>
      <c r="S70" s="293">
        <f t="shared" si="10"/>
        <v>0</v>
      </c>
      <c r="T70" s="293">
        <f t="shared" si="10"/>
        <v>0</v>
      </c>
      <c r="U70" s="293">
        <f t="shared" si="10"/>
        <v>0</v>
      </c>
      <c r="V70" s="338" t="e">
        <f t="shared" si="12"/>
        <v>#DIV/0!</v>
      </c>
      <c r="W70" s="338" t="e">
        <f t="shared" si="11"/>
        <v>#DIV/0!</v>
      </c>
      <c r="X70" s="338" t="e">
        <f t="shared" si="13"/>
        <v>#DIV/0!</v>
      </c>
    </row>
    <row r="71" spans="2:24" ht="13.8" x14ac:dyDescent="0.3">
      <c r="B71" s="296"/>
      <c r="C71" s="296" t="s">
        <v>219</v>
      </c>
      <c r="D71" s="296">
        <v>0</v>
      </c>
      <c r="E71" s="296" t="s">
        <v>617</v>
      </c>
      <c r="F71" s="296" t="s">
        <v>211</v>
      </c>
      <c r="G71" s="297"/>
      <c r="H71" s="297"/>
      <c r="I71" s="326">
        <v>0</v>
      </c>
      <c r="J71" s="267"/>
      <c r="K71" s="267"/>
      <c r="L71" s="3865" t="e">
        <f t="shared" si="14"/>
        <v>#DIV/0!</v>
      </c>
      <c r="M71" s="3865" t="e">
        <f t="shared" si="14"/>
        <v>#DIV/0!</v>
      </c>
      <c r="N71" s="218">
        <f t="shared" si="15"/>
        <v>0</v>
      </c>
      <c r="O71" s="218">
        <f t="shared" si="16"/>
        <v>0</v>
      </c>
      <c r="P71" s="218">
        <f>IF(K71=0, 0, (HLOOKUP(K71,'[1]G-CESTD'!$A$5:$G$35,J71+1,FALSE)*R21))</f>
        <v>0</v>
      </c>
      <c r="Q71" s="218">
        <f>IF(K71=0, 0, (HLOOKUP(K71,'[1]G-CESTD'!$A$5:$G$35,J71+1,FALSE)*R21))</f>
        <v>0</v>
      </c>
      <c r="R71" s="292">
        <v>1.081</v>
      </c>
      <c r="S71" s="293">
        <f t="shared" si="10"/>
        <v>0</v>
      </c>
      <c r="T71" s="293">
        <f t="shared" si="10"/>
        <v>0</v>
      </c>
      <c r="U71" s="293">
        <f t="shared" si="10"/>
        <v>0</v>
      </c>
      <c r="V71" s="338" t="e">
        <f t="shared" si="12"/>
        <v>#DIV/0!</v>
      </c>
      <c r="W71" s="338" t="e">
        <f t="shared" si="11"/>
        <v>#DIV/0!</v>
      </c>
      <c r="X71" s="338" t="e">
        <f t="shared" si="13"/>
        <v>#DIV/0!</v>
      </c>
    </row>
    <row r="72" spans="2:24" ht="13.8" x14ac:dyDescent="0.3">
      <c r="B72" s="296"/>
      <c r="C72" s="296" t="s">
        <v>220</v>
      </c>
      <c r="D72" s="267">
        <v>0</v>
      </c>
      <c r="E72" s="296" t="s">
        <v>617</v>
      </c>
      <c r="F72" s="296" t="s">
        <v>211</v>
      </c>
      <c r="G72" s="297"/>
      <c r="H72" s="297"/>
      <c r="I72" s="326">
        <v>0</v>
      </c>
      <c r="J72" s="267"/>
      <c r="K72" s="267"/>
      <c r="L72" s="3865" t="e">
        <f t="shared" si="14"/>
        <v>#DIV/0!</v>
      </c>
      <c r="M72" s="3865" t="e">
        <f t="shared" si="14"/>
        <v>#DIV/0!</v>
      </c>
      <c r="N72" s="218">
        <f t="shared" si="15"/>
        <v>0</v>
      </c>
      <c r="O72" s="218">
        <f t="shared" si="16"/>
        <v>0</v>
      </c>
      <c r="P72" s="218">
        <f>IF(K72=0, 0, (HLOOKUP(K72,'[1]G-CESTD'!$A$5:$G$35,J72+1,FALSE)*R22))</f>
        <v>0</v>
      </c>
      <c r="Q72" s="218">
        <f>IF(K72=0, 0, (HLOOKUP(K72,'[1]G-CESTD'!$A$5:$G$35,J72+1,FALSE)*R22))</f>
        <v>0</v>
      </c>
      <c r="R72" s="292">
        <v>1.081</v>
      </c>
      <c r="S72" s="293">
        <f t="shared" si="10"/>
        <v>0</v>
      </c>
      <c r="T72" s="293">
        <f t="shared" si="10"/>
        <v>0</v>
      </c>
      <c r="U72" s="293">
        <f t="shared" si="10"/>
        <v>0</v>
      </c>
      <c r="V72" s="338" t="e">
        <f t="shared" si="12"/>
        <v>#DIV/0!</v>
      </c>
      <c r="W72" s="338" t="e">
        <f t="shared" si="11"/>
        <v>#DIV/0!</v>
      </c>
      <c r="X72" s="338" t="e">
        <f t="shared" si="13"/>
        <v>#DIV/0!</v>
      </c>
    </row>
    <row r="73" spans="2:24" ht="13.8" x14ac:dyDescent="0.3">
      <c r="B73" s="296"/>
      <c r="C73" s="296" t="s">
        <v>221</v>
      </c>
      <c r="D73" s="296">
        <v>0</v>
      </c>
      <c r="E73" s="296" t="s">
        <v>617</v>
      </c>
      <c r="F73" s="296" t="s">
        <v>211</v>
      </c>
      <c r="G73" s="297"/>
      <c r="H73" s="297"/>
      <c r="I73" s="326">
        <v>0</v>
      </c>
      <c r="J73" s="267"/>
      <c r="K73" s="267"/>
      <c r="L73" s="3865" t="e">
        <f t="shared" si="14"/>
        <v>#DIV/0!</v>
      </c>
      <c r="M73" s="3865" t="e">
        <f t="shared" si="14"/>
        <v>#DIV/0!</v>
      </c>
      <c r="N73" s="218">
        <f t="shared" si="15"/>
        <v>0</v>
      </c>
      <c r="O73" s="218">
        <f t="shared" si="16"/>
        <v>0</v>
      </c>
      <c r="P73" s="218">
        <f>IF(K73=0, 0, (HLOOKUP(K73,'[1]G-CESTD'!$A$5:$G$35,J73+1,FALSE)*R23))</f>
        <v>0</v>
      </c>
      <c r="Q73" s="218">
        <f>IF(K73=0, 0, (HLOOKUP(K73,'[1]G-CESTD'!$A$5:$G$35,J73+1,FALSE)*R23))</f>
        <v>0</v>
      </c>
      <c r="R73" s="292">
        <v>1.081</v>
      </c>
      <c r="S73" s="293">
        <f t="shared" si="10"/>
        <v>0</v>
      </c>
      <c r="T73" s="293">
        <f t="shared" si="10"/>
        <v>0</v>
      </c>
      <c r="U73" s="293">
        <f t="shared" si="10"/>
        <v>0</v>
      </c>
      <c r="V73" s="338" t="e">
        <f t="shared" si="12"/>
        <v>#DIV/0!</v>
      </c>
      <c r="W73" s="338" t="e">
        <f t="shared" si="11"/>
        <v>#DIV/0!</v>
      </c>
      <c r="X73" s="338" t="e">
        <f t="shared" si="13"/>
        <v>#DIV/0!</v>
      </c>
    </row>
    <row r="74" spans="2:24" ht="13.8" x14ac:dyDescent="0.3">
      <c r="B74" s="296"/>
      <c r="C74" s="296" t="s">
        <v>222</v>
      </c>
      <c r="D74" s="267">
        <v>0</v>
      </c>
      <c r="E74" s="296" t="s">
        <v>617</v>
      </c>
      <c r="F74" s="296" t="s">
        <v>211</v>
      </c>
      <c r="G74" s="297"/>
      <c r="H74" s="297"/>
      <c r="I74" s="326">
        <v>0</v>
      </c>
      <c r="J74" s="267"/>
      <c r="K74" s="267"/>
      <c r="L74" s="3865" t="e">
        <f t="shared" si="14"/>
        <v>#DIV/0!</v>
      </c>
      <c r="M74" s="3865" t="e">
        <f t="shared" si="14"/>
        <v>#DIV/0!</v>
      </c>
      <c r="N74" s="218">
        <f t="shared" si="15"/>
        <v>0</v>
      </c>
      <c r="O74" s="218">
        <f t="shared" si="16"/>
        <v>0</v>
      </c>
      <c r="P74" s="218">
        <f>IF(K74=0, 0, (HLOOKUP(K74,'[1]G-CESTD'!$A$5:$G$35,J74+1,FALSE)*R24))</f>
        <v>0</v>
      </c>
      <c r="Q74" s="218">
        <f>IF(K74=0, 0, (HLOOKUP(K74,'[1]G-CESTD'!$A$5:$G$35,J74+1,FALSE)*R24))</f>
        <v>0</v>
      </c>
      <c r="R74" s="292">
        <v>1.081</v>
      </c>
      <c r="S74" s="293">
        <f t="shared" si="10"/>
        <v>0</v>
      </c>
      <c r="T74" s="293">
        <f t="shared" si="10"/>
        <v>0</v>
      </c>
      <c r="U74" s="293">
        <f t="shared" si="10"/>
        <v>0</v>
      </c>
      <c r="V74" s="338" t="e">
        <f t="shared" si="12"/>
        <v>#DIV/0!</v>
      </c>
      <c r="W74" s="338" t="e">
        <f t="shared" si="11"/>
        <v>#DIV/0!</v>
      </c>
      <c r="X74" s="338" t="e">
        <f t="shared" si="13"/>
        <v>#DIV/0!</v>
      </c>
    </row>
    <row r="75" spans="2:24" ht="13.8" x14ac:dyDescent="0.3">
      <c r="B75" s="296"/>
      <c r="C75" s="296" t="s">
        <v>223</v>
      </c>
      <c r="D75" s="296">
        <v>0</v>
      </c>
      <c r="E75" s="296" t="s">
        <v>617</v>
      </c>
      <c r="F75" s="296" t="s">
        <v>211</v>
      </c>
      <c r="G75" s="297"/>
      <c r="H75" s="297"/>
      <c r="I75" s="326">
        <v>0</v>
      </c>
      <c r="J75" s="267"/>
      <c r="K75" s="267"/>
      <c r="L75" s="3865" t="e">
        <f t="shared" si="14"/>
        <v>#DIV/0!</v>
      </c>
      <c r="M75" s="3865" t="e">
        <f t="shared" si="14"/>
        <v>#DIV/0!</v>
      </c>
      <c r="N75" s="218">
        <f t="shared" si="15"/>
        <v>0</v>
      </c>
      <c r="O75" s="218">
        <f t="shared" si="16"/>
        <v>0</v>
      </c>
      <c r="P75" s="218">
        <f>IF(K75=0, 0, (HLOOKUP(K75,'[1]G-CESTD'!$A$5:$G$35,J75+1,FALSE)*R25))</f>
        <v>0</v>
      </c>
      <c r="Q75" s="218">
        <f>IF(K75=0, 0, (HLOOKUP(K75,'[1]G-CESTD'!$A$5:$G$35,J75+1,FALSE)*R25))</f>
        <v>0</v>
      </c>
      <c r="R75" s="292">
        <v>1.081</v>
      </c>
      <c r="S75" s="293">
        <f t="shared" si="10"/>
        <v>0</v>
      </c>
      <c r="T75" s="293">
        <f t="shared" si="10"/>
        <v>0</v>
      </c>
      <c r="U75" s="293">
        <f t="shared" si="10"/>
        <v>0</v>
      </c>
      <c r="V75" s="338" t="e">
        <f t="shared" si="12"/>
        <v>#DIV/0!</v>
      </c>
      <c r="W75" s="338" t="e">
        <f t="shared" si="11"/>
        <v>#DIV/0!</v>
      </c>
      <c r="X75" s="338" t="e">
        <f t="shared" si="13"/>
        <v>#DIV/0!</v>
      </c>
    </row>
    <row r="76" spans="2:24" ht="13.8" x14ac:dyDescent="0.3">
      <c r="B76" s="296"/>
      <c r="C76" s="296" t="s">
        <v>224</v>
      </c>
      <c r="D76" s="267">
        <v>0</v>
      </c>
      <c r="E76" s="296" t="s">
        <v>617</v>
      </c>
      <c r="F76" s="296" t="s">
        <v>211</v>
      </c>
      <c r="G76" s="297"/>
      <c r="H76" s="297"/>
      <c r="I76" s="326">
        <v>0</v>
      </c>
      <c r="J76" s="267"/>
      <c r="K76" s="267"/>
      <c r="L76" s="3865" t="e">
        <f t="shared" si="14"/>
        <v>#DIV/0!</v>
      </c>
      <c r="M76" s="3865" t="e">
        <f t="shared" si="14"/>
        <v>#DIV/0!</v>
      </c>
      <c r="N76" s="218">
        <f t="shared" si="15"/>
        <v>0</v>
      </c>
      <c r="O76" s="218">
        <f t="shared" si="16"/>
        <v>0</v>
      </c>
      <c r="P76" s="218">
        <f>IF(K76=0, 0, (HLOOKUP(K76,'[1]G-CESTD'!$A$5:$G$35,J76+1,FALSE)*R26))</f>
        <v>0</v>
      </c>
      <c r="Q76" s="218">
        <f>IF(K76=0, 0, (HLOOKUP(K76,'[1]G-CESTD'!$A$5:$G$35,J76+1,FALSE)*R26))</f>
        <v>0</v>
      </c>
      <c r="R76" s="292">
        <v>1.081</v>
      </c>
      <c r="S76" s="293">
        <f t="shared" si="10"/>
        <v>0</v>
      </c>
      <c r="T76" s="293">
        <f t="shared" si="10"/>
        <v>0</v>
      </c>
      <c r="U76" s="293">
        <f t="shared" si="10"/>
        <v>0</v>
      </c>
      <c r="V76" s="338" t="e">
        <f t="shared" si="12"/>
        <v>#DIV/0!</v>
      </c>
      <c r="W76" s="338" t="e">
        <f t="shared" si="11"/>
        <v>#DIV/0!</v>
      </c>
      <c r="X76" s="338" t="e">
        <f t="shared" si="13"/>
        <v>#DIV/0!</v>
      </c>
    </row>
    <row r="77" spans="2:24" ht="13.8" x14ac:dyDescent="0.3">
      <c r="B77" s="296"/>
      <c r="C77" s="296" t="s">
        <v>225</v>
      </c>
      <c r="D77" s="296">
        <v>0</v>
      </c>
      <c r="E77" s="296" t="s">
        <v>617</v>
      </c>
      <c r="F77" s="296" t="s">
        <v>211</v>
      </c>
      <c r="G77" s="297"/>
      <c r="H77" s="297"/>
      <c r="I77" s="326">
        <v>0</v>
      </c>
      <c r="J77" s="267"/>
      <c r="K77" s="267"/>
      <c r="L77" s="3865" t="e">
        <f t="shared" si="14"/>
        <v>#DIV/0!</v>
      </c>
      <c r="M77" s="3865" t="e">
        <f t="shared" si="14"/>
        <v>#DIV/0!</v>
      </c>
      <c r="N77" s="218">
        <f t="shared" si="15"/>
        <v>0</v>
      </c>
      <c r="O77" s="218">
        <f t="shared" si="16"/>
        <v>0</v>
      </c>
      <c r="P77" s="218">
        <f>IF(K77=0, 0, (HLOOKUP(K77,'[1]G-CESTD'!$A$5:$G$35,J77+1,FALSE)*R27))</f>
        <v>0</v>
      </c>
      <c r="Q77" s="218">
        <f>IF(K77=0, 0, (HLOOKUP(K77,'[1]G-CESTD'!$A$5:$G$35,J77+1,FALSE)*R27))</f>
        <v>0</v>
      </c>
      <c r="R77" s="292">
        <v>1.081</v>
      </c>
      <c r="S77" s="293">
        <f t="shared" si="10"/>
        <v>0</v>
      </c>
      <c r="T77" s="293">
        <f t="shared" si="10"/>
        <v>0</v>
      </c>
      <c r="U77" s="293">
        <f t="shared" si="10"/>
        <v>0</v>
      </c>
      <c r="V77" s="338" t="e">
        <f t="shared" si="12"/>
        <v>#DIV/0!</v>
      </c>
      <c r="W77" s="338" t="e">
        <f t="shared" si="11"/>
        <v>#DIV/0!</v>
      </c>
      <c r="X77" s="338" t="e">
        <f t="shared" si="13"/>
        <v>#DIV/0!</v>
      </c>
    </row>
    <row r="78" spans="2:24" ht="13.8" x14ac:dyDescent="0.3">
      <c r="B78" s="296"/>
      <c r="C78" s="296" t="s">
        <v>226</v>
      </c>
      <c r="D78" s="267">
        <v>0</v>
      </c>
      <c r="E78" s="296" t="s">
        <v>617</v>
      </c>
      <c r="F78" s="296" t="s">
        <v>211</v>
      </c>
      <c r="G78" s="297"/>
      <c r="H78" s="297"/>
      <c r="I78" s="326">
        <v>0</v>
      </c>
      <c r="J78" s="267"/>
      <c r="K78" s="267"/>
      <c r="L78" s="3865" t="e">
        <f t="shared" si="14"/>
        <v>#DIV/0!</v>
      </c>
      <c r="M78" s="3865" t="e">
        <f t="shared" si="14"/>
        <v>#DIV/0!</v>
      </c>
      <c r="N78" s="218">
        <f t="shared" si="15"/>
        <v>0</v>
      </c>
      <c r="O78" s="218">
        <f t="shared" si="16"/>
        <v>0</v>
      </c>
      <c r="P78" s="218">
        <f>IF(K78=0, 0, (HLOOKUP(K78,'[1]G-CESTD'!$A$5:$G$35,J78+1,FALSE)*R28))</f>
        <v>0</v>
      </c>
      <c r="Q78" s="218">
        <f>IF(K78=0, 0, (HLOOKUP(K78,'[1]G-CESTD'!$A$5:$G$35,J78+1,FALSE)*R28))</f>
        <v>0</v>
      </c>
      <c r="R78" s="292">
        <v>1.081</v>
      </c>
      <c r="S78" s="293">
        <f t="shared" ref="S78:U103" si="17">M28*$H78</f>
        <v>0</v>
      </c>
      <c r="T78" s="293">
        <f t="shared" si="17"/>
        <v>0</v>
      </c>
      <c r="U78" s="293">
        <f t="shared" si="17"/>
        <v>0</v>
      </c>
      <c r="V78" s="338" t="e">
        <f t="shared" si="12"/>
        <v>#DIV/0!</v>
      </c>
      <c r="W78" s="338" t="e">
        <f t="shared" si="11"/>
        <v>#DIV/0!</v>
      </c>
      <c r="X78" s="338" t="e">
        <f t="shared" si="13"/>
        <v>#DIV/0!</v>
      </c>
    </row>
    <row r="79" spans="2:24" ht="13.8" x14ac:dyDescent="0.3">
      <c r="B79" s="296"/>
      <c r="C79" s="296" t="s">
        <v>227</v>
      </c>
      <c r="D79" s="296">
        <v>0</v>
      </c>
      <c r="E79" s="296" t="s">
        <v>617</v>
      </c>
      <c r="F79" s="296" t="s">
        <v>211</v>
      </c>
      <c r="G79" s="297"/>
      <c r="H79" s="297"/>
      <c r="I79" s="326">
        <v>0</v>
      </c>
      <c r="J79" s="267"/>
      <c r="K79" s="267"/>
      <c r="L79" s="3865" t="e">
        <f t="shared" si="14"/>
        <v>#DIV/0!</v>
      </c>
      <c r="M79" s="3865" t="e">
        <f t="shared" si="14"/>
        <v>#DIV/0!</v>
      </c>
      <c r="N79" s="218">
        <f t="shared" si="15"/>
        <v>0</v>
      </c>
      <c r="O79" s="218">
        <f t="shared" si="16"/>
        <v>0</v>
      </c>
      <c r="P79" s="218">
        <f>IF(K79=0, 0, (HLOOKUP(K79,'[1]G-CESTD'!$A$5:$G$35,J79+1,FALSE)*R29))</f>
        <v>0</v>
      </c>
      <c r="Q79" s="218">
        <f>IF(K79=0, 0, (HLOOKUP(K79,'[1]G-CESTD'!$A$5:$G$35,J79+1,FALSE)*R29))</f>
        <v>0</v>
      </c>
      <c r="R79" s="292">
        <v>1.081</v>
      </c>
      <c r="S79" s="293">
        <f t="shared" si="17"/>
        <v>0</v>
      </c>
      <c r="T79" s="293">
        <f t="shared" si="17"/>
        <v>0</v>
      </c>
      <c r="U79" s="293">
        <f t="shared" si="17"/>
        <v>0</v>
      </c>
      <c r="V79" s="338" t="e">
        <f t="shared" si="12"/>
        <v>#DIV/0!</v>
      </c>
      <c r="W79" s="338" t="e">
        <f t="shared" si="11"/>
        <v>#DIV/0!</v>
      </c>
      <c r="X79" s="338" t="e">
        <f t="shared" si="13"/>
        <v>#DIV/0!</v>
      </c>
    </row>
    <row r="80" spans="2:24" ht="13.8" x14ac:dyDescent="0.3">
      <c r="B80" s="296"/>
      <c r="C80" s="296" t="s">
        <v>228</v>
      </c>
      <c r="D80" s="296">
        <v>0</v>
      </c>
      <c r="E80" s="296" t="s">
        <v>617</v>
      </c>
      <c r="F80" s="296" t="s">
        <v>211</v>
      </c>
      <c r="G80" s="297"/>
      <c r="H80" s="297"/>
      <c r="I80" s="326">
        <v>0</v>
      </c>
      <c r="J80" s="267"/>
      <c r="K80" s="267"/>
      <c r="L80" s="3865" t="e">
        <f t="shared" si="14"/>
        <v>#DIV/0!</v>
      </c>
      <c r="M80" s="3865" t="e">
        <f t="shared" si="14"/>
        <v>#DIV/0!</v>
      </c>
      <c r="N80" s="218">
        <f t="shared" si="15"/>
        <v>0</v>
      </c>
      <c r="O80" s="218">
        <f t="shared" si="16"/>
        <v>0</v>
      </c>
      <c r="P80" s="218">
        <f>IF(K80=0, 0, (HLOOKUP(K80,'[1]G-CESTD'!$A$5:$G$35,J80+1,FALSE)*R30))</f>
        <v>0</v>
      </c>
      <c r="Q80" s="218">
        <f>IF(K80=0, 0, (HLOOKUP(K80,'[1]G-CESTD'!$A$5:$G$35,J80+1,FALSE)*R30))</f>
        <v>0</v>
      </c>
      <c r="R80" s="292">
        <v>1.081</v>
      </c>
      <c r="S80" s="293">
        <f t="shared" si="17"/>
        <v>0</v>
      </c>
      <c r="T80" s="293">
        <f t="shared" si="17"/>
        <v>0</v>
      </c>
      <c r="U80" s="293">
        <f t="shared" si="17"/>
        <v>0</v>
      </c>
      <c r="V80" s="338" t="e">
        <f t="shared" si="12"/>
        <v>#DIV/0!</v>
      </c>
      <c r="W80" s="338" t="e">
        <f t="shared" si="11"/>
        <v>#DIV/0!</v>
      </c>
      <c r="X80" s="338" t="e">
        <f t="shared" si="13"/>
        <v>#DIV/0!</v>
      </c>
    </row>
    <row r="81" spans="2:21" ht="13.8" x14ac:dyDescent="0.3">
      <c r="B81" s="296"/>
      <c r="C81" s="296" t="s">
        <v>229</v>
      </c>
      <c r="D81" s="296">
        <v>0</v>
      </c>
      <c r="E81" s="296" t="s">
        <v>617</v>
      </c>
      <c r="F81" s="296" t="s">
        <v>211</v>
      </c>
      <c r="G81" s="297"/>
      <c r="H81" s="297"/>
      <c r="I81" s="326">
        <v>0</v>
      </c>
      <c r="J81" s="267"/>
      <c r="K81" s="267"/>
      <c r="L81" s="3865" t="e">
        <f t="shared" si="14"/>
        <v>#DIV/0!</v>
      </c>
      <c r="M81" s="3865" t="e">
        <f t="shared" si="14"/>
        <v>#DIV/0!</v>
      </c>
      <c r="N81" s="218">
        <f t="shared" si="15"/>
        <v>0</v>
      </c>
      <c r="O81" s="218">
        <f t="shared" si="16"/>
        <v>0</v>
      </c>
      <c r="P81" s="218">
        <f>IF(K81=0, 0, (HLOOKUP(K81,'[1]G-CESTD'!$A$5:$G$35,J81+1,FALSE)*R31))</f>
        <v>0</v>
      </c>
      <c r="Q81" s="218">
        <f>IF(K81=0, 0, (HLOOKUP(K81,'[1]G-CESTD'!$A$5:$G$35,J81+1,FALSE)*R31))</f>
        <v>0</v>
      </c>
      <c r="R81" s="292">
        <v>1.081</v>
      </c>
      <c r="S81" s="293">
        <f t="shared" si="17"/>
        <v>0</v>
      </c>
      <c r="T81" s="293">
        <f t="shared" si="17"/>
        <v>0</v>
      </c>
      <c r="U81" s="293">
        <f t="shared" si="17"/>
        <v>0</v>
      </c>
    </row>
    <row r="82" spans="2:21" ht="13.8" x14ac:dyDescent="0.3">
      <c r="B82" s="296"/>
      <c r="C82" s="296" t="s">
        <v>230</v>
      </c>
      <c r="D82" s="299">
        <v>0</v>
      </c>
      <c r="E82" s="296" t="s">
        <v>617</v>
      </c>
      <c r="F82" s="296" t="s">
        <v>211</v>
      </c>
      <c r="G82" s="297"/>
      <c r="H82" s="297"/>
      <c r="I82" s="326">
        <v>0</v>
      </c>
      <c r="J82" s="267"/>
      <c r="K82" s="267"/>
      <c r="L82" s="3865" t="e">
        <f t="shared" si="14"/>
        <v>#DIV/0!</v>
      </c>
      <c r="M82" s="3865" t="e">
        <f t="shared" si="14"/>
        <v>#DIV/0!</v>
      </c>
      <c r="N82" s="218">
        <f t="shared" si="15"/>
        <v>0</v>
      </c>
      <c r="O82" s="218">
        <f t="shared" si="16"/>
        <v>0</v>
      </c>
      <c r="P82" s="218">
        <f>IF(K82=0, 0, (HLOOKUP(K82,'[1]G-CESTD'!$A$5:$G$35,J82+1,FALSE)*R32))</f>
        <v>0</v>
      </c>
      <c r="Q82" s="218">
        <f>IF(K82=0, 0, (HLOOKUP(K82,'[1]G-CESTD'!$A$5:$G$35,J82+1,FALSE)*R32))</f>
        <v>0</v>
      </c>
      <c r="R82" s="292">
        <v>1.081</v>
      </c>
      <c r="S82" s="293">
        <f t="shared" si="17"/>
        <v>0</v>
      </c>
      <c r="T82" s="293">
        <f t="shared" si="17"/>
        <v>0</v>
      </c>
      <c r="U82" s="293">
        <f t="shared" si="17"/>
        <v>0</v>
      </c>
    </row>
    <row r="83" spans="2:21" ht="13.8" x14ac:dyDescent="0.3">
      <c r="B83" s="296"/>
      <c r="C83" s="296" t="s">
        <v>231</v>
      </c>
      <c r="D83" s="299">
        <v>0</v>
      </c>
      <c r="E83" s="296" t="s">
        <v>617</v>
      </c>
      <c r="F83" s="296" t="s">
        <v>211</v>
      </c>
      <c r="G83" s="297"/>
      <c r="H83" s="297"/>
      <c r="I83" s="326">
        <v>0</v>
      </c>
      <c r="J83" s="267"/>
      <c r="K83" s="267"/>
      <c r="L83" s="3865" t="e">
        <f t="shared" si="14"/>
        <v>#DIV/0!</v>
      </c>
      <c r="M83" s="3865" t="e">
        <f t="shared" si="14"/>
        <v>#DIV/0!</v>
      </c>
      <c r="N83" s="218">
        <f t="shared" si="15"/>
        <v>0</v>
      </c>
      <c r="O83" s="218">
        <f t="shared" si="16"/>
        <v>0</v>
      </c>
      <c r="P83" s="218">
        <f>IF(K83=0, 0, (HLOOKUP(K83,'[1]G-CESTD'!$A$5:$G$35,J83+1,FALSE)*R33))</f>
        <v>0</v>
      </c>
      <c r="Q83" s="218">
        <f>IF(K83=0, 0, (HLOOKUP(K83,'[1]G-CESTD'!$A$5:$G$35,J83+1,FALSE)*R33))</f>
        <v>0</v>
      </c>
      <c r="R83" s="292">
        <v>1.081</v>
      </c>
      <c r="S83" s="293">
        <f t="shared" si="17"/>
        <v>0</v>
      </c>
      <c r="T83" s="293">
        <f t="shared" si="17"/>
        <v>0</v>
      </c>
      <c r="U83" s="293">
        <f t="shared" si="17"/>
        <v>0</v>
      </c>
    </row>
    <row r="84" spans="2:21" ht="13.8" x14ac:dyDescent="0.3">
      <c r="B84" s="296"/>
      <c r="C84" s="296" t="s">
        <v>232</v>
      </c>
      <c r="D84" s="299">
        <v>0</v>
      </c>
      <c r="E84" s="296" t="s">
        <v>617</v>
      </c>
      <c r="F84" s="296" t="s">
        <v>211</v>
      </c>
      <c r="G84" s="297"/>
      <c r="H84" s="297"/>
      <c r="I84" s="326">
        <v>0</v>
      </c>
      <c r="J84" s="267"/>
      <c r="K84" s="267"/>
      <c r="L84" s="3865" t="e">
        <f t="shared" si="14"/>
        <v>#DIV/0!</v>
      </c>
      <c r="M84" s="3865" t="e">
        <f t="shared" si="14"/>
        <v>#DIV/0!</v>
      </c>
      <c r="N84" s="218">
        <f t="shared" si="15"/>
        <v>0</v>
      </c>
      <c r="O84" s="218">
        <f t="shared" si="16"/>
        <v>0</v>
      </c>
      <c r="P84" s="218">
        <f>IF(K84=0, 0, (HLOOKUP(K84,'[1]G-CESTD'!$A$5:$G$35,J84+1,FALSE)*R34))</f>
        <v>0</v>
      </c>
      <c r="Q84" s="218">
        <f>IF(K84=0, 0, (HLOOKUP(K84,'[1]G-CESTD'!$A$5:$G$35,J84+1,FALSE)*R34))</f>
        <v>0</v>
      </c>
      <c r="R84" s="292">
        <v>1.081</v>
      </c>
      <c r="S84" s="293">
        <f t="shared" si="17"/>
        <v>0</v>
      </c>
      <c r="T84" s="293">
        <f t="shared" si="17"/>
        <v>0</v>
      </c>
      <c r="U84" s="293">
        <f t="shared" si="17"/>
        <v>0</v>
      </c>
    </row>
    <row r="85" spans="2:21" ht="13.8" x14ac:dyDescent="0.3">
      <c r="B85" s="296"/>
      <c r="C85" s="296" t="s">
        <v>233</v>
      </c>
      <c r="D85" s="299">
        <v>0</v>
      </c>
      <c r="E85" s="296" t="s">
        <v>617</v>
      </c>
      <c r="F85" s="296" t="s">
        <v>211</v>
      </c>
      <c r="G85" s="297"/>
      <c r="H85" s="297"/>
      <c r="I85" s="326">
        <v>0</v>
      </c>
      <c r="J85" s="267"/>
      <c r="K85" s="267"/>
      <c r="L85" s="3865" t="e">
        <f t="shared" si="14"/>
        <v>#DIV/0!</v>
      </c>
      <c r="M85" s="3865" t="e">
        <f t="shared" si="14"/>
        <v>#DIV/0!</v>
      </c>
      <c r="N85" s="218">
        <f t="shared" si="15"/>
        <v>0</v>
      </c>
      <c r="O85" s="218">
        <f t="shared" si="16"/>
        <v>0</v>
      </c>
      <c r="P85" s="218">
        <f>IF(K85=0, 0, (HLOOKUP(K85,'[1]G-CESTD'!$A$5:$G$35,J85+1,FALSE)*R35))</f>
        <v>0</v>
      </c>
      <c r="Q85" s="218">
        <f>IF(K85=0, 0, (HLOOKUP(K85,'[1]G-CESTD'!$A$5:$G$35,J85+1,FALSE)*R35))</f>
        <v>0</v>
      </c>
      <c r="R85" s="292">
        <v>1.081</v>
      </c>
      <c r="S85" s="293">
        <f t="shared" si="17"/>
        <v>0</v>
      </c>
      <c r="T85" s="293">
        <f t="shared" si="17"/>
        <v>0</v>
      </c>
      <c r="U85" s="293">
        <f t="shared" si="17"/>
        <v>0</v>
      </c>
    </row>
    <row r="86" spans="2:21" ht="13.8" x14ac:dyDescent="0.3">
      <c r="B86" s="296"/>
      <c r="C86" s="296" t="s">
        <v>234</v>
      </c>
      <c r="D86" s="299">
        <v>0</v>
      </c>
      <c r="E86" s="296" t="s">
        <v>617</v>
      </c>
      <c r="F86" s="296" t="s">
        <v>211</v>
      </c>
      <c r="G86" s="297"/>
      <c r="H86" s="297"/>
      <c r="I86" s="326">
        <v>0</v>
      </c>
      <c r="J86" s="267"/>
      <c r="K86" s="267"/>
      <c r="L86" s="3865" t="e">
        <f t="shared" si="14"/>
        <v>#DIV/0!</v>
      </c>
      <c r="M86" s="3865" t="e">
        <f t="shared" si="14"/>
        <v>#DIV/0!</v>
      </c>
      <c r="N86" s="218">
        <f t="shared" si="15"/>
        <v>0</v>
      </c>
      <c r="O86" s="218">
        <f t="shared" si="16"/>
        <v>0</v>
      </c>
      <c r="P86" s="218">
        <f>IF(K86=0, 0, (HLOOKUP(K86,'[1]G-CESTD'!$A$5:$G$35,J86+1,FALSE)*R36))</f>
        <v>0</v>
      </c>
      <c r="Q86" s="218">
        <f>IF(K86=0, 0, (HLOOKUP(K86,'[1]G-CESTD'!$A$5:$G$35,J86+1,FALSE)*R36))</f>
        <v>0</v>
      </c>
      <c r="R86" s="292">
        <v>1.081</v>
      </c>
      <c r="S86" s="293">
        <f t="shared" si="17"/>
        <v>0</v>
      </c>
      <c r="T86" s="293">
        <f t="shared" si="17"/>
        <v>0</v>
      </c>
      <c r="U86" s="293">
        <f t="shared" si="17"/>
        <v>0</v>
      </c>
    </row>
    <row r="87" spans="2:21" ht="13.8" x14ac:dyDescent="0.3">
      <c r="B87" s="296"/>
      <c r="C87" s="296" t="s">
        <v>235</v>
      </c>
      <c r="D87" s="299">
        <v>0</v>
      </c>
      <c r="E87" s="296" t="s">
        <v>617</v>
      </c>
      <c r="F87" s="296" t="s">
        <v>211</v>
      </c>
      <c r="G87" s="297"/>
      <c r="H87" s="297"/>
      <c r="I87" s="326">
        <v>0</v>
      </c>
      <c r="J87" s="267"/>
      <c r="K87" s="267"/>
      <c r="L87" s="3865" t="e">
        <f t="shared" si="14"/>
        <v>#DIV/0!</v>
      </c>
      <c r="M87" s="3865" t="e">
        <f t="shared" si="14"/>
        <v>#DIV/0!</v>
      </c>
      <c r="N87" s="218">
        <f t="shared" si="15"/>
        <v>0</v>
      </c>
      <c r="O87" s="218">
        <f t="shared" si="16"/>
        <v>0</v>
      </c>
      <c r="P87" s="218">
        <f>IF(K87=0, 0, (HLOOKUP(K87,'[1]G-CESTD'!$A$5:$G$35,J87+1,FALSE)*R37))</f>
        <v>0</v>
      </c>
      <c r="Q87" s="218">
        <f>IF(K87=0, 0, (HLOOKUP(K87,'[1]G-CESTD'!$A$5:$G$35,J87+1,FALSE)*R37))</f>
        <v>0</v>
      </c>
      <c r="R87" s="292">
        <v>1.081</v>
      </c>
      <c r="S87" s="293">
        <f t="shared" si="17"/>
        <v>0</v>
      </c>
      <c r="T87" s="293">
        <f t="shared" si="17"/>
        <v>0</v>
      </c>
      <c r="U87" s="293">
        <f t="shared" si="17"/>
        <v>0</v>
      </c>
    </row>
    <row r="88" spans="2:21" ht="13.8" x14ac:dyDescent="0.3">
      <c r="B88" s="296"/>
      <c r="C88" s="296" t="s">
        <v>236</v>
      </c>
      <c r="D88" s="299">
        <v>0</v>
      </c>
      <c r="E88" s="296" t="s">
        <v>617</v>
      </c>
      <c r="F88" s="296" t="s">
        <v>211</v>
      </c>
      <c r="G88" s="297"/>
      <c r="H88" s="297"/>
      <c r="I88" s="326">
        <v>0</v>
      </c>
      <c r="J88" s="267"/>
      <c r="K88" s="267"/>
      <c r="L88" s="3865" t="e">
        <f t="shared" si="14"/>
        <v>#DIV/0!</v>
      </c>
      <c r="M88" s="3865" t="e">
        <f t="shared" si="14"/>
        <v>#DIV/0!</v>
      </c>
      <c r="N88" s="218">
        <f t="shared" si="15"/>
        <v>0</v>
      </c>
      <c r="O88" s="218">
        <f t="shared" si="16"/>
        <v>0</v>
      </c>
      <c r="P88" s="218">
        <f>IF(K88=0, 0, (HLOOKUP(K88,'[1]G-CESTD'!$A$5:$G$35,J88+1,FALSE)*R38))</f>
        <v>0</v>
      </c>
      <c r="Q88" s="218">
        <f>IF(K88=0, 0, (HLOOKUP(K88,'[1]G-CESTD'!$A$5:$G$35,J88+1,FALSE)*R38))</f>
        <v>0</v>
      </c>
      <c r="R88" s="292">
        <v>1.081</v>
      </c>
      <c r="S88" s="293">
        <f t="shared" si="17"/>
        <v>0</v>
      </c>
      <c r="T88" s="293">
        <f t="shared" si="17"/>
        <v>0</v>
      </c>
      <c r="U88" s="293">
        <f t="shared" si="17"/>
        <v>0</v>
      </c>
    </row>
    <row r="89" spans="2:21" ht="13.8" x14ac:dyDescent="0.3">
      <c r="B89" s="296"/>
      <c r="C89" s="296" t="s">
        <v>237</v>
      </c>
      <c r="D89" s="299">
        <v>0</v>
      </c>
      <c r="E89" s="296" t="s">
        <v>617</v>
      </c>
      <c r="F89" s="296" t="s">
        <v>211</v>
      </c>
      <c r="G89" s="297"/>
      <c r="H89" s="297"/>
      <c r="I89" s="326">
        <v>0</v>
      </c>
      <c r="J89" s="267"/>
      <c r="K89" s="267"/>
      <c r="L89" s="3865" t="e">
        <f t="shared" si="14"/>
        <v>#DIV/0!</v>
      </c>
      <c r="M89" s="3865" t="e">
        <f t="shared" si="14"/>
        <v>#DIV/0!</v>
      </c>
      <c r="N89" s="218">
        <f t="shared" si="15"/>
        <v>0</v>
      </c>
      <c r="O89" s="218">
        <f t="shared" si="16"/>
        <v>0</v>
      </c>
      <c r="P89" s="218">
        <f>IF(K89=0, 0, (HLOOKUP(K89,'[1]G-CESTD'!$A$5:$G$35,J89+1,FALSE)*R39))</f>
        <v>0</v>
      </c>
      <c r="Q89" s="218">
        <f>IF(K89=0, 0, (HLOOKUP(K89,'[1]G-CESTD'!$A$5:$G$35,J89+1,FALSE)*R39))</f>
        <v>0</v>
      </c>
      <c r="R89" s="292">
        <v>1.081</v>
      </c>
      <c r="S89" s="293">
        <f t="shared" si="17"/>
        <v>0</v>
      </c>
      <c r="T89" s="293">
        <f t="shared" si="17"/>
        <v>0</v>
      </c>
      <c r="U89" s="293">
        <f t="shared" si="17"/>
        <v>0</v>
      </c>
    </row>
    <row r="90" spans="2:21" ht="13.8" x14ac:dyDescent="0.3">
      <c r="B90" s="296"/>
      <c r="C90" s="296" t="s">
        <v>238</v>
      </c>
      <c r="D90" s="299">
        <v>0</v>
      </c>
      <c r="E90" s="296" t="s">
        <v>617</v>
      </c>
      <c r="F90" s="296" t="s">
        <v>211</v>
      </c>
      <c r="G90" s="297"/>
      <c r="H90" s="297"/>
      <c r="I90" s="326">
        <v>0</v>
      </c>
      <c r="J90" s="267"/>
      <c r="K90" s="267"/>
      <c r="L90" s="3865" t="e">
        <f t="shared" si="14"/>
        <v>#DIV/0!</v>
      </c>
      <c r="M90" s="3865" t="e">
        <f t="shared" si="14"/>
        <v>#DIV/0!</v>
      </c>
      <c r="N90" s="218">
        <f t="shared" si="15"/>
        <v>0</v>
      </c>
      <c r="O90" s="218">
        <f t="shared" si="16"/>
        <v>0</v>
      </c>
      <c r="P90" s="218">
        <f>IF(K90=0, 0, (HLOOKUP(K90,'[1]G-CESTD'!$A$5:$G$35,J90+1,FALSE)*R40))</f>
        <v>0</v>
      </c>
      <c r="Q90" s="218">
        <f>IF(K90=0, 0, (HLOOKUP(K90,'[1]G-CESTD'!$A$5:$G$35,J90+1,FALSE)*R40))</f>
        <v>0</v>
      </c>
      <c r="R90" s="292">
        <v>1.081</v>
      </c>
      <c r="S90" s="293">
        <f t="shared" si="17"/>
        <v>0</v>
      </c>
      <c r="T90" s="293">
        <f t="shared" si="17"/>
        <v>0</v>
      </c>
      <c r="U90" s="293">
        <f t="shared" si="17"/>
        <v>0</v>
      </c>
    </row>
    <row r="91" spans="2:21" ht="13.8" x14ac:dyDescent="0.3">
      <c r="B91" s="296"/>
      <c r="C91" s="296" t="s">
        <v>239</v>
      </c>
      <c r="D91" s="299">
        <v>0</v>
      </c>
      <c r="E91" s="296" t="s">
        <v>617</v>
      </c>
      <c r="F91" s="296" t="s">
        <v>211</v>
      </c>
      <c r="G91" s="297"/>
      <c r="H91" s="297"/>
      <c r="I91" s="326">
        <v>0</v>
      </c>
      <c r="J91" s="267"/>
      <c r="K91" s="267"/>
      <c r="L91" s="3865" t="e">
        <f t="shared" si="14"/>
        <v>#DIV/0!</v>
      </c>
      <c r="M91" s="3865" t="e">
        <f t="shared" si="14"/>
        <v>#DIV/0!</v>
      </c>
      <c r="N91" s="218">
        <f t="shared" si="15"/>
        <v>0</v>
      </c>
      <c r="O91" s="218">
        <f t="shared" si="16"/>
        <v>0</v>
      </c>
      <c r="P91" s="218">
        <f>IF(K91=0, 0, (HLOOKUP(K91,'[1]G-CESTD'!$A$5:$G$35,J91+1,FALSE)*R41))</f>
        <v>0</v>
      </c>
      <c r="Q91" s="218">
        <f>IF(K91=0, 0, (HLOOKUP(K91,'[1]G-CESTD'!$A$5:$G$35,J91+1,FALSE)*R41))</f>
        <v>0</v>
      </c>
      <c r="R91" s="292">
        <v>1.081</v>
      </c>
      <c r="S91" s="293">
        <f t="shared" si="17"/>
        <v>0</v>
      </c>
      <c r="T91" s="293">
        <f t="shared" si="17"/>
        <v>0</v>
      </c>
      <c r="U91" s="293">
        <f t="shared" si="17"/>
        <v>0</v>
      </c>
    </row>
    <row r="92" spans="2:21" ht="13.8" x14ac:dyDescent="0.3">
      <c r="B92" s="296"/>
      <c r="C92" s="296" t="s">
        <v>240</v>
      </c>
      <c r="D92" s="299">
        <v>0</v>
      </c>
      <c r="E92" s="296" t="s">
        <v>617</v>
      </c>
      <c r="F92" s="296" t="s">
        <v>211</v>
      </c>
      <c r="G92" s="297"/>
      <c r="H92" s="297"/>
      <c r="I92" s="326">
        <v>0</v>
      </c>
      <c r="J92" s="267"/>
      <c r="K92" s="267"/>
      <c r="L92" s="3865" t="e">
        <f t="shared" si="14"/>
        <v>#DIV/0!</v>
      </c>
      <c r="M92" s="3865" t="e">
        <f t="shared" si="14"/>
        <v>#DIV/0!</v>
      </c>
      <c r="N92" s="218">
        <f t="shared" si="15"/>
        <v>0</v>
      </c>
      <c r="O92" s="218">
        <f t="shared" si="16"/>
        <v>0</v>
      </c>
      <c r="P92" s="218">
        <f>IF(K92=0, 0, (HLOOKUP(K92,'[1]G-CESTD'!$A$5:$G$35,J92+1,FALSE)*R42))</f>
        <v>0</v>
      </c>
      <c r="Q92" s="218">
        <f>IF(K92=0, 0, (HLOOKUP(K92,'[1]G-CESTD'!$A$5:$G$35,J92+1,FALSE)*R42))</f>
        <v>0</v>
      </c>
      <c r="R92" s="292">
        <v>1.081</v>
      </c>
      <c r="S92" s="293">
        <f t="shared" si="17"/>
        <v>0</v>
      </c>
      <c r="T92" s="293">
        <f t="shared" si="17"/>
        <v>0</v>
      </c>
      <c r="U92" s="293">
        <f t="shared" si="17"/>
        <v>0</v>
      </c>
    </row>
    <row r="93" spans="2:21" ht="13.8" x14ac:dyDescent="0.3">
      <c r="B93" s="296"/>
      <c r="C93" s="296" t="s">
        <v>241</v>
      </c>
      <c r="D93" s="299">
        <v>0</v>
      </c>
      <c r="E93" s="296" t="s">
        <v>617</v>
      </c>
      <c r="F93" s="296" t="s">
        <v>211</v>
      </c>
      <c r="G93" s="297"/>
      <c r="H93" s="297"/>
      <c r="I93" s="326">
        <v>0</v>
      </c>
      <c r="J93" s="267"/>
      <c r="K93" s="267"/>
      <c r="L93" s="3865" t="e">
        <f t="shared" si="14"/>
        <v>#DIV/0!</v>
      </c>
      <c r="M93" s="3865" t="e">
        <f t="shared" si="14"/>
        <v>#DIV/0!</v>
      </c>
      <c r="N93" s="218">
        <f t="shared" si="15"/>
        <v>0</v>
      </c>
      <c r="O93" s="218">
        <f t="shared" si="16"/>
        <v>0</v>
      </c>
      <c r="P93" s="218">
        <f>IF(K93=0, 0, (HLOOKUP(K93,'[1]G-CESTD'!$A$5:$G$35,J93+1,FALSE)*R43))</f>
        <v>0</v>
      </c>
      <c r="Q93" s="218">
        <f>IF(K93=0, 0, (HLOOKUP(K93,'[1]G-CESTD'!$A$5:$G$35,J93+1,FALSE)*R43))</f>
        <v>0</v>
      </c>
      <c r="R93" s="292">
        <v>1.081</v>
      </c>
      <c r="S93" s="293">
        <f t="shared" si="17"/>
        <v>0</v>
      </c>
      <c r="T93" s="293">
        <f t="shared" si="17"/>
        <v>0</v>
      </c>
      <c r="U93" s="293">
        <f t="shared" si="17"/>
        <v>0</v>
      </c>
    </row>
    <row r="94" spans="2:21" ht="13.8" x14ac:dyDescent="0.3">
      <c r="B94" s="296"/>
      <c r="C94" s="296" t="s">
        <v>242</v>
      </c>
      <c r="D94" s="299">
        <v>0</v>
      </c>
      <c r="E94" s="296" t="s">
        <v>617</v>
      </c>
      <c r="F94" s="296" t="s">
        <v>211</v>
      </c>
      <c r="G94" s="297"/>
      <c r="H94" s="297"/>
      <c r="I94" s="326">
        <v>0</v>
      </c>
      <c r="J94" s="267"/>
      <c r="K94" s="267"/>
      <c r="L94" s="3865" t="e">
        <f t="shared" si="14"/>
        <v>#DIV/0!</v>
      </c>
      <c r="M94" s="3865" t="e">
        <f t="shared" si="14"/>
        <v>#DIV/0!</v>
      </c>
      <c r="N94" s="218">
        <f t="shared" si="15"/>
        <v>0</v>
      </c>
      <c r="O94" s="218">
        <f t="shared" si="16"/>
        <v>0</v>
      </c>
      <c r="P94" s="218">
        <f>IF(K94=0, 0, (HLOOKUP(K94,'[1]G-CESTD'!$A$5:$G$35,J94+1,FALSE)*R44))</f>
        <v>0</v>
      </c>
      <c r="Q94" s="218">
        <f>IF(K94=0, 0, (HLOOKUP(K94,'[1]G-CESTD'!$A$5:$G$35,J94+1,FALSE)*R44))</f>
        <v>0</v>
      </c>
      <c r="R94" s="292">
        <v>1.081</v>
      </c>
      <c r="S94" s="293">
        <f t="shared" si="17"/>
        <v>0</v>
      </c>
      <c r="T94" s="293">
        <f t="shared" si="17"/>
        <v>0</v>
      </c>
      <c r="U94" s="293">
        <f t="shared" si="17"/>
        <v>0</v>
      </c>
    </row>
    <row r="95" spans="2:21" ht="13.8" x14ac:dyDescent="0.3">
      <c r="B95" s="296"/>
      <c r="C95" s="296" t="s">
        <v>243</v>
      </c>
      <c r="D95" s="299">
        <v>0</v>
      </c>
      <c r="E95" s="296" t="s">
        <v>617</v>
      </c>
      <c r="F95" s="296" t="s">
        <v>211</v>
      </c>
      <c r="G95" s="297"/>
      <c r="H95" s="297"/>
      <c r="I95" s="326">
        <v>0</v>
      </c>
      <c r="J95" s="267"/>
      <c r="K95" s="267"/>
      <c r="L95" s="3865" t="e">
        <f t="shared" si="14"/>
        <v>#DIV/0!</v>
      </c>
      <c r="M95" s="3865" t="e">
        <f t="shared" si="14"/>
        <v>#DIV/0!</v>
      </c>
      <c r="N95" s="218">
        <f t="shared" si="15"/>
        <v>0</v>
      </c>
      <c r="O95" s="218">
        <f t="shared" si="16"/>
        <v>0</v>
      </c>
      <c r="P95" s="218">
        <f>IF(K95=0, 0, (HLOOKUP(K95,'[1]G-CESTD'!$A$5:$G$35,J95+1,FALSE)*R45))</f>
        <v>0</v>
      </c>
      <c r="Q95" s="218">
        <f>IF(K95=0, 0, (HLOOKUP(K95,'[1]G-CESTD'!$A$5:$G$35,J95+1,FALSE)*R45))</f>
        <v>0</v>
      </c>
      <c r="R95" s="292">
        <v>1.081</v>
      </c>
      <c r="S95" s="293">
        <f t="shared" si="17"/>
        <v>0</v>
      </c>
      <c r="T95" s="293">
        <f t="shared" si="17"/>
        <v>0</v>
      </c>
      <c r="U95" s="293">
        <f t="shared" si="17"/>
        <v>0</v>
      </c>
    </row>
    <row r="96" spans="2:21" ht="13.8" x14ac:dyDescent="0.3">
      <c r="B96" s="296"/>
      <c r="C96" s="296" t="s">
        <v>244</v>
      </c>
      <c r="D96" s="299">
        <v>0</v>
      </c>
      <c r="E96" s="296" t="s">
        <v>617</v>
      </c>
      <c r="F96" s="296" t="s">
        <v>211</v>
      </c>
      <c r="G96" s="297"/>
      <c r="H96" s="297"/>
      <c r="I96" s="326">
        <v>0</v>
      </c>
      <c r="J96" s="267"/>
      <c r="K96" s="267"/>
      <c r="L96" s="3865" t="e">
        <f t="shared" si="14"/>
        <v>#DIV/0!</v>
      </c>
      <c r="M96" s="3865" t="e">
        <f t="shared" si="14"/>
        <v>#DIV/0!</v>
      </c>
      <c r="N96" s="218">
        <f t="shared" si="15"/>
        <v>0</v>
      </c>
      <c r="O96" s="218">
        <f t="shared" si="16"/>
        <v>0</v>
      </c>
      <c r="P96" s="218">
        <f>IF(K96=0, 0, (HLOOKUP(K96,'[1]G-CESTD'!$A$5:$G$35,J96+1,FALSE)*R46))</f>
        <v>0</v>
      </c>
      <c r="Q96" s="218">
        <f>IF(K96=0, 0, (HLOOKUP(K96,'[1]G-CESTD'!$A$5:$G$35,J96+1,FALSE)*R46))</f>
        <v>0</v>
      </c>
      <c r="R96" s="292">
        <v>1.081</v>
      </c>
      <c r="S96" s="293">
        <f t="shared" si="17"/>
        <v>0</v>
      </c>
      <c r="T96" s="293">
        <f t="shared" si="17"/>
        <v>0</v>
      </c>
      <c r="U96" s="293">
        <f t="shared" si="17"/>
        <v>0</v>
      </c>
    </row>
    <row r="97" spans="2:21" ht="13.8" x14ac:dyDescent="0.3">
      <c r="B97" s="296"/>
      <c r="C97" s="296" t="s">
        <v>245</v>
      </c>
      <c r="D97" s="299">
        <v>0</v>
      </c>
      <c r="E97" s="296" t="s">
        <v>617</v>
      </c>
      <c r="F97" s="296" t="s">
        <v>211</v>
      </c>
      <c r="G97" s="297"/>
      <c r="H97" s="297"/>
      <c r="I97" s="326">
        <v>0</v>
      </c>
      <c r="J97" s="267"/>
      <c r="K97" s="267"/>
      <c r="L97" s="3865" t="e">
        <f t="shared" si="14"/>
        <v>#DIV/0!</v>
      </c>
      <c r="M97" s="3865" t="e">
        <f t="shared" si="14"/>
        <v>#DIV/0!</v>
      </c>
      <c r="N97" s="218">
        <f t="shared" si="15"/>
        <v>0</v>
      </c>
      <c r="O97" s="218">
        <f t="shared" si="16"/>
        <v>0</v>
      </c>
      <c r="P97" s="218">
        <f>IF(K97=0, 0, (HLOOKUP(K97,'[1]G-CESTD'!$A$5:$G$35,J97+1,FALSE)*R47))</f>
        <v>0</v>
      </c>
      <c r="Q97" s="218">
        <f>IF(K97=0, 0, (HLOOKUP(K97,'[1]G-CESTD'!$A$5:$G$35,J97+1,FALSE)*R47))</f>
        <v>0</v>
      </c>
      <c r="R97" s="292">
        <v>1.081</v>
      </c>
      <c r="S97" s="293">
        <f t="shared" si="17"/>
        <v>0</v>
      </c>
      <c r="T97" s="293">
        <f t="shared" si="17"/>
        <v>0</v>
      </c>
      <c r="U97" s="293">
        <f t="shared" si="17"/>
        <v>0</v>
      </c>
    </row>
    <row r="98" spans="2:21" ht="13.8" x14ac:dyDescent="0.3">
      <c r="B98" s="296"/>
      <c r="C98" s="296" t="s">
        <v>246</v>
      </c>
      <c r="D98" s="299">
        <v>0</v>
      </c>
      <c r="E98" s="296" t="s">
        <v>617</v>
      </c>
      <c r="F98" s="296" t="s">
        <v>211</v>
      </c>
      <c r="G98" s="297"/>
      <c r="H98" s="297"/>
      <c r="I98" s="326">
        <v>0</v>
      </c>
      <c r="J98" s="267"/>
      <c r="K98" s="267"/>
      <c r="L98" s="3865" t="e">
        <f t="shared" si="14"/>
        <v>#DIV/0!</v>
      </c>
      <c r="M98" s="3865" t="e">
        <f t="shared" si="14"/>
        <v>#DIV/0!</v>
      </c>
      <c r="N98" s="218">
        <f t="shared" si="15"/>
        <v>0</v>
      </c>
      <c r="O98" s="218">
        <f t="shared" si="16"/>
        <v>0</v>
      </c>
      <c r="P98" s="218">
        <f>IF(K98=0, 0, (HLOOKUP(K98,'[1]G-CESTD'!$A$5:$G$35,J98+1,FALSE)*R48))</f>
        <v>0</v>
      </c>
      <c r="Q98" s="218">
        <f>IF(K98=0, 0, (HLOOKUP(K98,'[1]G-CESTD'!$A$5:$G$35,J98+1,FALSE)*R48))</f>
        <v>0</v>
      </c>
      <c r="R98" s="292">
        <v>1.081</v>
      </c>
      <c r="S98" s="293">
        <f t="shared" si="17"/>
        <v>0</v>
      </c>
      <c r="T98" s="293">
        <f t="shared" si="17"/>
        <v>0</v>
      </c>
      <c r="U98" s="293">
        <f t="shared" si="17"/>
        <v>0</v>
      </c>
    </row>
    <row r="99" spans="2:21" ht="13.8" x14ac:dyDescent="0.3">
      <c r="B99" s="296"/>
      <c r="C99" s="296" t="s">
        <v>247</v>
      </c>
      <c r="D99" s="299">
        <v>0</v>
      </c>
      <c r="E99" s="296" t="s">
        <v>617</v>
      </c>
      <c r="F99" s="296" t="s">
        <v>211</v>
      </c>
      <c r="G99" s="297"/>
      <c r="H99" s="297"/>
      <c r="I99" s="326">
        <v>0</v>
      </c>
      <c r="J99" s="267"/>
      <c r="K99" s="267"/>
      <c r="L99" s="3865" t="e">
        <f t="shared" si="14"/>
        <v>#DIV/0!</v>
      </c>
      <c r="M99" s="3865" t="e">
        <f t="shared" si="14"/>
        <v>#DIV/0!</v>
      </c>
      <c r="N99" s="218">
        <f t="shared" si="15"/>
        <v>0</v>
      </c>
      <c r="O99" s="218">
        <f t="shared" si="16"/>
        <v>0</v>
      </c>
      <c r="P99" s="218">
        <f>IF(K99=0, 0, (HLOOKUP(K99,'[1]G-CESTD'!$A$5:$G$35,J99+1,FALSE)*R49))</f>
        <v>0</v>
      </c>
      <c r="Q99" s="218">
        <f>IF(K99=0, 0, (HLOOKUP(K99,'[1]G-CESTD'!$A$5:$G$35,J99+1,FALSE)*R49))</f>
        <v>0</v>
      </c>
      <c r="R99" s="292">
        <v>1.081</v>
      </c>
      <c r="S99" s="293">
        <f t="shared" si="17"/>
        <v>0</v>
      </c>
      <c r="T99" s="293">
        <f t="shared" si="17"/>
        <v>0</v>
      </c>
      <c r="U99" s="293">
        <f t="shared" si="17"/>
        <v>0</v>
      </c>
    </row>
    <row r="100" spans="2:21" ht="13.8" x14ac:dyDescent="0.3">
      <c r="B100" s="296"/>
      <c r="C100" s="296" t="s">
        <v>248</v>
      </c>
      <c r="D100" s="299">
        <v>0</v>
      </c>
      <c r="E100" s="296" t="s">
        <v>617</v>
      </c>
      <c r="F100" s="296" t="s">
        <v>211</v>
      </c>
      <c r="G100" s="297"/>
      <c r="H100" s="297"/>
      <c r="I100" s="326">
        <v>0</v>
      </c>
      <c r="J100" s="267"/>
      <c r="K100" s="267"/>
      <c r="L100" s="3865" t="e">
        <f t="shared" si="14"/>
        <v>#DIV/0!</v>
      </c>
      <c r="M100" s="3865" t="e">
        <f t="shared" si="14"/>
        <v>#DIV/0!</v>
      </c>
      <c r="N100" s="218">
        <f t="shared" si="15"/>
        <v>0</v>
      </c>
      <c r="O100" s="218">
        <f t="shared" si="16"/>
        <v>0</v>
      </c>
      <c r="P100" s="218">
        <f>IF(K100=0, 0, (HLOOKUP(K100,'[1]G-CESTD'!$A$5:$G$35,J100+1,FALSE)*R50))</f>
        <v>0</v>
      </c>
      <c r="Q100" s="218">
        <f>IF(K100=0, 0, (HLOOKUP(K100,'[1]G-CESTD'!$A$5:$G$35,J100+1,FALSE)*R50))</f>
        <v>0</v>
      </c>
      <c r="R100" s="292">
        <v>1.081</v>
      </c>
      <c r="S100" s="293">
        <f t="shared" si="17"/>
        <v>0</v>
      </c>
      <c r="T100" s="293">
        <f t="shared" si="17"/>
        <v>0</v>
      </c>
      <c r="U100" s="293">
        <f t="shared" si="17"/>
        <v>0</v>
      </c>
    </row>
    <row r="101" spans="2:21" ht="13.8" x14ac:dyDescent="0.3">
      <c r="B101" s="296"/>
      <c r="C101" s="296" t="s">
        <v>249</v>
      </c>
      <c r="D101" s="299">
        <v>0</v>
      </c>
      <c r="E101" s="296" t="s">
        <v>617</v>
      </c>
      <c r="F101" s="296" t="s">
        <v>211</v>
      </c>
      <c r="G101" s="297"/>
      <c r="H101" s="297"/>
      <c r="I101" s="326">
        <v>0</v>
      </c>
      <c r="J101" s="267"/>
      <c r="K101" s="267"/>
      <c r="L101" s="3865" t="e">
        <f t="shared" si="14"/>
        <v>#DIV/0!</v>
      </c>
      <c r="M101" s="3865" t="e">
        <f t="shared" si="14"/>
        <v>#DIV/0!</v>
      </c>
      <c r="N101" s="218">
        <f t="shared" si="15"/>
        <v>0</v>
      </c>
      <c r="O101" s="218">
        <f t="shared" si="16"/>
        <v>0</v>
      </c>
      <c r="P101" s="218">
        <f>IF(K101=0, 0, (HLOOKUP(K101,'[1]G-CESTD'!$A$5:$G$35,J101+1,FALSE)*R51))</f>
        <v>0</v>
      </c>
      <c r="Q101" s="218">
        <f>IF(K101=0, 0, (HLOOKUP(K101,'[1]G-CESTD'!$A$5:$G$35,J101+1,FALSE)*R51))</f>
        <v>0</v>
      </c>
      <c r="R101" s="292">
        <v>1.081</v>
      </c>
      <c r="S101" s="293">
        <f t="shared" si="17"/>
        <v>0</v>
      </c>
      <c r="T101" s="293">
        <f t="shared" si="17"/>
        <v>0</v>
      </c>
      <c r="U101" s="293">
        <f t="shared" si="17"/>
        <v>0</v>
      </c>
    </row>
    <row r="102" spans="2:21" ht="13.8" x14ac:dyDescent="0.3">
      <c r="B102" s="296"/>
      <c r="C102" s="296" t="s">
        <v>250</v>
      </c>
      <c r="D102" s="299">
        <v>0</v>
      </c>
      <c r="E102" s="296" t="s">
        <v>617</v>
      </c>
      <c r="F102" s="296" t="s">
        <v>211</v>
      </c>
      <c r="G102" s="297"/>
      <c r="H102" s="297"/>
      <c r="I102" s="326">
        <v>0</v>
      </c>
      <c r="J102" s="267"/>
      <c r="K102" s="267"/>
      <c r="L102" s="3865" t="e">
        <f t="shared" si="14"/>
        <v>#DIV/0!</v>
      </c>
      <c r="M102" s="3865" t="e">
        <f t="shared" si="14"/>
        <v>#DIV/0!</v>
      </c>
      <c r="N102" s="218">
        <f t="shared" si="15"/>
        <v>0</v>
      </c>
      <c r="O102" s="218">
        <f t="shared" si="16"/>
        <v>0</v>
      </c>
      <c r="P102" s="218">
        <f>IF(K102=0, 0, (HLOOKUP(K102,'[1]G-CESTD'!$A$5:$G$35,J102+1,FALSE)*R52))</f>
        <v>0</v>
      </c>
      <c r="Q102" s="218">
        <f>IF(K102=0, 0, (HLOOKUP(K102,'[1]G-CESTD'!$A$5:$G$35,J102+1,FALSE)*R52))</f>
        <v>0</v>
      </c>
      <c r="R102" s="292">
        <v>1.081</v>
      </c>
      <c r="S102" s="293">
        <f t="shared" si="17"/>
        <v>0</v>
      </c>
      <c r="T102" s="293">
        <f t="shared" si="17"/>
        <v>0</v>
      </c>
      <c r="U102" s="293">
        <f t="shared" si="17"/>
        <v>0</v>
      </c>
    </row>
    <row r="103" spans="2:21" ht="14.4" thickBot="1" x14ac:dyDescent="0.35">
      <c r="B103" s="296"/>
      <c r="C103" s="296" t="s">
        <v>251</v>
      </c>
      <c r="D103" s="299">
        <v>0</v>
      </c>
      <c r="E103" s="296" t="s">
        <v>617</v>
      </c>
      <c r="F103" s="296" t="s">
        <v>211</v>
      </c>
      <c r="G103" s="297"/>
      <c r="H103" s="297"/>
      <c r="I103" s="326">
        <v>0</v>
      </c>
      <c r="J103" s="267"/>
      <c r="K103" s="267"/>
      <c r="L103" s="3865" t="e">
        <f t="shared" si="14"/>
        <v>#DIV/0!</v>
      </c>
      <c r="M103" s="3865" t="e">
        <f t="shared" si="14"/>
        <v>#DIV/0!</v>
      </c>
      <c r="N103" s="218">
        <f t="shared" si="15"/>
        <v>0</v>
      </c>
      <c r="O103" s="218">
        <f t="shared" si="16"/>
        <v>0</v>
      </c>
      <c r="P103" s="218">
        <f>IF(K103=0, 0, (HLOOKUP(K103,'[1]G-CESTD'!$A$5:$G$35,J103+1,FALSE)*R53))</f>
        <v>0</v>
      </c>
      <c r="Q103" s="218">
        <f>IF(K103=0, 0, (HLOOKUP(K103,'[1]G-CESTD'!$A$5:$G$35,J103+1,FALSE)*R53))</f>
        <v>0</v>
      </c>
      <c r="R103" s="292">
        <v>1.081</v>
      </c>
      <c r="S103" s="293">
        <f t="shared" si="17"/>
        <v>0</v>
      </c>
      <c r="T103" s="293">
        <f t="shared" si="17"/>
        <v>0</v>
      </c>
      <c r="U103" s="293">
        <f t="shared" si="17"/>
        <v>0</v>
      </c>
    </row>
    <row r="104" spans="2:21" ht="14.4" thickBot="1" x14ac:dyDescent="0.35">
      <c r="G104" s="300">
        <f>SUMPRODUCT(G62:G103,O12:O53)</f>
        <v>0</v>
      </c>
      <c r="H104" s="301">
        <f>U104</f>
        <v>74298</v>
      </c>
      <c r="I104" s="302">
        <f>SUM(I62:I103)</f>
        <v>1</v>
      </c>
      <c r="J104" s="303">
        <f>ROUND(SUMPRODUCT(J62:J103,R12:R53)/R54,0)</f>
        <v>1</v>
      </c>
      <c r="K104" s="274"/>
      <c r="L104" s="3866">
        <f>P104/N104</f>
        <v>2.1466870418450981</v>
      </c>
      <c r="M104" s="3867">
        <f>Q104/O104</f>
        <v>3.4573414247216867</v>
      </c>
      <c r="N104" s="311">
        <f>SUM(N62:N103)</f>
        <v>181303.21901017576</v>
      </c>
      <c r="O104" s="311">
        <f>SUM(O62:O103)</f>
        <v>112572.41419981497</v>
      </c>
      <c r="P104" s="311">
        <f>SUM(P62:P103)</f>
        <v>389201.27089394815</v>
      </c>
      <c r="Q104" s="311">
        <f>SUM(Q62:Q103)</f>
        <v>389201.27089394815</v>
      </c>
      <c r="R104" s="307">
        <v>1.081</v>
      </c>
      <c r="S104" s="308">
        <f>SUM(S62:S103)</f>
        <v>37149</v>
      </c>
      <c r="T104" s="308">
        <f>SUM(T62:T103)</f>
        <v>37149</v>
      </c>
      <c r="U104" s="308">
        <f>SUM(U62:U103)</f>
        <v>74298</v>
      </c>
    </row>
  </sheetData>
  <customSheetViews>
    <customSheetView guid="{074EB09C-6289-46D7-9513-012B68BCA7BF}" showPageBreaks="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17" right="0.22" top="0.34" bottom="0.33" header="0.3" footer="0.3"/>
  <pageSetup paperSize="17" scale="53"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
  <sheetViews>
    <sheetView workbookViewId="0">
      <pane xSplit="1" ySplit="1" topLeftCell="J2" activePane="bottomRight" state="frozen"/>
      <selection pane="topRight" activeCell="B1" sqref="B1"/>
      <selection pane="bottomLeft" activeCell="A2" sqref="A2"/>
      <selection pane="bottomRight" activeCell="D73" sqref="D73"/>
    </sheetView>
  </sheetViews>
  <sheetFormatPr defaultColWidth="20" defaultRowHeight="13.2" x14ac:dyDescent="0.25"/>
  <cols>
    <col min="1" max="1" width="15.88671875" style="3369" customWidth="1"/>
    <col min="2" max="2" width="56" bestFit="1" customWidth="1"/>
  </cols>
  <sheetData>
    <row r="1" spans="2:14" ht="46.5" customHeight="1" x14ac:dyDescent="0.4">
      <c r="B1" s="406" t="s">
        <v>700</v>
      </c>
      <c r="C1" s="407"/>
      <c r="D1" s="407"/>
      <c r="E1" s="424"/>
      <c r="F1" s="408"/>
      <c r="G1" s="408"/>
      <c r="H1" s="397"/>
      <c r="I1" s="397"/>
      <c r="J1" s="397"/>
      <c r="K1" s="397"/>
      <c r="L1" s="397"/>
      <c r="M1" s="397"/>
      <c r="N1" s="397"/>
    </row>
    <row r="2" spans="2:14" ht="21" x14ac:dyDescent="0.4">
      <c r="B2" s="406"/>
      <c r="C2" s="407"/>
      <c r="D2" s="407"/>
      <c r="E2" s="424"/>
      <c r="F2" s="408"/>
      <c r="G2" s="408"/>
      <c r="H2" s="397"/>
      <c r="I2" s="397"/>
      <c r="J2" s="397"/>
      <c r="K2" s="397"/>
      <c r="L2" s="397"/>
      <c r="M2" s="397"/>
      <c r="N2" s="397"/>
    </row>
    <row r="3" spans="2:14" ht="39.6" x14ac:dyDescent="0.25">
      <c r="B3" s="3883"/>
      <c r="C3" s="441" t="s">
        <v>9</v>
      </c>
      <c r="D3" s="401" t="s">
        <v>10</v>
      </c>
      <c r="E3" s="401" t="s">
        <v>701</v>
      </c>
      <c r="F3" s="402" t="s">
        <v>12</v>
      </c>
      <c r="G3" s="402" t="s">
        <v>13</v>
      </c>
      <c r="H3" s="402" t="s">
        <v>14</v>
      </c>
      <c r="I3" s="402" t="s">
        <v>15</v>
      </c>
      <c r="J3" s="402" t="s">
        <v>16</v>
      </c>
      <c r="K3" s="402" t="s">
        <v>702</v>
      </c>
      <c r="L3" s="402" t="s">
        <v>18</v>
      </c>
      <c r="M3" s="444" t="s">
        <v>136</v>
      </c>
      <c r="N3" s="403" t="s">
        <v>19</v>
      </c>
    </row>
    <row r="4" spans="2:14" ht="26.4" x14ac:dyDescent="0.25">
      <c r="B4" s="447" t="s">
        <v>703</v>
      </c>
      <c r="C4" s="448"/>
      <c r="D4" s="448"/>
      <c r="E4" s="448"/>
      <c r="F4" s="448"/>
      <c r="G4" s="448"/>
      <c r="H4" s="448"/>
      <c r="I4" s="448"/>
      <c r="J4" s="448"/>
      <c r="K4" s="449"/>
      <c r="L4" s="451">
        <v>21850000</v>
      </c>
      <c r="M4" s="450"/>
      <c r="N4" s="456" t="s">
        <v>21</v>
      </c>
    </row>
    <row r="5" spans="2:14" x14ac:dyDescent="0.25">
      <c r="B5" s="439" t="s">
        <v>704</v>
      </c>
      <c r="C5" s="438">
        <v>1114504.8500000001</v>
      </c>
      <c r="D5" s="438">
        <v>9816</v>
      </c>
      <c r="E5" s="438">
        <v>708322.13550000009</v>
      </c>
      <c r="F5" s="438">
        <v>11900</v>
      </c>
      <c r="G5" s="438">
        <v>51000</v>
      </c>
      <c r="H5" s="438">
        <v>1139750</v>
      </c>
      <c r="I5" s="438">
        <v>8800</v>
      </c>
      <c r="J5" s="438">
        <v>2394</v>
      </c>
      <c r="K5" s="440">
        <v>17025000</v>
      </c>
      <c r="L5" s="442">
        <v>20071486.9855</v>
      </c>
      <c r="M5" s="443">
        <v>78000000</v>
      </c>
      <c r="N5" s="452">
        <v>-8.1396476636155582E-2</v>
      </c>
    </row>
    <row r="6" spans="2:14" x14ac:dyDescent="0.25">
      <c r="B6" s="399">
        <v>2012</v>
      </c>
      <c r="C6" s="426">
        <f>C20</f>
        <v>1422950</v>
      </c>
      <c r="D6" s="427">
        <f>C24</f>
        <v>32800</v>
      </c>
      <c r="E6" s="427">
        <f>C45</f>
        <v>917100</v>
      </c>
      <c r="F6" s="427">
        <f>C41</f>
        <v>21000</v>
      </c>
      <c r="G6" s="427">
        <f>C31</f>
        <v>61800</v>
      </c>
      <c r="H6" s="427">
        <f>C60</f>
        <v>2180650</v>
      </c>
      <c r="I6" s="427">
        <f>C39</f>
        <v>10650</v>
      </c>
      <c r="J6" s="427">
        <f>C33</f>
        <v>2400</v>
      </c>
      <c r="K6" s="428">
        <f>C15</f>
        <v>15434900</v>
      </c>
      <c r="L6" s="428">
        <f>SUM(C6:K6)</f>
        <v>20084250</v>
      </c>
      <c r="M6" s="445">
        <f>C75</f>
        <v>69800000</v>
      </c>
      <c r="N6" s="452">
        <v>7.2952209049474373E-2</v>
      </c>
    </row>
    <row r="7" spans="2:14" ht="13.8" thickBot="1" x14ac:dyDescent="0.3">
      <c r="B7" s="433">
        <v>2013</v>
      </c>
      <c r="C7" s="426">
        <f>D20</f>
        <v>1422950</v>
      </c>
      <c r="D7" s="427">
        <f>D24</f>
        <v>32800</v>
      </c>
      <c r="E7" s="427">
        <f>D45</f>
        <v>917100</v>
      </c>
      <c r="F7" s="427">
        <f>D41</f>
        <v>21000</v>
      </c>
      <c r="G7" s="427">
        <f>D31</f>
        <v>61800</v>
      </c>
      <c r="H7" s="455">
        <f>D60</f>
        <v>2564750</v>
      </c>
      <c r="I7" s="427">
        <f>D39</f>
        <v>10650</v>
      </c>
      <c r="J7" s="427">
        <f>D33</f>
        <v>2400</v>
      </c>
      <c r="K7" s="436">
        <f>D15</f>
        <v>13984300</v>
      </c>
      <c r="L7" s="428">
        <f>SUM(C7:K7)</f>
        <v>19017750</v>
      </c>
      <c r="M7" s="445">
        <f>D75</f>
        <v>68540000</v>
      </c>
      <c r="N7" s="452">
        <v>0</v>
      </c>
    </row>
    <row r="8" spans="2:14" ht="13.8" thickBot="1" x14ac:dyDescent="0.3">
      <c r="B8" s="421" t="s">
        <v>178</v>
      </c>
      <c r="C8" s="434">
        <f t="shared" ref="C8:M8" si="0">SUM(C6:C7)</f>
        <v>2845900</v>
      </c>
      <c r="D8" s="435">
        <f t="shared" si="0"/>
        <v>65600</v>
      </c>
      <c r="E8" s="435">
        <f t="shared" si="0"/>
        <v>1834200</v>
      </c>
      <c r="F8" s="435">
        <f t="shared" si="0"/>
        <v>42000</v>
      </c>
      <c r="G8" s="435">
        <f t="shared" si="0"/>
        <v>123600</v>
      </c>
      <c r="H8" s="435">
        <f t="shared" si="0"/>
        <v>4745400</v>
      </c>
      <c r="I8" s="435">
        <f t="shared" si="0"/>
        <v>21300</v>
      </c>
      <c r="J8" s="435">
        <f t="shared" si="0"/>
        <v>4800</v>
      </c>
      <c r="K8" s="437">
        <f t="shared" si="0"/>
        <v>29419200</v>
      </c>
      <c r="L8" s="435">
        <f t="shared" si="0"/>
        <v>39102000</v>
      </c>
      <c r="M8" s="446">
        <f t="shared" si="0"/>
        <v>138340000</v>
      </c>
      <c r="N8" s="397"/>
    </row>
    <row r="9" spans="2:14" ht="17.399999999999999" x14ac:dyDescent="0.3">
      <c r="B9" s="421"/>
      <c r="C9" s="407"/>
      <c r="D9" s="407"/>
      <c r="E9" s="424"/>
      <c r="F9" s="408"/>
      <c r="G9" s="408"/>
      <c r="H9" s="397"/>
      <c r="I9" s="397"/>
      <c r="J9" s="397"/>
      <c r="K9" s="397"/>
      <c r="L9" s="397"/>
      <c r="M9" s="397"/>
      <c r="N9" s="397"/>
    </row>
    <row r="10" spans="2:14" ht="17.399999999999999" x14ac:dyDescent="0.3">
      <c r="B10" s="409" t="s">
        <v>705</v>
      </c>
      <c r="C10" s="430">
        <v>2012</v>
      </c>
      <c r="D10" s="431">
        <v>2013</v>
      </c>
      <c r="E10" s="431" t="s">
        <v>29</v>
      </c>
      <c r="F10" s="432"/>
      <c r="G10" s="422"/>
      <c r="H10" s="422"/>
      <c r="I10" s="422"/>
      <c r="J10" s="397"/>
      <c r="K10" s="397"/>
      <c r="L10" s="397"/>
      <c r="M10" s="397"/>
      <c r="N10" s="397"/>
    </row>
    <row r="11" spans="2:14" ht="17.399999999999999" x14ac:dyDescent="0.3">
      <c r="B11" s="429"/>
      <c r="C11" s="397"/>
      <c r="D11" s="397"/>
      <c r="E11" s="397"/>
      <c r="F11" s="425"/>
      <c r="G11" s="415"/>
      <c r="H11" s="4131"/>
      <c r="I11" s="4139" t="s">
        <v>706</v>
      </c>
      <c r="J11" s="4127"/>
      <c r="K11" s="4127"/>
      <c r="L11" s="411"/>
      <c r="M11" s="397"/>
      <c r="N11" s="397"/>
    </row>
    <row r="12" spans="2:14" x14ac:dyDescent="0.25">
      <c r="B12" s="2813" t="s">
        <v>707</v>
      </c>
      <c r="C12" s="2859"/>
      <c r="D12" s="2860"/>
      <c r="E12" s="2844"/>
      <c r="F12" s="2821"/>
      <c r="G12" s="415"/>
      <c r="H12" s="4131"/>
      <c r="I12" s="4131" t="s">
        <v>707</v>
      </c>
      <c r="J12" s="4132">
        <v>29419200</v>
      </c>
      <c r="K12" s="4127"/>
      <c r="L12" s="397"/>
      <c r="M12" s="397"/>
      <c r="N12" s="397"/>
    </row>
    <row r="13" spans="2:14" ht="15.6" x14ac:dyDescent="0.3">
      <c r="B13" s="3902"/>
      <c r="C13" s="3626">
        <v>13273600</v>
      </c>
      <c r="D13" s="3627">
        <v>11126400</v>
      </c>
      <c r="E13" s="2858">
        <f>SUM(C13:D13)</f>
        <v>24400000</v>
      </c>
      <c r="F13" s="2821"/>
      <c r="G13" s="415"/>
      <c r="H13" s="4131"/>
      <c r="I13" s="4131" t="s">
        <v>1183</v>
      </c>
      <c r="J13" s="4133">
        <v>2845900</v>
      </c>
      <c r="K13" s="4127"/>
      <c r="L13" s="397"/>
      <c r="M13" s="397"/>
      <c r="N13" s="397"/>
    </row>
    <row r="14" spans="2:14" ht="15.6" x14ac:dyDescent="0.3">
      <c r="B14" s="3902"/>
      <c r="C14" s="3626">
        <v>2161300</v>
      </c>
      <c r="D14" s="3627">
        <v>2857900</v>
      </c>
      <c r="E14" s="2858">
        <f>SUM(C14:D14)</f>
        <v>5019200</v>
      </c>
      <c r="F14" s="2821"/>
      <c r="G14" s="415"/>
      <c r="H14" s="4131"/>
      <c r="I14" s="4131" t="s">
        <v>712</v>
      </c>
      <c r="J14" s="4133">
        <v>65600</v>
      </c>
      <c r="K14" s="4124"/>
      <c r="L14" s="397"/>
      <c r="M14" s="397"/>
      <c r="N14" s="397"/>
    </row>
    <row r="15" spans="2:14" x14ac:dyDescent="0.25">
      <c r="B15" s="3878"/>
      <c r="C15" s="2861">
        <f>SUM(C13:C14)</f>
        <v>15434900</v>
      </c>
      <c r="D15" s="2861">
        <f>SUM(D13:D14)</f>
        <v>13984300</v>
      </c>
      <c r="E15" s="2844">
        <f>SUM(C15:D15)</f>
        <v>29419200</v>
      </c>
      <c r="F15" s="2821"/>
      <c r="G15" s="415"/>
      <c r="H15" s="4131"/>
      <c r="I15" s="4131" t="s">
        <v>526</v>
      </c>
      <c r="J15" s="4126">
        <v>123600</v>
      </c>
      <c r="K15" s="4124"/>
      <c r="L15" s="397"/>
      <c r="M15" s="397"/>
      <c r="N15" s="397"/>
    </row>
    <row r="16" spans="2:14" ht="17.399999999999999" x14ac:dyDescent="0.3">
      <c r="B16" s="2815"/>
      <c r="C16" s="2828"/>
      <c r="D16" s="2808"/>
      <c r="E16" s="2829"/>
      <c r="F16" s="2821"/>
      <c r="G16" s="415"/>
      <c r="H16" s="4131"/>
      <c r="I16" s="4131" t="s">
        <v>714</v>
      </c>
      <c r="J16" s="4126">
        <v>4800</v>
      </c>
      <c r="K16" s="4124"/>
      <c r="L16" s="397"/>
      <c r="M16" s="397"/>
      <c r="N16" s="397"/>
    </row>
    <row r="17" spans="2:11" x14ac:dyDescent="0.25">
      <c r="B17" s="2813" t="s">
        <v>713</v>
      </c>
      <c r="C17" s="2830"/>
      <c r="D17" s="2808"/>
      <c r="E17" s="2829"/>
      <c r="F17" s="2817"/>
      <c r="G17" s="412"/>
      <c r="H17" s="4128"/>
      <c r="I17" s="4131" t="s">
        <v>717</v>
      </c>
      <c r="J17" s="4126">
        <v>21300</v>
      </c>
      <c r="K17" s="4124"/>
    </row>
    <row r="18" spans="2:11" x14ac:dyDescent="0.25">
      <c r="B18" s="2820" t="s">
        <v>715</v>
      </c>
      <c r="C18" s="4122">
        <v>1759500</v>
      </c>
      <c r="D18" s="4123">
        <v>1759500</v>
      </c>
      <c r="E18" s="2841">
        <f>SUM(C18:D18)</f>
        <v>3519000</v>
      </c>
      <c r="F18" s="2825">
        <v>19.420000000000002</v>
      </c>
      <c r="G18" s="416" t="s">
        <v>716</v>
      </c>
      <c r="H18" s="4129"/>
      <c r="I18" s="4131" t="s">
        <v>719</v>
      </c>
      <c r="J18" s="4126">
        <v>42000</v>
      </c>
      <c r="K18" s="4124"/>
    </row>
    <row r="19" spans="2:11" x14ac:dyDescent="0.25">
      <c r="B19" s="3781" t="s">
        <v>1177</v>
      </c>
      <c r="C19" s="4122">
        <v>-336550</v>
      </c>
      <c r="D19" s="4123">
        <v>-336550</v>
      </c>
      <c r="E19" s="3783">
        <f>SUM(C19:D19)</f>
        <v>-673100</v>
      </c>
      <c r="F19" s="3784"/>
      <c r="G19" s="3778"/>
      <c r="H19" s="4129"/>
      <c r="I19" s="4131" t="s">
        <v>1182</v>
      </c>
      <c r="J19" s="4126">
        <v>1834200</v>
      </c>
      <c r="K19" s="4124"/>
    </row>
    <row r="20" spans="2:11" x14ac:dyDescent="0.25">
      <c r="B20" s="3781" t="s">
        <v>1178</v>
      </c>
      <c r="C20" s="4122">
        <v>1422950</v>
      </c>
      <c r="D20" s="4123">
        <v>1422950</v>
      </c>
      <c r="E20" s="3783">
        <f>SUM(E18:E19)</f>
        <v>2845900</v>
      </c>
      <c r="F20" s="3779"/>
      <c r="G20" s="3778"/>
      <c r="H20" s="4129"/>
      <c r="I20" s="4131" t="s">
        <v>14</v>
      </c>
      <c r="J20" s="4138">
        <v>4745400</v>
      </c>
      <c r="K20" s="4124"/>
    </row>
    <row r="21" spans="2:11" x14ac:dyDescent="0.25">
      <c r="B21" s="3785" t="s">
        <v>1179</v>
      </c>
      <c r="C21" s="3780"/>
      <c r="D21" s="3782"/>
      <c r="E21" s="3783"/>
      <c r="F21" s="3779"/>
      <c r="G21" s="3778"/>
      <c r="H21" s="4129"/>
      <c r="I21" s="4124"/>
      <c r="J21" s="4125">
        <v>39102000</v>
      </c>
      <c r="K21" s="4124"/>
    </row>
    <row r="22" spans="2:11" x14ac:dyDescent="0.25">
      <c r="B22" s="3785" t="s">
        <v>1180</v>
      </c>
      <c r="C22" s="3780"/>
      <c r="D22" s="3782"/>
      <c r="E22" s="3783"/>
      <c r="F22" s="3779"/>
      <c r="G22" s="3778"/>
      <c r="H22" s="4129"/>
      <c r="I22" s="4131"/>
      <c r="J22" s="4143"/>
      <c r="K22" s="4124"/>
    </row>
    <row r="23" spans="2:11" x14ac:dyDescent="0.25">
      <c r="B23" s="3785"/>
      <c r="C23" s="3780"/>
      <c r="D23" s="3782"/>
      <c r="E23" s="3783"/>
      <c r="F23" s="3779"/>
      <c r="G23" s="3778"/>
      <c r="H23" s="4129"/>
      <c r="I23" s="4136" t="s">
        <v>723</v>
      </c>
      <c r="J23" s="4141">
        <v>138350000</v>
      </c>
      <c r="K23" s="4134" t="s">
        <v>724</v>
      </c>
    </row>
    <row r="24" spans="2:11" x14ac:dyDescent="0.25">
      <c r="B24" s="2820" t="s">
        <v>720</v>
      </c>
      <c r="C24" s="3454">
        <v>32800</v>
      </c>
      <c r="D24" s="189">
        <f>C24</f>
        <v>32800</v>
      </c>
      <c r="E24" s="2841">
        <f>SUM(C24:D24)</f>
        <v>65600</v>
      </c>
      <c r="F24" s="2825">
        <v>0.27</v>
      </c>
      <c r="G24" s="416" t="s">
        <v>716</v>
      </c>
      <c r="H24" s="4129"/>
      <c r="I24" s="4136" t="s">
        <v>726</v>
      </c>
      <c r="J24" s="4140">
        <v>0.21264329598843512</v>
      </c>
      <c r="K24" s="4137" t="s">
        <v>727</v>
      </c>
    </row>
    <row r="25" spans="2:11" x14ac:dyDescent="0.25">
      <c r="B25" s="2820"/>
      <c r="C25" s="2831"/>
      <c r="D25" s="2808"/>
      <c r="E25" s="2829"/>
      <c r="F25" s="2818"/>
      <c r="G25" s="413"/>
      <c r="H25" s="4129"/>
      <c r="I25" s="4136" t="s">
        <v>729</v>
      </c>
      <c r="J25" s="4140">
        <v>0.28263100831225152</v>
      </c>
      <c r="K25" s="4137" t="s">
        <v>727</v>
      </c>
    </row>
    <row r="26" spans="2:11" x14ac:dyDescent="0.25">
      <c r="B26" s="2813" t="s">
        <v>526</v>
      </c>
      <c r="C26" s="2830"/>
      <c r="D26" s="2808"/>
      <c r="E26" s="2829"/>
      <c r="F26" s="2817"/>
      <c r="G26" s="412"/>
      <c r="H26" s="4129"/>
      <c r="I26" s="4135" t="s">
        <v>730</v>
      </c>
      <c r="J26" s="4142">
        <v>0.75237072272518035</v>
      </c>
      <c r="K26" s="4124"/>
    </row>
    <row r="27" spans="2:11" x14ac:dyDescent="0.25">
      <c r="B27" s="2807" t="s">
        <v>721</v>
      </c>
      <c r="C27" s="2832">
        <v>13600</v>
      </c>
      <c r="D27" s="2843">
        <v>13600</v>
      </c>
      <c r="E27" s="2841">
        <v>27200</v>
      </c>
      <c r="F27" s="2819"/>
      <c r="G27" s="414"/>
      <c r="H27" s="4129"/>
      <c r="I27" s="4124"/>
      <c r="J27" s="4124"/>
      <c r="K27" s="4124"/>
    </row>
    <row r="28" spans="2:11" x14ac:dyDescent="0.25">
      <c r="B28" s="2820" t="s">
        <v>722</v>
      </c>
      <c r="C28" s="2833">
        <v>28400</v>
      </c>
      <c r="D28" s="2843">
        <v>28400</v>
      </c>
      <c r="E28" s="2841">
        <v>56800</v>
      </c>
      <c r="F28" s="2807"/>
      <c r="G28" s="412"/>
      <c r="H28" s="4128"/>
      <c r="I28" s="4124"/>
      <c r="J28" s="4124"/>
      <c r="K28" s="4124"/>
    </row>
    <row r="29" spans="2:11" x14ac:dyDescent="0.25">
      <c r="B29" s="2820" t="s">
        <v>725</v>
      </c>
      <c r="C29" s="2832">
        <v>13600</v>
      </c>
      <c r="D29" s="2843">
        <v>13600</v>
      </c>
      <c r="E29" s="2841">
        <v>27200</v>
      </c>
      <c r="F29" s="2817"/>
      <c r="G29" s="412"/>
      <c r="H29" s="4130"/>
      <c r="I29" s="4124"/>
      <c r="J29" s="4124"/>
      <c r="K29" s="4124"/>
    </row>
    <row r="30" spans="2:11" x14ac:dyDescent="0.25">
      <c r="B30" s="2820" t="s">
        <v>728</v>
      </c>
      <c r="C30" s="2832">
        <v>6200</v>
      </c>
      <c r="D30" s="2843">
        <v>6200</v>
      </c>
      <c r="E30" s="2841">
        <v>12400</v>
      </c>
      <c r="F30" s="2817"/>
      <c r="G30" s="412"/>
      <c r="H30" s="4128" t="s">
        <v>1184</v>
      </c>
      <c r="I30" s="4124"/>
      <c r="J30" s="4124"/>
      <c r="K30" s="4124"/>
    </row>
    <row r="31" spans="2:11" x14ac:dyDescent="0.25">
      <c r="B31" s="2807"/>
      <c r="C31" s="2834">
        <f>SUM(C27:C30)</f>
        <v>61800</v>
      </c>
      <c r="D31" s="3331">
        <f>SUM(D27:D30)</f>
        <v>61800</v>
      </c>
      <c r="E31" s="2844">
        <f>SUM(C31:D31)</f>
        <v>123600</v>
      </c>
      <c r="F31" s="2817"/>
      <c r="G31" s="412"/>
      <c r="H31" s="4145"/>
      <c r="I31" s="4149" t="s">
        <v>1185</v>
      </c>
      <c r="J31" s="4146">
        <v>1097100</v>
      </c>
      <c r="K31" s="4124"/>
    </row>
    <row r="32" spans="2:11" x14ac:dyDescent="0.25">
      <c r="B32" s="2808"/>
      <c r="C32" s="2835"/>
      <c r="D32" s="2808"/>
      <c r="E32" s="2829"/>
      <c r="F32" s="2817"/>
      <c r="G32" s="412"/>
      <c r="H32" s="4144"/>
      <c r="I32" s="4150" t="s">
        <v>1186</v>
      </c>
      <c r="J32" s="4147">
        <v>673100</v>
      </c>
      <c r="K32" s="4124"/>
    </row>
    <row r="33" spans="2:10" x14ac:dyDescent="0.25">
      <c r="B33" s="2813" t="s">
        <v>714</v>
      </c>
      <c r="C33" s="2834">
        <v>2400</v>
      </c>
      <c r="D33" s="2827">
        <v>2400</v>
      </c>
      <c r="E33" s="2844">
        <f>SUM(C33:D33)</f>
        <v>4800</v>
      </c>
      <c r="F33" s="2817"/>
      <c r="G33" s="412"/>
      <c r="H33" s="4152"/>
      <c r="I33" s="4151" t="s">
        <v>1187</v>
      </c>
      <c r="J33" s="4148">
        <v>424000</v>
      </c>
    </row>
    <row r="34" spans="2:10" x14ac:dyDescent="0.25">
      <c r="B34" s="2808"/>
      <c r="C34" s="2835"/>
      <c r="D34" s="2808"/>
      <c r="E34" s="2829"/>
      <c r="F34" s="2817"/>
      <c r="G34" s="412"/>
      <c r="H34" s="405"/>
      <c r="I34" s="415"/>
    </row>
    <row r="35" spans="2:10" x14ac:dyDescent="0.25">
      <c r="B35" s="2812" t="s">
        <v>717</v>
      </c>
      <c r="C35" s="2835"/>
      <c r="D35" s="2808"/>
      <c r="E35" s="2829"/>
      <c r="F35" s="2814"/>
      <c r="G35" s="405"/>
      <c r="H35" s="405"/>
      <c r="I35" s="415"/>
    </row>
    <row r="36" spans="2:10" x14ac:dyDescent="0.25">
      <c r="B36" s="2807" t="s">
        <v>731</v>
      </c>
      <c r="C36" s="2835">
        <v>9580</v>
      </c>
      <c r="D36" s="2843">
        <v>9580</v>
      </c>
      <c r="E36" s="2841">
        <v>19160</v>
      </c>
      <c r="F36" s="2814"/>
      <c r="G36" s="405"/>
      <c r="H36" s="405"/>
      <c r="I36" s="415"/>
    </row>
    <row r="37" spans="2:10" x14ac:dyDescent="0.25">
      <c r="B37" s="2807" t="s">
        <v>732</v>
      </c>
      <c r="C37" s="2835">
        <v>530</v>
      </c>
      <c r="D37" s="2843">
        <v>530</v>
      </c>
      <c r="E37" s="2841">
        <v>1060</v>
      </c>
      <c r="F37" s="2814"/>
      <c r="G37" s="405"/>
      <c r="H37" s="405"/>
      <c r="I37" s="415"/>
    </row>
    <row r="38" spans="2:10" x14ac:dyDescent="0.25">
      <c r="B38" s="2808" t="s">
        <v>733</v>
      </c>
      <c r="C38" s="2835">
        <v>540</v>
      </c>
      <c r="D38" s="2843">
        <v>540</v>
      </c>
      <c r="E38" s="2841">
        <v>1080</v>
      </c>
      <c r="F38" s="2814"/>
      <c r="G38" s="405"/>
      <c r="H38" s="405"/>
      <c r="I38" s="415"/>
    </row>
    <row r="39" spans="2:10" x14ac:dyDescent="0.25">
      <c r="B39" s="2812" t="s">
        <v>734</v>
      </c>
      <c r="C39" s="2836">
        <f>SUM(C36:C38)</f>
        <v>10650</v>
      </c>
      <c r="D39" s="3332">
        <f>SUM(D36:D38)</f>
        <v>10650</v>
      </c>
      <c r="E39" s="2844">
        <f>SUM(C39:D39)</f>
        <v>21300</v>
      </c>
      <c r="F39" s="2814"/>
      <c r="G39" s="405"/>
      <c r="H39" s="405"/>
      <c r="I39" s="415"/>
    </row>
    <row r="40" spans="2:10" x14ac:dyDescent="0.25">
      <c r="B40" s="2808"/>
      <c r="C40" s="2835"/>
      <c r="D40" s="2808"/>
      <c r="E40" s="2829"/>
      <c r="F40" s="2814"/>
      <c r="G40" s="405"/>
      <c r="H40" s="405"/>
      <c r="I40" s="410"/>
    </row>
    <row r="41" spans="2:10" x14ac:dyDescent="0.25">
      <c r="B41" s="2812" t="s">
        <v>719</v>
      </c>
      <c r="C41" s="3628">
        <f>SUM('[2]Mktg-Non-Labor'!N27:N32)/2</f>
        <v>21000</v>
      </c>
      <c r="D41" s="3629">
        <f>C41</f>
        <v>21000</v>
      </c>
      <c r="E41" s="2844">
        <f>SUM(C41:D41)</f>
        <v>42000</v>
      </c>
      <c r="F41" s="2814"/>
      <c r="G41" s="405"/>
      <c r="H41" s="405"/>
      <c r="I41" s="410"/>
    </row>
    <row r="42" spans="2:10" x14ac:dyDescent="0.25">
      <c r="B42" s="2808"/>
      <c r="C42" s="2835"/>
      <c r="D42" s="2808"/>
      <c r="E42" s="2829"/>
      <c r="F42" s="2814"/>
      <c r="G42" s="404"/>
      <c r="H42" s="405"/>
      <c r="I42" s="410"/>
    </row>
    <row r="43" spans="2:10" x14ac:dyDescent="0.25">
      <c r="B43" s="2812" t="s">
        <v>11</v>
      </c>
      <c r="C43" s="3417">
        <f>ROUND(SUM(C18,C24)*0.63, -2)</f>
        <v>1129100</v>
      </c>
      <c r="D43" s="3395">
        <f>ROUND(SUM(D18,D24)*0.63, -2)</f>
        <v>1129100</v>
      </c>
      <c r="E43" s="2844">
        <f>SUM(C43:D43)</f>
        <v>2258200</v>
      </c>
      <c r="F43" s="2814"/>
      <c r="G43" s="404"/>
      <c r="H43" s="405"/>
      <c r="I43" s="410"/>
    </row>
    <row r="44" spans="2:10" x14ac:dyDescent="0.25">
      <c r="B44" s="3789" t="s">
        <v>1181</v>
      </c>
      <c r="C44" s="3788">
        <v>-212000</v>
      </c>
      <c r="D44" s="3790">
        <v>-212000</v>
      </c>
      <c r="E44" s="3791">
        <v>-424000</v>
      </c>
      <c r="F44" s="2814"/>
      <c r="G44" s="398"/>
      <c r="H44" s="405"/>
      <c r="I44" s="410"/>
    </row>
    <row r="45" spans="2:10" x14ac:dyDescent="0.25">
      <c r="B45" s="3786" t="s">
        <v>1182</v>
      </c>
      <c r="C45" s="3798">
        <f>C43+C44</f>
        <v>917100</v>
      </c>
      <c r="D45" s="3797">
        <f>D43+D44</f>
        <v>917100</v>
      </c>
      <c r="E45" s="3787">
        <f>E43+E44</f>
        <v>1834200</v>
      </c>
      <c r="F45" s="2814"/>
      <c r="G45" s="398"/>
      <c r="H45" s="405"/>
      <c r="I45" s="410"/>
    </row>
    <row r="46" spans="2:10" x14ac:dyDescent="0.25">
      <c r="B46" s="2807"/>
      <c r="C46" s="2835"/>
      <c r="D46" s="2808"/>
      <c r="E46" s="2829"/>
      <c r="F46" s="2814"/>
      <c r="G46" s="398"/>
      <c r="H46" s="405"/>
      <c r="I46" s="410"/>
    </row>
    <row r="47" spans="2:10" x14ac:dyDescent="0.25">
      <c r="B47" s="2809" t="s">
        <v>14</v>
      </c>
      <c r="C47" s="2835"/>
      <c r="D47" s="2808"/>
      <c r="E47" s="2829"/>
      <c r="F47" s="2814"/>
      <c r="G47" s="398"/>
      <c r="H47" s="405"/>
      <c r="I47" s="410"/>
    </row>
    <row r="48" spans="2:10" x14ac:dyDescent="0.25">
      <c r="B48" s="2852" t="s">
        <v>708</v>
      </c>
      <c r="C48" s="2835"/>
      <c r="D48" s="2808"/>
      <c r="E48" s="2829"/>
      <c r="F48" s="2814"/>
      <c r="G48" s="398"/>
      <c r="H48" s="405"/>
      <c r="I48" s="410"/>
    </row>
    <row r="49" spans="2:10" x14ac:dyDescent="0.25">
      <c r="B49" s="2853" t="s">
        <v>735</v>
      </c>
      <c r="C49" s="3457">
        <v>57749.999999999993</v>
      </c>
      <c r="D49" s="3458">
        <v>57749.999999999993</v>
      </c>
      <c r="E49" s="2841">
        <f>SUM(C49:D49)</f>
        <v>115499.99999999999</v>
      </c>
      <c r="F49" s="2814"/>
      <c r="G49" s="398"/>
      <c r="H49" s="405"/>
      <c r="I49" s="410"/>
      <c r="J49" s="397"/>
    </row>
    <row r="50" spans="2:10" x14ac:dyDescent="0.25">
      <c r="B50" s="2853" t="s">
        <v>736</v>
      </c>
      <c r="C50" s="3457">
        <v>51000.000000000007</v>
      </c>
      <c r="D50" s="3458">
        <v>51000.000000000007</v>
      </c>
      <c r="E50" s="3474">
        <f t="shared" ref="E50:E59" si="1">SUM(C50:D50)</f>
        <v>102000.00000000001</v>
      </c>
      <c r="F50" s="2814"/>
      <c r="G50" s="398"/>
      <c r="H50" s="405"/>
      <c r="I50" s="410"/>
      <c r="J50" s="397"/>
    </row>
    <row r="51" spans="2:10" x14ac:dyDescent="0.25">
      <c r="B51" s="2853" t="s">
        <v>737</v>
      </c>
      <c r="C51" s="3457">
        <v>179350</v>
      </c>
      <c r="D51" s="3458">
        <v>179350</v>
      </c>
      <c r="E51" s="3474">
        <f t="shared" si="1"/>
        <v>358700</v>
      </c>
      <c r="F51" s="2814"/>
      <c r="G51" s="398"/>
      <c r="H51" s="405"/>
      <c r="I51" s="410"/>
      <c r="J51" s="397"/>
    </row>
    <row r="52" spans="2:10" x14ac:dyDescent="0.25">
      <c r="B52" s="2853" t="s">
        <v>738</v>
      </c>
      <c r="C52" s="3457">
        <v>12000</v>
      </c>
      <c r="D52" s="3458">
        <v>12000</v>
      </c>
      <c r="E52" s="3474">
        <f t="shared" si="1"/>
        <v>24000</v>
      </c>
      <c r="F52" s="2814"/>
      <c r="G52" s="398"/>
      <c r="H52" s="405"/>
      <c r="I52" s="410"/>
      <c r="J52" s="397"/>
    </row>
    <row r="53" spans="2:10" x14ac:dyDescent="0.25">
      <c r="B53" s="2853" t="s">
        <v>739</v>
      </c>
      <c r="C53" s="3457">
        <v>50000</v>
      </c>
      <c r="D53" s="3458">
        <v>50000</v>
      </c>
      <c r="E53" s="3474">
        <f t="shared" si="1"/>
        <v>100000</v>
      </c>
      <c r="F53" s="2814"/>
      <c r="G53" s="398"/>
      <c r="H53" s="405"/>
      <c r="I53" s="410"/>
      <c r="J53" s="397"/>
    </row>
    <row r="54" spans="2:10" x14ac:dyDescent="0.25">
      <c r="B54" s="2853" t="s">
        <v>740</v>
      </c>
      <c r="C54" s="3457">
        <v>18750</v>
      </c>
      <c r="D54" s="3458">
        <v>18750</v>
      </c>
      <c r="E54" s="3474">
        <f t="shared" si="1"/>
        <v>37500</v>
      </c>
      <c r="F54" s="2814"/>
      <c r="G54" s="398"/>
      <c r="H54" s="405"/>
      <c r="I54" s="410"/>
      <c r="J54" s="397"/>
    </row>
    <row r="55" spans="2:10" x14ac:dyDescent="0.25">
      <c r="B55" s="2849" t="s">
        <v>710</v>
      </c>
      <c r="C55" s="3457"/>
      <c r="D55" s="3458"/>
      <c r="E55" s="3474"/>
      <c r="F55" s="2814"/>
      <c r="G55" s="398"/>
      <c r="H55" s="405"/>
      <c r="I55" s="410"/>
      <c r="J55" s="397"/>
    </row>
    <row r="56" spans="2:10" x14ac:dyDescent="0.25">
      <c r="B56" s="3460" t="s">
        <v>741</v>
      </c>
      <c r="C56" s="3457">
        <v>1296000</v>
      </c>
      <c r="D56" s="3459">
        <v>864000</v>
      </c>
      <c r="E56" s="3474">
        <f t="shared" si="1"/>
        <v>2160000</v>
      </c>
      <c r="F56" s="2814"/>
      <c r="G56" s="398"/>
      <c r="H56" s="405"/>
      <c r="I56" s="410"/>
      <c r="J56" s="397"/>
    </row>
    <row r="57" spans="2:10" x14ac:dyDescent="0.25">
      <c r="B57" s="3460" t="s">
        <v>1085</v>
      </c>
      <c r="C57" s="3457">
        <v>66200</v>
      </c>
      <c r="D57" s="3459">
        <v>106600</v>
      </c>
      <c r="E57" s="3474">
        <f t="shared" si="1"/>
        <v>172800</v>
      </c>
      <c r="F57" s="3456"/>
      <c r="G57" s="404"/>
      <c r="H57" s="405"/>
      <c r="I57" s="410"/>
      <c r="J57" s="397"/>
    </row>
    <row r="58" spans="2:10" x14ac:dyDescent="0.25">
      <c r="B58" s="3460" t="s">
        <v>1075</v>
      </c>
      <c r="C58" s="3457">
        <v>182200</v>
      </c>
      <c r="D58" s="3459">
        <v>728600</v>
      </c>
      <c r="E58" s="3474">
        <f t="shared" si="1"/>
        <v>910800</v>
      </c>
      <c r="F58" s="2814"/>
      <c r="G58" s="404"/>
      <c r="H58" s="405"/>
      <c r="I58" s="410"/>
      <c r="J58" s="397"/>
    </row>
    <row r="59" spans="2:10" x14ac:dyDescent="0.25">
      <c r="B59" s="3460" t="s">
        <v>742</v>
      </c>
      <c r="C59" s="3457">
        <v>267400</v>
      </c>
      <c r="D59" s="3459">
        <v>496700</v>
      </c>
      <c r="E59" s="3474">
        <f t="shared" si="1"/>
        <v>764100</v>
      </c>
      <c r="F59" s="2814"/>
      <c r="G59" s="404"/>
      <c r="H59" s="417"/>
      <c r="I59" s="418"/>
      <c r="J59" s="400"/>
    </row>
    <row r="60" spans="2:10" x14ac:dyDescent="0.25">
      <c r="B60" s="2854" t="s">
        <v>743</v>
      </c>
      <c r="C60" s="3455">
        <f>SUM(C49:C59)</f>
        <v>2180650</v>
      </c>
      <c r="D60" s="3455">
        <f>SUM(D49:D59)</f>
        <v>2564750</v>
      </c>
      <c r="E60" s="2844">
        <f>SUM(C60:D60)</f>
        <v>4745400</v>
      </c>
      <c r="F60" s="2814"/>
      <c r="G60" s="404"/>
      <c r="H60" s="419"/>
      <c r="I60" s="419"/>
      <c r="J60" s="400"/>
    </row>
    <row r="61" spans="2:10" ht="13.8" thickBot="1" x14ac:dyDescent="0.3">
      <c r="B61" s="2816"/>
      <c r="C61" s="2832"/>
      <c r="D61" s="2808"/>
      <c r="E61" s="2829"/>
      <c r="F61" s="2814"/>
      <c r="G61" s="404"/>
      <c r="H61" s="419"/>
      <c r="I61" s="419"/>
      <c r="J61" s="400"/>
    </row>
    <row r="62" spans="2:10" ht="13.8" thickBot="1" x14ac:dyDescent="0.3">
      <c r="B62" s="2823" t="s">
        <v>744</v>
      </c>
      <c r="C62" s="2838">
        <f>C15+C20+C24+C31+C33+C39+C41+C45+C60</f>
        <v>20084250</v>
      </c>
      <c r="D62" s="3333">
        <f>D15+D20+D24+D31+D33+D39+D41+D45+D60</f>
        <v>19017750</v>
      </c>
      <c r="E62" s="3333">
        <f>E15+E20+E24+E31+E33+E39+E41+E45+E60</f>
        <v>39102000</v>
      </c>
      <c r="F62" s="2814"/>
      <c r="G62" s="404"/>
      <c r="H62" s="419"/>
      <c r="I62" s="419"/>
      <c r="J62" s="400"/>
    </row>
    <row r="63" spans="2:10" x14ac:dyDescent="0.25">
      <c r="B63" s="2810"/>
      <c r="C63" s="2847"/>
      <c r="D63" s="2811"/>
      <c r="E63" s="2811"/>
      <c r="F63" s="3456"/>
      <c r="G63" s="404"/>
      <c r="H63" s="419"/>
      <c r="I63" s="419"/>
      <c r="J63" s="400"/>
    </row>
    <row r="64" spans="2:10" x14ac:dyDescent="0.25">
      <c r="B64" s="2812" t="s">
        <v>745</v>
      </c>
      <c r="C64" s="2842">
        <v>2012</v>
      </c>
      <c r="D64" s="2842">
        <v>2013</v>
      </c>
      <c r="E64" s="2842" t="s">
        <v>29</v>
      </c>
      <c r="F64" s="3456"/>
      <c r="G64" s="404"/>
      <c r="H64" s="419"/>
      <c r="I64" s="419"/>
      <c r="J64" s="400"/>
    </row>
    <row r="65" spans="2:10" s="3369" customFormat="1" ht="15.6" x14ac:dyDescent="0.3">
      <c r="B65" s="3902"/>
      <c r="C65" s="2839"/>
      <c r="D65" s="2840"/>
      <c r="E65" s="2840"/>
      <c r="F65" s="2855"/>
      <c r="G65" s="404"/>
      <c r="H65" s="2710"/>
      <c r="I65" s="2710"/>
      <c r="J65" s="2682"/>
    </row>
    <row r="66" spans="2:10" x14ac:dyDescent="0.25">
      <c r="B66" s="2850" t="s">
        <v>454</v>
      </c>
      <c r="C66" s="3630">
        <v>31800000</v>
      </c>
      <c r="D66" s="2404">
        <v>21200000</v>
      </c>
      <c r="E66" s="2846">
        <v>52000000</v>
      </c>
      <c r="F66" s="2845" t="s">
        <v>746</v>
      </c>
      <c r="G66" s="405"/>
      <c r="H66" s="419"/>
      <c r="I66" s="419"/>
      <c r="J66" s="400"/>
    </row>
    <row r="67" spans="2:10" x14ac:dyDescent="0.25">
      <c r="B67" s="2850" t="s">
        <v>747</v>
      </c>
      <c r="C67" s="3630">
        <v>5000000</v>
      </c>
      <c r="D67" s="2404">
        <v>5000000</v>
      </c>
      <c r="E67" s="2846">
        <v>10647000</v>
      </c>
      <c r="F67" s="2845" t="s">
        <v>746</v>
      </c>
      <c r="G67" s="405"/>
      <c r="H67" s="419"/>
      <c r="I67" s="419"/>
      <c r="J67" s="400"/>
    </row>
    <row r="68" spans="2:10" x14ac:dyDescent="0.25">
      <c r="B68" s="2850" t="s">
        <v>748</v>
      </c>
      <c r="C68" s="3630">
        <v>3600000</v>
      </c>
      <c r="D68" s="2404">
        <v>5400000</v>
      </c>
      <c r="E68" s="2846">
        <v>9000000</v>
      </c>
      <c r="F68" s="2845" t="s">
        <v>746</v>
      </c>
      <c r="G68" s="405"/>
      <c r="H68" s="419"/>
      <c r="I68" s="419"/>
      <c r="J68" s="400"/>
    </row>
    <row r="69" spans="2:10" x14ac:dyDescent="0.25">
      <c r="B69" s="2850" t="s">
        <v>749</v>
      </c>
      <c r="C69" s="3630">
        <v>14000000</v>
      </c>
      <c r="D69" s="2404">
        <v>14000000</v>
      </c>
      <c r="E69" s="2846">
        <v>28000000</v>
      </c>
      <c r="F69" s="2845" t="s">
        <v>746</v>
      </c>
      <c r="G69" s="405"/>
      <c r="H69" s="419"/>
      <c r="I69" s="419"/>
      <c r="J69" s="400"/>
    </row>
    <row r="70" spans="2:10" ht="15.6" x14ac:dyDescent="0.3">
      <c r="B70" s="3902"/>
      <c r="C70" s="3631"/>
      <c r="D70" s="3632"/>
      <c r="E70" s="2846"/>
      <c r="F70" s="2845"/>
      <c r="G70" s="2691"/>
      <c r="H70" s="419"/>
      <c r="I70" s="419"/>
      <c r="J70" s="400"/>
    </row>
    <row r="71" spans="2:10" x14ac:dyDescent="0.25">
      <c r="B71" s="2848" t="s">
        <v>741</v>
      </c>
      <c r="C71" s="3630">
        <v>10800000</v>
      </c>
      <c r="D71" s="2404">
        <v>7200000</v>
      </c>
      <c r="E71" s="2846">
        <v>18000000</v>
      </c>
      <c r="F71" s="2845" t="s">
        <v>746</v>
      </c>
      <c r="G71" s="417"/>
      <c r="H71" s="419"/>
      <c r="I71" s="419"/>
      <c r="J71" s="400"/>
    </row>
    <row r="72" spans="2:10" x14ac:dyDescent="0.25">
      <c r="B72" s="3463"/>
      <c r="C72" s="3630">
        <v>0</v>
      </c>
      <c r="D72" s="2404">
        <v>3340000</v>
      </c>
      <c r="E72" s="3462"/>
      <c r="F72" s="3461"/>
      <c r="G72" s="417"/>
      <c r="H72" s="419"/>
      <c r="I72" s="419"/>
      <c r="J72" s="400"/>
    </row>
    <row r="73" spans="2:10" x14ac:dyDescent="0.25">
      <c r="B73" s="2851" t="s">
        <v>1075</v>
      </c>
      <c r="C73" s="3630">
        <v>1800000</v>
      </c>
      <c r="D73" s="2404">
        <v>7200000</v>
      </c>
      <c r="E73" s="2846">
        <v>9000000</v>
      </c>
      <c r="F73" s="2845" t="s">
        <v>746</v>
      </c>
      <c r="G73" s="417"/>
      <c r="H73" s="417"/>
      <c r="I73" s="419"/>
      <c r="J73" s="400"/>
    </row>
    <row r="74" spans="2:10" x14ac:dyDescent="0.25">
      <c r="B74" s="2851" t="s">
        <v>742</v>
      </c>
      <c r="C74" s="3633">
        <v>2800000</v>
      </c>
      <c r="D74" s="3634">
        <v>5200000</v>
      </c>
      <c r="E74" s="2862">
        <v>8000000</v>
      </c>
      <c r="F74" s="2863" t="s">
        <v>746</v>
      </c>
      <c r="G74" s="417"/>
      <c r="H74" s="417"/>
      <c r="I74" s="419"/>
      <c r="J74" s="400"/>
    </row>
    <row r="75" spans="2:10" x14ac:dyDescent="0.25">
      <c r="B75" s="2809" t="s">
        <v>750</v>
      </c>
      <c r="C75" s="2837">
        <f>SUM(C66:C74)</f>
        <v>69800000</v>
      </c>
      <c r="D75" s="3219">
        <f>SUM(D66:D74)</f>
        <v>68540000</v>
      </c>
      <c r="E75" s="2856">
        <f>SUM(C75:D75)</f>
        <v>138340000</v>
      </c>
      <c r="F75" s="2857" t="s">
        <v>746</v>
      </c>
      <c r="G75" s="417"/>
      <c r="H75" s="417"/>
      <c r="I75" s="418"/>
      <c r="J75" s="400"/>
    </row>
    <row r="76" spans="2:10" x14ac:dyDescent="0.25">
      <c r="B76" s="2807"/>
      <c r="C76" s="2822"/>
      <c r="D76" s="2807"/>
      <c r="E76" s="2807"/>
      <c r="F76" s="2824"/>
      <c r="G76" s="417"/>
      <c r="H76" s="417"/>
      <c r="I76" s="418"/>
      <c r="J76" s="400"/>
    </row>
    <row r="77" spans="2:10" x14ac:dyDescent="0.25">
      <c r="B77" s="2826" t="s">
        <v>751</v>
      </c>
      <c r="C77" s="2864">
        <v>0.50743054059875081</v>
      </c>
      <c r="D77" s="2864">
        <v>0.49256945940124919</v>
      </c>
      <c r="E77" s="2807"/>
      <c r="F77" s="2824"/>
      <c r="G77" s="419"/>
      <c r="H77" s="417"/>
      <c r="I77" s="418"/>
      <c r="J77" s="400"/>
    </row>
    <row r="78" spans="2:10" x14ac:dyDescent="0.25">
      <c r="B78" s="454"/>
      <c r="C78" s="2777"/>
      <c r="D78" s="2722"/>
      <c r="E78" s="2774"/>
      <c r="F78" s="2707"/>
      <c r="G78" s="419"/>
      <c r="H78" s="417"/>
      <c r="I78" s="418"/>
      <c r="J78" s="400"/>
    </row>
    <row r="79" spans="2:10" x14ac:dyDescent="0.25">
      <c r="B79" s="454"/>
      <c r="C79" s="2777"/>
      <c r="D79" s="2722"/>
      <c r="E79" s="2794"/>
      <c r="F79" s="2707"/>
      <c r="G79" s="419"/>
      <c r="H79" s="417"/>
      <c r="I79" s="418"/>
      <c r="J79" s="400"/>
    </row>
    <row r="80" spans="2:10" x14ac:dyDescent="0.25">
      <c r="B80" s="454"/>
      <c r="C80" s="2794"/>
      <c r="D80" s="2806"/>
      <c r="E80" s="2774"/>
      <c r="F80" s="2680"/>
      <c r="G80" s="419"/>
      <c r="H80" s="397"/>
      <c r="I80" s="397"/>
      <c r="J80" s="400"/>
    </row>
    <row r="81" spans="2:10" x14ac:dyDescent="0.25">
      <c r="B81" s="399"/>
      <c r="C81" s="2713"/>
      <c r="D81" s="2713"/>
      <c r="E81" s="2801"/>
      <c r="F81" s="2712"/>
      <c r="G81" s="419"/>
      <c r="H81" s="397"/>
      <c r="I81" s="397"/>
      <c r="J81" s="400"/>
    </row>
    <row r="82" spans="2:10" x14ac:dyDescent="0.25">
      <c r="B82" s="397"/>
      <c r="C82" s="417"/>
      <c r="D82" s="397"/>
      <c r="E82" s="397"/>
      <c r="F82" s="419"/>
      <c r="G82" s="419"/>
      <c r="J82" s="400"/>
    </row>
    <row r="83" spans="2:10" x14ac:dyDescent="0.25">
      <c r="B83" s="423"/>
      <c r="C83" s="453"/>
      <c r="D83" s="453"/>
      <c r="E83" s="397"/>
      <c r="F83" s="419"/>
      <c r="G83" s="419"/>
      <c r="J83" s="400"/>
    </row>
    <row r="84" spans="2:10" x14ac:dyDescent="0.25">
      <c r="B84" s="397"/>
      <c r="C84" s="419"/>
      <c r="D84" s="397"/>
      <c r="E84" s="397"/>
      <c r="F84" s="417"/>
      <c r="G84" s="397"/>
      <c r="J84" s="400"/>
    </row>
    <row r="85" spans="2:10" ht="21" x14ac:dyDescent="0.4">
      <c r="B85" s="406"/>
      <c r="C85" s="420"/>
      <c r="D85" s="397"/>
      <c r="E85" s="397"/>
      <c r="F85" s="417"/>
      <c r="G85" s="397"/>
      <c r="J85" s="400"/>
    </row>
    <row r="86" spans="2:10" x14ac:dyDescent="0.25">
      <c r="B86" s="400"/>
      <c r="C86" s="400"/>
      <c r="D86" s="397"/>
      <c r="E86" s="397"/>
      <c r="F86" s="417"/>
      <c r="J86" s="400"/>
    </row>
    <row r="87" spans="2:10" x14ac:dyDescent="0.25">
      <c r="B87" s="397"/>
      <c r="C87" s="397"/>
      <c r="D87" s="397"/>
      <c r="E87" s="397"/>
      <c r="F87" s="397"/>
      <c r="J87" s="400"/>
    </row>
    <row r="88" spans="2:10" x14ac:dyDescent="0.25">
      <c r="B88" s="397"/>
      <c r="C88" s="397"/>
      <c r="D88" s="397"/>
      <c r="E88" s="397"/>
      <c r="F88" s="397"/>
      <c r="J88" s="400"/>
    </row>
    <row r="89" spans="2:10" x14ac:dyDescent="0.25">
      <c r="J89" s="400"/>
    </row>
    <row r="90" spans="2:10" x14ac:dyDescent="0.25">
      <c r="J90" s="400"/>
    </row>
    <row r="91" spans="2:10" x14ac:dyDescent="0.25">
      <c r="J91" s="400"/>
    </row>
  </sheetData>
  <customSheetViews>
    <customSheetView guid="{074EB09C-6289-46D7-9513-012B68BCA7BF}" showPageBreaks="1" topLeftCell="E1">
      <selection activeCell="F16" sqref="F16"/>
      <pageMargins left="0.7" right="0.7" top="0.75" bottom="0.75" header="0.3" footer="0.3"/>
      <pageSetup orientation="portrait" r:id="rId1"/>
    </customSheetView>
  </customSheetViews>
  <pageMargins left="0.28000000000000003" right="0.3" top="0.44" bottom="0.45" header="0.3" footer="0.3"/>
  <pageSetup paperSize="17" scale="68"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workbookViewId="0">
      <pane xSplit="1" ySplit="1" topLeftCell="F2" activePane="bottomRight" state="frozen"/>
      <selection pane="topRight" activeCell="B1" sqref="B1"/>
      <selection pane="bottomLeft" activeCell="A2" sqref="A2"/>
      <selection pane="bottomRight" activeCell="B57" sqref="B57"/>
    </sheetView>
  </sheetViews>
  <sheetFormatPr defaultColWidth="34.88671875" defaultRowHeight="13.2" x14ac:dyDescent="0.25"/>
  <cols>
    <col min="1" max="1" width="17.109375" style="3369" customWidth="1"/>
    <col min="2" max="2" width="58.5546875" customWidth="1"/>
    <col min="3" max="3" width="20.33203125" customWidth="1"/>
    <col min="4" max="4" width="18" customWidth="1"/>
    <col min="5" max="5" width="19" customWidth="1"/>
    <col min="6" max="6" width="22.6640625" customWidth="1"/>
    <col min="7" max="7" width="24.33203125" customWidth="1"/>
    <col min="8" max="8" width="23.5546875" customWidth="1"/>
    <col min="9" max="9" width="21.6640625" customWidth="1"/>
    <col min="10" max="10" width="20" customWidth="1"/>
    <col min="11" max="11" width="25.88671875" customWidth="1"/>
    <col min="12" max="12" width="21.6640625" customWidth="1"/>
    <col min="13" max="13" width="25.33203125" customWidth="1"/>
  </cols>
  <sheetData>
    <row r="1" spans="2:14" ht="41.25" customHeight="1" x14ac:dyDescent="0.4">
      <c r="B1" s="468" t="s">
        <v>753</v>
      </c>
      <c r="C1" s="489"/>
      <c r="D1" s="489"/>
      <c r="E1" s="489"/>
      <c r="F1" s="489"/>
      <c r="G1" s="498"/>
      <c r="H1" s="490"/>
      <c r="I1" s="490"/>
      <c r="J1" s="458"/>
      <c r="K1" s="458"/>
      <c r="L1" s="458"/>
      <c r="M1" s="458"/>
      <c r="N1" s="458"/>
    </row>
    <row r="2" spans="2:14" ht="21" x14ac:dyDescent="0.4">
      <c r="B2" s="468"/>
      <c r="C2" s="489"/>
      <c r="D2" s="489"/>
      <c r="E2" s="489"/>
      <c r="F2" s="489"/>
      <c r="G2" s="498"/>
      <c r="H2" s="490"/>
      <c r="I2" s="490"/>
      <c r="J2" s="458"/>
      <c r="K2" s="458"/>
      <c r="L2" s="458"/>
      <c r="M2" s="458"/>
      <c r="N2" s="458"/>
    </row>
    <row r="3" spans="2:14" ht="26.4" x14ac:dyDescent="0.25">
      <c r="B3" s="3883"/>
      <c r="C3" s="464" t="s">
        <v>9</v>
      </c>
      <c r="D3" s="464" t="s">
        <v>10</v>
      </c>
      <c r="E3" s="464" t="s">
        <v>701</v>
      </c>
      <c r="F3" s="465" t="s">
        <v>12</v>
      </c>
      <c r="G3" s="465" t="s">
        <v>13</v>
      </c>
      <c r="H3" s="465" t="s">
        <v>14</v>
      </c>
      <c r="I3" s="465" t="s">
        <v>15</v>
      </c>
      <c r="J3" s="465" t="s">
        <v>16</v>
      </c>
      <c r="K3" s="465" t="s">
        <v>702</v>
      </c>
      <c r="L3" s="465" t="s">
        <v>18</v>
      </c>
      <c r="M3" s="531" t="s">
        <v>136</v>
      </c>
      <c r="N3" s="466" t="s">
        <v>19</v>
      </c>
    </row>
    <row r="4" spans="2:14" ht="26.4" x14ac:dyDescent="0.25">
      <c r="B4" s="539" t="s">
        <v>703</v>
      </c>
      <c r="C4" s="537"/>
      <c r="D4" s="537"/>
      <c r="E4" s="537"/>
      <c r="F4" s="537"/>
      <c r="G4" s="537"/>
      <c r="H4" s="537"/>
      <c r="I4" s="537"/>
      <c r="J4" s="537"/>
      <c r="K4" s="538"/>
      <c r="L4" s="538">
        <v>2153846</v>
      </c>
      <c r="M4" s="538"/>
      <c r="N4" s="540" t="s">
        <v>21</v>
      </c>
    </row>
    <row r="5" spans="2:14" x14ac:dyDescent="0.25">
      <c r="B5" s="527" t="s">
        <v>704</v>
      </c>
      <c r="C5" s="526">
        <v>243364.1</v>
      </c>
      <c r="D5" s="526">
        <v>6135</v>
      </c>
      <c r="E5" s="526">
        <v>157184.43299999996</v>
      </c>
      <c r="F5" s="526">
        <v>17500</v>
      </c>
      <c r="G5" s="526">
        <v>3400</v>
      </c>
      <c r="H5" s="526">
        <v>71750</v>
      </c>
      <c r="I5" s="526">
        <v>400</v>
      </c>
      <c r="J5" s="526">
        <v>0</v>
      </c>
      <c r="K5" s="528">
        <v>7750000</v>
      </c>
      <c r="L5" s="529">
        <v>8249733.5329999998</v>
      </c>
      <c r="M5" s="533">
        <v>15500000</v>
      </c>
      <c r="N5" s="541">
        <v>2.8302336996238355</v>
      </c>
    </row>
    <row r="6" spans="2:14" x14ac:dyDescent="0.25">
      <c r="B6" s="461">
        <v>2012</v>
      </c>
      <c r="C6" s="508">
        <f>C15</f>
        <v>225000</v>
      </c>
      <c r="D6" s="509">
        <f>C16</f>
        <v>19400</v>
      </c>
      <c r="E6" s="509">
        <f>C35</f>
        <v>154000</v>
      </c>
      <c r="F6" s="509">
        <f>C33</f>
        <v>10500</v>
      </c>
      <c r="G6" s="509">
        <f>C23</f>
        <v>4000</v>
      </c>
      <c r="H6" s="509">
        <f>C46</f>
        <v>50300</v>
      </c>
      <c r="I6" s="509">
        <f>C31</f>
        <v>470</v>
      </c>
      <c r="J6" s="509">
        <f>C25</f>
        <v>500</v>
      </c>
      <c r="K6" s="510">
        <f>C12</f>
        <v>1750000</v>
      </c>
      <c r="L6" s="510">
        <f>SUM(C6:K6)</f>
        <v>2214170</v>
      </c>
      <c r="M6" s="532">
        <f>C51</f>
        <v>3500000</v>
      </c>
      <c r="N6" s="541">
        <v>-0.7343660457354072</v>
      </c>
    </row>
    <row r="7" spans="2:14" ht="13.8" thickBot="1" x14ac:dyDescent="0.3">
      <c r="B7" s="521">
        <v>2013</v>
      </c>
      <c r="C7" s="508">
        <f>D15</f>
        <v>225000</v>
      </c>
      <c r="D7" s="509">
        <f>D16</f>
        <v>19400</v>
      </c>
      <c r="E7" s="509">
        <f>D35</f>
        <v>154000</v>
      </c>
      <c r="F7" s="509">
        <f>D33</f>
        <v>10500</v>
      </c>
      <c r="G7" s="509">
        <f>D23</f>
        <v>4000</v>
      </c>
      <c r="H7" s="2744">
        <f>D46</f>
        <v>50200</v>
      </c>
      <c r="I7" s="2749">
        <f>D31</f>
        <v>470</v>
      </c>
      <c r="J7" s="2749">
        <f>D25</f>
        <v>500</v>
      </c>
      <c r="K7" s="524">
        <f>D12</f>
        <v>1750000</v>
      </c>
      <c r="L7" s="510">
        <f>SUM(C7:K7)</f>
        <v>2214070</v>
      </c>
      <c r="M7" s="532">
        <f>D51</f>
        <v>3500000</v>
      </c>
      <c r="N7" s="541">
        <v>0</v>
      </c>
    </row>
    <row r="8" spans="2:14" ht="13.8" thickBot="1" x14ac:dyDescent="0.3">
      <c r="B8" s="486" t="s">
        <v>178</v>
      </c>
      <c r="C8" s="522">
        <f t="shared" ref="C8:M8" si="0">SUM(C6:C7)</f>
        <v>450000</v>
      </c>
      <c r="D8" s="523">
        <f t="shared" si="0"/>
        <v>38800</v>
      </c>
      <c r="E8" s="523">
        <f t="shared" si="0"/>
        <v>308000</v>
      </c>
      <c r="F8" s="523">
        <f t="shared" si="0"/>
        <v>21000</v>
      </c>
      <c r="G8" s="523">
        <f t="shared" si="0"/>
        <v>8000</v>
      </c>
      <c r="H8" s="523">
        <f t="shared" si="0"/>
        <v>100500</v>
      </c>
      <c r="I8" s="523">
        <f t="shared" si="0"/>
        <v>940</v>
      </c>
      <c r="J8" s="523">
        <f t="shared" si="0"/>
        <v>1000</v>
      </c>
      <c r="K8" s="525">
        <f t="shared" si="0"/>
        <v>3500000</v>
      </c>
      <c r="L8" s="530">
        <f t="shared" si="0"/>
        <v>4428240</v>
      </c>
      <c r="M8" s="534">
        <f t="shared" si="0"/>
        <v>7000000</v>
      </c>
      <c r="N8" s="458"/>
    </row>
    <row r="9" spans="2:14" ht="21" x14ac:dyDescent="0.4">
      <c r="B9" s="468"/>
      <c r="C9" s="489"/>
      <c r="D9" s="489"/>
      <c r="E9" s="489"/>
      <c r="F9" s="489"/>
      <c r="G9" s="498"/>
      <c r="H9" s="490"/>
      <c r="I9" s="490"/>
      <c r="J9" s="458"/>
      <c r="K9" s="458"/>
      <c r="L9" s="458"/>
      <c r="M9" s="458"/>
      <c r="N9" s="472"/>
    </row>
    <row r="10" spans="2:14" ht="17.399999999999999" x14ac:dyDescent="0.3">
      <c r="B10" s="469" t="s">
        <v>754</v>
      </c>
      <c r="C10" s="517">
        <v>2012</v>
      </c>
      <c r="D10" s="518">
        <v>2013</v>
      </c>
      <c r="E10" s="519" t="s">
        <v>29</v>
      </c>
      <c r="F10" s="488"/>
      <c r="G10" s="488"/>
      <c r="H10" s="488"/>
      <c r="I10" s="488"/>
      <c r="J10" s="458"/>
      <c r="K10" s="458"/>
      <c r="L10" s="458"/>
      <c r="M10" s="458"/>
      <c r="N10" s="458"/>
    </row>
    <row r="11" spans="2:14" ht="17.399999999999999" x14ac:dyDescent="0.3">
      <c r="B11" s="470"/>
      <c r="C11" s="552"/>
      <c r="D11" s="476"/>
      <c r="E11" s="511"/>
      <c r="F11" s="476"/>
      <c r="G11" s="476"/>
      <c r="H11" s="476"/>
      <c r="I11" s="4165" t="s">
        <v>706</v>
      </c>
      <c r="J11" s="4156"/>
      <c r="K11" s="4156"/>
      <c r="L11" s="472"/>
      <c r="M11" s="535"/>
      <c r="N11" s="458"/>
    </row>
    <row r="12" spans="2:14" ht="13.8" x14ac:dyDescent="0.3">
      <c r="B12" s="3903"/>
      <c r="C12" s="552">
        <v>1750000</v>
      </c>
      <c r="D12" s="545">
        <v>1750000</v>
      </c>
      <c r="E12" s="546">
        <v>3500000</v>
      </c>
      <c r="F12" s="476"/>
      <c r="G12" s="476"/>
      <c r="H12" s="476"/>
      <c r="I12" s="4157" t="s">
        <v>755</v>
      </c>
      <c r="J12" s="4158">
        <v>3500000</v>
      </c>
      <c r="K12" s="4156"/>
      <c r="L12" s="458"/>
      <c r="M12" s="458"/>
      <c r="N12" s="458"/>
    </row>
    <row r="13" spans="2:14" ht="17.399999999999999" x14ac:dyDescent="0.3">
      <c r="B13" s="470"/>
      <c r="C13" s="500"/>
      <c r="D13" s="460"/>
      <c r="E13" s="501"/>
      <c r="F13" s="476"/>
      <c r="G13" s="476"/>
      <c r="H13" s="476"/>
      <c r="I13" s="4157" t="s">
        <v>709</v>
      </c>
      <c r="J13" s="4159">
        <v>450000</v>
      </c>
      <c r="K13" s="4156"/>
      <c r="L13" s="458"/>
      <c r="M13" s="458"/>
      <c r="N13" s="458"/>
    </row>
    <row r="14" spans="2:14" x14ac:dyDescent="0.25">
      <c r="B14" s="467" t="s">
        <v>713</v>
      </c>
      <c r="C14" s="502"/>
      <c r="D14" s="460"/>
      <c r="E14" s="501"/>
      <c r="F14" s="473"/>
      <c r="G14" s="473"/>
      <c r="H14" s="473"/>
      <c r="I14" s="4157" t="s">
        <v>712</v>
      </c>
      <c r="J14" s="4159">
        <v>38800</v>
      </c>
      <c r="K14" s="4153"/>
      <c r="L14" s="458"/>
      <c r="M14" s="458"/>
      <c r="N14" s="458"/>
    </row>
    <row r="15" spans="2:14" x14ac:dyDescent="0.25">
      <c r="B15" s="475" t="s">
        <v>715</v>
      </c>
      <c r="C15" s="2796">
        <v>225000</v>
      </c>
      <c r="D15" s="542">
        <v>225000</v>
      </c>
      <c r="E15" s="520">
        <f>SUM(C15:D15)</f>
        <v>450000</v>
      </c>
      <c r="F15" s="487">
        <v>2.48</v>
      </c>
      <c r="G15" s="477" t="s">
        <v>716</v>
      </c>
      <c r="H15" s="474"/>
      <c r="I15" s="4157" t="s">
        <v>526</v>
      </c>
      <c r="J15" s="4155">
        <v>8000</v>
      </c>
      <c r="K15" s="4153"/>
      <c r="L15" s="458"/>
      <c r="M15" s="458"/>
      <c r="N15" s="458"/>
    </row>
    <row r="16" spans="2:14" x14ac:dyDescent="0.25">
      <c r="B16" s="475" t="s">
        <v>720</v>
      </c>
      <c r="C16" s="2796">
        <v>19400</v>
      </c>
      <c r="D16" s="542">
        <v>19400</v>
      </c>
      <c r="E16" s="2745">
        <f>SUM(C16:D16)</f>
        <v>38800</v>
      </c>
      <c r="F16" s="487">
        <v>0.16</v>
      </c>
      <c r="G16" s="477" t="s">
        <v>716</v>
      </c>
      <c r="H16" s="474"/>
      <c r="I16" s="4157" t="s">
        <v>714</v>
      </c>
      <c r="J16" s="4155">
        <v>1000</v>
      </c>
      <c r="K16" s="4153"/>
      <c r="L16" s="458"/>
      <c r="M16" s="458"/>
      <c r="N16" s="458"/>
    </row>
    <row r="17" spans="2:13" x14ac:dyDescent="0.25">
      <c r="B17" s="475"/>
      <c r="C17" s="503"/>
      <c r="D17" s="460"/>
      <c r="E17" s="501"/>
      <c r="F17" s="474"/>
      <c r="G17" s="474"/>
      <c r="H17" s="474"/>
      <c r="I17" s="4157" t="s">
        <v>717</v>
      </c>
      <c r="J17" s="4155">
        <v>940</v>
      </c>
      <c r="K17" s="4153"/>
      <c r="L17" s="458"/>
      <c r="M17" s="536"/>
    </row>
    <row r="18" spans="2:13" x14ac:dyDescent="0.25">
      <c r="B18" s="467" t="s">
        <v>526</v>
      </c>
      <c r="C18" s="502"/>
      <c r="D18" s="460"/>
      <c r="E18" s="501"/>
      <c r="F18" s="473"/>
      <c r="G18" s="473"/>
      <c r="H18" s="474"/>
      <c r="I18" s="4157" t="s">
        <v>719</v>
      </c>
      <c r="J18" s="4155">
        <v>21000</v>
      </c>
      <c r="K18" s="4153"/>
      <c r="L18" s="458"/>
      <c r="M18" s="458"/>
    </row>
    <row r="19" spans="2:13" x14ac:dyDescent="0.25">
      <c r="B19" s="458" t="s">
        <v>721</v>
      </c>
      <c r="C19" s="512">
        <v>900</v>
      </c>
      <c r="D19" s="542">
        <v>900</v>
      </c>
      <c r="E19" s="520">
        <f>SUM(C19:D19)</f>
        <v>1800</v>
      </c>
      <c r="F19" s="491"/>
      <c r="G19" s="491"/>
      <c r="H19" s="473"/>
      <c r="I19" s="4157" t="s">
        <v>11</v>
      </c>
      <c r="J19" s="4155">
        <v>308000</v>
      </c>
      <c r="K19" s="4153"/>
      <c r="L19" s="458"/>
      <c r="M19" s="458"/>
    </row>
    <row r="20" spans="2:13" x14ac:dyDescent="0.25">
      <c r="B20" s="475" t="s">
        <v>722</v>
      </c>
      <c r="C20" s="504">
        <v>1800</v>
      </c>
      <c r="D20" s="542">
        <v>1800</v>
      </c>
      <c r="E20" s="2745">
        <f>SUM(C20:D20)</f>
        <v>3600</v>
      </c>
      <c r="F20" s="458"/>
      <c r="G20" s="473"/>
      <c r="H20" s="491"/>
      <c r="I20" s="4157" t="s">
        <v>14</v>
      </c>
      <c r="J20" s="4164">
        <v>100500</v>
      </c>
      <c r="K20" s="4153"/>
      <c r="L20" s="458"/>
      <c r="M20" s="458"/>
    </row>
    <row r="21" spans="2:13" x14ac:dyDescent="0.25">
      <c r="B21" s="475" t="s">
        <v>725</v>
      </c>
      <c r="C21" s="512">
        <v>900</v>
      </c>
      <c r="D21" s="542">
        <v>900</v>
      </c>
      <c r="E21" s="2745">
        <f>SUM(C21:D21)</f>
        <v>1800</v>
      </c>
      <c r="F21" s="473"/>
      <c r="G21" s="473"/>
      <c r="H21" s="473"/>
      <c r="I21" s="4153"/>
      <c r="J21" s="4154">
        <v>4428240</v>
      </c>
      <c r="K21" s="4153"/>
      <c r="L21" s="458"/>
      <c r="M21" s="458"/>
    </row>
    <row r="22" spans="2:13" x14ac:dyDescent="0.25">
      <c r="B22" s="475" t="s">
        <v>728</v>
      </c>
      <c r="C22" s="512">
        <v>400</v>
      </c>
      <c r="D22" s="542">
        <v>400</v>
      </c>
      <c r="E22" s="2745">
        <f>SUM(C22:D22)</f>
        <v>800</v>
      </c>
      <c r="F22" s="473"/>
      <c r="G22" s="473"/>
      <c r="H22" s="492"/>
      <c r="I22" s="4157"/>
      <c r="J22" s="4169"/>
      <c r="K22" s="4153"/>
      <c r="L22" s="458"/>
      <c r="M22" s="458"/>
    </row>
    <row r="23" spans="2:13" x14ac:dyDescent="0.25">
      <c r="B23" s="458"/>
      <c r="C23" s="505">
        <f>SUM(C19:C22)</f>
        <v>4000</v>
      </c>
      <c r="D23" s="484">
        <f>SUM(D19:D22)</f>
        <v>4000</v>
      </c>
      <c r="E23" s="547">
        <f>SUM(E19:E22)</f>
        <v>8000</v>
      </c>
      <c r="F23" s="473"/>
      <c r="G23" s="473"/>
      <c r="H23" s="492"/>
      <c r="I23" s="4162" t="s">
        <v>723</v>
      </c>
      <c r="J23" s="4167">
        <v>7000000</v>
      </c>
      <c r="K23" s="4160" t="s">
        <v>724</v>
      </c>
      <c r="L23" s="458"/>
      <c r="M23" s="458"/>
    </row>
    <row r="24" spans="2:13" x14ac:dyDescent="0.25">
      <c r="B24" s="460"/>
      <c r="C24" s="515"/>
      <c r="D24" s="460"/>
      <c r="E24" s="501"/>
      <c r="F24" s="473"/>
      <c r="G24" s="473"/>
      <c r="H24" s="492"/>
      <c r="I24" s="4162" t="s">
        <v>726</v>
      </c>
      <c r="J24" s="4166">
        <v>0.5</v>
      </c>
      <c r="K24" s="4163" t="s">
        <v>727</v>
      </c>
      <c r="L24" s="458"/>
      <c r="M24" s="458"/>
    </row>
    <row r="25" spans="2:13" x14ac:dyDescent="0.25">
      <c r="B25" s="467" t="s">
        <v>714</v>
      </c>
      <c r="C25" s="505">
        <v>500</v>
      </c>
      <c r="D25" s="499">
        <v>500</v>
      </c>
      <c r="E25" s="547">
        <f>SUM(C25:D25)</f>
        <v>1000</v>
      </c>
      <c r="F25" s="473"/>
      <c r="G25" s="473"/>
      <c r="H25" s="492"/>
      <c r="I25" s="4162" t="s">
        <v>729</v>
      </c>
      <c r="J25" s="4166">
        <v>0.63260571428571433</v>
      </c>
      <c r="K25" s="4163" t="s">
        <v>727</v>
      </c>
      <c r="L25" s="458"/>
      <c r="M25" s="458"/>
    </row>
    <row r="26" spans="2:13" x14ac:dyDescent="0.25">
      <c r="B26" s="460"/>
      <c r="C26" s="515"/>
      <c r="D26" s="460"/>
      <c r="E26" s="501"/>
      <c r="F26" s="473"/>
      <c r="G26" s="473"/>
      <c r="H26" s="492"/>
      <c r="I26" s="4161" t="s">
        <v>730</v>
      </c>
      <c r="J26" s="4168">
        <v>0.79038173179412141</v>
      </c>
      <c r="K26" s="4153"/>
      <c r="L26" s="458"/>
      <c r="M26" s="458"/>
    </row>
    <row r="27" spans="2:13" x14ac:dyDescent="0.25">
      <c r="B27" s="463" t="s">
        <v>717</v>
      </c>
      <c r="C27" s="515"/>
      <c r="D27" s="460"/>
      <c r="E27" s="501"/>
      <c r="F27" s="492"/>
      <c r="G27" s="492"/>
      <c r="H27" s="492"/>
      <c r="I27" s="485"/>
      <c r="J27" s="496"/>
      <c r="K27" s="458"/>
      <c r="L27" s="458"/>
      <c r="M27" s="458"/>
    </row>
    <row r="28" spans="2:13" x14ac:dyDescent="0.25">
      <c r="B28" s="458" t="s">
        <v>731</v>
      </c>
      <c r="C28" s="515">
        <v>440</v>
      </c>
      <c r="D28" s="542">
        <v>440</v>
      </c>
      <c r="E28" s="520">
        <f>SUM(C28:D28)</f>
        <v>880</v>
      </c>
      <c r="F28" s="492"/>
      <c r="G28" s="492"/>
      <c r="H28" s="492"/>
      <c r="I28" s="476"/>
      <c r="J28" s="458"/>
      <c r="K28" s="458"/>
      <c r="L28" s="458"/>
      <c r="M28" s="458"/>
    </row>
    <row r="29" spans="2:13" x14ac:dyDescent="0.25">
      <c r="B29" s="458" t="s">
        <v>732</v>
      </c>
      <c r="C29" s="515">
        <v>20</v>
      </c>
      <c r="D29" s="542">
        <v>20</v>
      </c>
      <c r="E29" s="2745">
        <f>SUM(C29:D29)</f>
        <v>40</v>
      </c>
      <c r="F29" s="492"/>
      <c r="G29" s="492"/>
      <c r="H29" s="492"/>
      <c r="I29" s="476"/>
      <c r="J29" s="458"/>
      <c r="K29" s="458"/>
      <c r="L29" s="458"/>
      <c r="M29" s="458"/>
    </row>
    <row r="30" spans="2:13" x14ac:dyDescent="0.25">
      <c r="B30" s="460" t="s">
        <v>733</v>
      </c>
      <c r="C30" s="515">
        <v>10</v>
      </c>
      <c r="D30" s="542">
        <v>10</v>
      </c>
      <c r="E30" s="2745">
        <f>SUM(C30:D30)</f>
        <v>20</v>
      </c>
      <c r="F30" s="492"/>
      <c r="G30" s="492"/>
      <c r="H30" s="492"/>
      <c r="I30" s="476"/>
      <c r="J30" s="458"/>
      <c r="K30" s="458"/>
      <c r="L30" s="458"/>
      <c r="M30" s="458"/>
    </row>
    <row r="31" spans="2:13" x14ac:dyDescent="0.25">
      <c r="B31" s="463" t="s">
        <v>734</v>
      </c>
      <c r="C31" s="506">
        <f>SUM(C28:C30)</f>
        <v>470</v>
      </c>
      <c r="D31" s="478">
        <f>SUM(D28:D30)</f>
        <v>470</v>
      </c>
      <c r="E31" s="547">
        <f>SUM(E28:E30)</f>
        <v>940</v>
      </c>
      <c r="F31" s="492"/>
      <c r="G31" s="492"/>
      <c r="H31" s="492"/>
      <c r="I31" s="476"/>
      <c r="J31" s="458"/>
      <c r="K31" s="458"/>
      <c r="L31" s="458"/>
      <c r="M31" s="458"/>
    </row>
    <row r="32" spans="2:13" x14ac:dyDescent="0.25">
      <c r="B32" s="460"/>
      <c r="C32" s="515"/>
      <c r="D32" s="460"/>
      <c r="E32" s="501"/>
      <c r="F32" s="492"/>
      <c r="G32" s="492"/>
      <c r="H32" s="492"/>
      <c r="I32" s="476"/>
      <c r="J32" s="458"/>
      <c r="K32" s="458"/>
      <c r="L32" s="458"/>
      <c r="M32" s="458"/>
    </row>
    <row r="33" spans="2:9" x14ac:dyDescent="0.25">
      <c r="B33" s="463" t="s">
        <v>719</v>
      </c>
      <c r="C33" s="506">
        <v>10500</v>
      </c>
      <c r="D33" s="543">
        <v>10500</v>
      </c>
      <c r="E33" s="547">
        <f>SUM(C33:D33)</f>
        <v>21000</v>
      </c>
      <c r="F33" s="492"/>
      <c r="G33" s="492"/>
      <c r="H33" s="492"/>
      <c r="I33" s="476"/>
    </row>
    <row r="34" spans="2:9" x14ac:dyDescent="0.25">
      <c r="B34" s="460"/>
      <c r="C34" s="515"/>
      <c r="D34" s="460"/>
      <c r="E34" s="501"/>
      <c r="F34" s="492"/>
      <c r="G34" s="493"/>
      <c r="H34" s="492"/>
      <c r="I34" s="476"/>
    </row>
    <row r="35" spans="2:9" x14ac:dyDescent="0.25">
      <c r="B35" s="463" t="s">
        <v>11</v>
      </c>
      <c r="C35" s="3417">
        <f>ROUND(SUM(C15:C16)*0.63, -2)</f>
        <v>154000</v>
      </c>
      <c r="D35" s="3395">
        <f>ROUND(SUM(D15:D16)*0.63, -2)</f>
        <v>154000</v>
      </c>
      <c r="E35" s="547">
        <f>SUM(C35:D35)</f>
        <v>308000</v>
      </c>
      <c r="F35" s="492"/>
      <c r="G35" s="493"/>
      <c r="H35" s="492"/>
      <c r="I35" s="476"/>
    </row>
    <row r="36" spans="2:9" x14ac:dyDescent="0.25">
      <c r="B36" s="460"/>
      <c r="C36" s="515"/>
      <c r="D36" s="493"/>
      <c r="E36" s="516"/>
      <c r="F36" s="492"/>
      <c r="G36" s="459"/>
      <c r="H36" s="492"/>
      <c r="I36" s="476"/>
    </row>
    <row r="37" spans="2:9" x14ac:dyDescent="0.25">
      <c r="B37" s="461" t="s">
        <v>14</v>
      </c>
      <c r="C37" s="515"/>
      <c r="D37" s="493"/>
      <c r="E37" s="516"/>
      <c r="F37" s="492"/>
      <c r="G37" s="459"/>
      <c r="H37" s="492"/>
      <c r="I37" s="471"/>
    </row>
    <row r="38" spans="2:9" x14ac:dyDescent="0.25">
      <c r="B38" s="483"/>
      <c r="C38" s="512"/>
      <c r="D38" s="494"/>
      <c r="E38" s="513"/>
      <c r="F38" s="492"/>
      <c r="G38" s="459"/>
      <c r="H38" s="492"/>
      <c r="I38" s="471"/>
    </row>
    <row r="39" spans="2:9" x14ac:dyDescent="0.25">
      <c r="B39" s="458" t="s">
        <v>756</v>
      </c>
      <c r="C39" s="512">
        <v>14000</v>
      </c>
      <c r="D39" s="494">
        <v>14000</v>
      </c>
      <c r="E39" s="513">
        <f>SUM(C39:D39)</f>
        <v>28000</v>
      </c>
      <c r="F39" s="492"/>
      <c r="G39" s="459"/>
      <c r="H39" s="492"/>
      <c r="I39" s="471"/>
    </row>
    <row r="40" spans="2:9" x14ac:dyDescent="0.25">
      <c r="B40" s="483" t="s">
        <v>757</v>
      </c>
      <c r="C40" s="512">
        <v>8300</v>
      </c>
      <c r="D40" s="494">
        <v>8200</v>
      </c>
      <c r="E40" s="2740">
        <f t="shared" ref="E40:E45" si="1">SUM(C40:D40)</f>
        <v>16500</v>
      </c>
      <c r="F40" s="492"/>
      <c r="G40" s="459"/>
      <c r="H40" s="492"/>
      <c r="I40" s="471"/>
    </row>
    <row r="41" spans="2:9" x14ac:dyDescent="0.25">
      <c r="B41" s="483" t="s">
        <v>758</v>
      </c>
      <c r="C41" s="512">
        <v>0</v>
      </c>
      <c r="D41" s="494">
        <v>0</v>
      </c>
      <c r="E41" s="2740">
        <f t="shared" si="1"/>
        <v>0</v>
      </c>
      <c r="F41" s="492"/>
      <c r="G41" s="459"/>
      <c r="H41" s="492"/>
      <c r="I41" s="471"/>
    </row>
    <row r="42" spans="2:9" x14ac:dyDescent="0.25">
      <c r="B42" s="483" t="s">
        <v>759</v>
      </c>
      <c r="C42" s="512">
        <v>0</v>
      </c>
      <c r="D42" s="494">
        <v>0</v>
      </c>
      <c r="E42" s="2740">
        <f t="shared" si="1"/>
        <v>0</v>
      </c>
      <c r="F42" s="492"/>
      <c r="G42" s="459"/>
      <c r="H42" s="492"/>
      <c r="I42" s="471"/>
    </row>
    <row r="43" spans="2:9" x14ac:dyDescent="0.25">
      <c r="B43" s="483" t="s">
        <v>760</v>
      </c>
      <c r="C43" s="512">
        <v>28000</v>
      </c>
      <c r="D43" s="494">
        <v>28000</v>
      </c>
      <c r="E43" s="2740">
        <f t="shared" si="1"/>
        <v>56000</v>
      </c>
      <c r="F43" s="492"/>
      <c r="G43" s="459"/>
      <c r="H43" s="492"/>
      <c r="I43" s="471"/>
    </row>
    <row r="44" spans="2:9" x14ac:dyDescent="0.25">
      <c r="B44" s="550"/>
      <c r="C44" s="512">
        <v>0</v>
      </c>
      <c r="D44" s="494">
        <v>0</v>
      </c>
      <c r="E44" s="2740">
        <f t="shared" si="1"/>
        <v>0</v>
      </c>
      <c r="F44" s="492"/>
      <c r="G44" s="493"/>
      <c r="H44" s="492"/>
      <c r="I44" s="471"/>
    </row>
    <row r="45" spans="2:9" x14ac:dyDescent="0.25">
      <c r="B45" s="550"/>
      <c r="C45" s="512">
        <v>0</v>
      </c>
      <c r="D45" s="494">
        <v>0</v>
      </c>
      <c r="E45" s="2740">
        <f t="shared" si="1"/>
        <v>0</v>
      </c>
      <c r="F45" s="492"/>
      <c r="G45" s="493"/>
      <c r="H45" s="492"/>
      <c r="I45" s="471"/>
    </row>
    <row r="46" spans="2:9" x14ac:dyDescent="0.25">
      <c r="B46" s="550"/>
      <c r="C46" s="505">
        <f>SUM(C39:C45)</f>
        <v>50300</v>
      </c>
      <c r="D46" s="505">
        <f>SUM(D39:D45)</f>
        <v>50200</v>
      </c>
      <c r="E46" s="514">
        <f>SUM(E39:E45)</f>
        <v>100500</v>
      </c>
      <c r="F46" s="492"/>
      <c r="G46" s="493"/>
      <c r="H46" s="492"/>
      <c r="I46" s="471"/>
    </row>
    <row r="47" spans="2:9" ht="13.8" thickBot="1" x14ac:dyDescent="0.3">
      <c r="B47" s="551"/>
      <c r="C47" s="512"/>
      <c r="D47" s="494"/>
      <c r="E47" s="513"/>
      <c r="F47" s="492"/>
      <c r="G47" s="493"/>
      <c r="H47" s="492"/>
      <c r="I47" s="471"/>
    </row>
    <row r="48" spans="2:9" ht="13.8" thickBot="1" x14ac:dyDescent="0.3">
      <c r="B48" s="550"/>
      <c r="C48" s="507">
        <f>C12+C15+C16+C23+C25+C31+C33+C35+C46</f>
        <v>2214170</v>
      </c>
      <c r="D48" s="2735">
        <f>D12+D15+D16+D23+D25+D31+D33+D35+D46</f>
        <v>2214070</v>
      </c>
      <c r="E48" s="2735">
        <f>SUM(C48:D48)</f>
        <v>4428240</v>
      </c>
      <c r="F48" s="492"/>
      <c r="G48" s="493"/>
      <c r="H48" s="492"/>
      <c r="I48" s="471"/>
    </row>
    <row r="49" spans="2:10" x14ac:dyDescent="0.25">
      <c r="B49" s="550"/>
      <c r="C49" s="494"/>
      <c r="D49" s="494"/>
      <c r="E49" s="494"/>
      <c r="F49" s="492"/>
      <c r="G49" s="493"/>
      <c r="H49" s="492"/>
      <c r="I49" s="471"/>
      <c r="J49" s="458"/>
    </row>
    <row r="50" spans="2:10" x14ac:dyDescent="0.25">
      <c r="B50" s="460"/>
      <c r="C50" s="549">
        <v>2012</v>
      </c>
      <c r="D50" s="549">
        <v>2013</v>
      </c>
      <c r="E50" s="549" t="s">
        <v>29</v>
      </c>
      <c r="F50" s="458"/>
      <c r="G50" s="493"/>
      <c r="H50" s="494"/>
      <c r="I50" s="480"/>
      <c r="J50" s="462"/>
    </row>
    <row r="51" spans="2:10" ht="13.8" x14ac:dyDescent="0.3">
      <c r="B51" s="3904"/>
      <c r="C51" s="2865">
        <v>3500000</v>
      </c>
      <c r="D51" s="2804">
        <v>3500000</v>
      </c>
      <c r="E51" s="2804">
        <v>7000000</v>
      </c>
      <c r="F51" s="2803" t="s">
        <v>746</v>
      </c>
      <c r="G51" s="492"/>
      <c r="H51" s="481"/>
      <c r="I51" s="481"/>
      <c r="J51" s="462"/>
    </row>
    <row r="52" spans="2:10" x14ac:dyDescent="0.25">
      <c r="B52" s="458"/>
      <c r="C52" s="495"/>
      <c r="D52" s="495"/>
      <c r="E52" s="495"/>
      <c r="F52" s="479"/>
      <c r="G52" s="492"/>
      <c r="H52" s="481"/>
      <c r="I52" s="481"/>
      <c r="J52" s="462"/>
    </row>
    <row r="53" spans="2:10" x14ac:dyDescent="0.25">
      <c r="B53" s="497" t="s">
        <v>751</v>
      </c>
      <c r="C53" s="544">
        <v>0.5</v>
      </c>
      <c r="D53" s="544">
        <v>0.5</v>
      </c>
      <c r="E53" s="495"/>
      <c r="F53" s="479"/>
      <c r="G53" s="492"/>
      <c r="H53" s="481"/>
      <c r="I53" s="481"/>
      <c r="J53" s="462"/>
    </row>
    <row r="54" spans="2:10" x14ac:dyDescent="0.25">
      <c r="B54" s="458"/>
      <c r="C54" s="495"/>
      <c r="D54" s="495"/>
      <c r="E54" s="495"/>
      <c r="F54" s="479"/>
      <c r="G54" s="492"/>
      <c r="H54" s="481"/>
      <c r="I54" s="481"/>
      <c r="J54" s="462"/>
    </row>
    <row r="55" spans="2:10" x14ac:dyDescent="0.25">
      <c r="B55" s="458"/>
      <c r="C55" s="495"/>
      <c r="D55" s="495"/>
      <c r="E55" s="495"/>
      <c r="F55" s="479"/>
      <c r="G55" s="494"/>
      <c r="H55" s="481"/>
      <c r="I55" s="481"/>
      <c r="J55" s="462"/>
    </row>
    <row r="56" spans="2:10" x14ac:dyDescent="0.25">
      <c r="B56" s="461"/>
      <c r="C56" s="460"/>
      <c r="D56" s="460"/>
      <c r="E56" s="460"/>
      <c r="F56" s="458"/>
      <c r="G56" s="481"/>
      <c r="H56" s="481"/>
      <c r="I56" s="481"/>
      <c r="J56" s="462"/>
    </row>
    <row r="57" spans="2:10" ht="21" x14ac:dyDescent="0.4">
      <c r="B57" s="468"/>
      <c r="C57" s="494"/>
      <c r="D57" s="494"/>
      <c r="E57" s="494"/>
      <c r="F57" s="481"/>
      <c r="G57" s="481"/>
      <c r="H57" s="494"/>
      <c r="I57" s="481"/>
      <c r="J57" s="462"/>
    </row>
    <row r="58" spans="2:10" x14ac:dyDescent="0.25">
      <c r="B58" s="548"/>
      <c r="C58" s="481"/>
      <c r="D58" s="481"/>
      <c r="E58" s="481"/>
      <c r="F58" s="481"/>
      <c r="G58" s="481"/>
      <c r="H58" s="494"/>
      <c r="I58" s="480"/>
      <c r="J58" s="462"/>
    </row>
    <row r="59" spans="2:10" x14ac:dyDescent="0.25">
      <c r="B59" s="548"/>
      <c r="C59" s="481"/>
      <c r="D59" s="481"/>
      <c r="E59" s="481"/>
      <c r="F59" s="494"/>
      <c r="G59" s="481"/>
      <c r="H59" s="494"/>
      <c r="I59" s="480"/>
      <c r="J59" s="462"/>
    </row>
    <row r="60" spans="2:10" ht="15.6" x14ac:dyDescent="0.3">
      <c r="B60" s="548"/>
      <c r="C60" s="482"/>
      <c r="D60" s="482"/>
      <c r="E60" s="482"/>
      <c r="F60" s="494"/>
      <c r="G60" s="481"/>
      <c r="H60" s="494"/>
      <c r="I60" s="480"/>
      <c r="J60" s="462"/>
    </row>
    <row r="61" spans="2:10" x14ac:dyDescent="0.25">
      <c r="B61" s="548"/>
      <c r="C61" s="462"/>
      <c r="D61" s="462"/>
      <c r="E61" s="462"/>
      <c r="F61" s="494"/>
      <c r="G61" s="481"/>
      <c r="H61" s="494"/>
      <c r="I61" s="480"/>
      <c r="J61" s="462"/>
    </row>
    <row r="62" spans="2:10" x14ac:dyDescent="0.25">
      <c r="B62" s="548"/>
      <c r="C62" s="460"/>
      <c r="D62" s="460"/>
      <c r="E62" s="460"/>
      <c r="F62" s="494"/>
      <c r="G62" s="494"/>
      <c r="H62" s="494"/>
      <c r="I62" s="480"/>
      <c r="J62" s="462"/>
    </row>
    <row r="63" spans="2:10" x14ac:dyDescent="0.25">
      <c r="B63" s="458"/>
      <c r="C63" s="460"/>
      <c r="D63" s="460"/>
      <c r="E63" s="460"/>
      <c r="F63" s="458"/>
      <c r="G63" s="494"/>
      <c r="H63" s="494"/>
      <c r="I63" s="480"/>
      <c r="J63" s="462"/>
    </row>
    <row r="64" spans="2:10" x14ac:dyDescent="0.25">
      <c r="F64" s="458"/>
      <c r="G64" s="494"/>
      <c r="H64" s="481"/>
      <c r="I64" s="481"/>
      <c r="J64" s="462"/>
    </row>
    <row r="65" spans="6:10" x14ac:dyDescent="0.25">
      <c r="F65" s="458"/>
      <c r="G65" s="494"/>
      <c r="H65" s="481"/>
      <c r="I65" s="481"/>
      <c r="J65" s="462"/>
    </row>
    <row r="66" spans="6:10" x14ac:dyDescent="0.25">
      <c r="F66" s="458"/>
      <c r="G66" s="494"/>
      <c r="H66" s="481"/>
      <c r="I66" s="481"/>
      <c r="J66" s="462"/>
    </row>
    <row r="67" spans="6:10" x14ac:dyDescent="0.25">
      <c r="F67" s="458"/>
      <c r="G67" s="494"/>
      <c r="H67" s="481"/>
      <c r="I67" s="481"/>
      <c r="J67" s="462"/>
    </row>
    <row r="68" spans="6:10" x14ac:dyDescent="0.25">
      <c r="F68" s="458"/>
      <c r="G68" s="494"/>
      <c r="H68" s="481"/>
      <c r="I68" s="481"/>
      <c r="J68" s="462"/>
    </row>
    <row r="69" spans="6:10" x14ac:dyDescent="0.25">
      <c r="F69" s="481"/>
      <c r="G69" s="481"/>
      <c r="H69" s="481"/>
      <c r="I69" s="481"/>
      <c r="J69" s="462"/>
    </row>
    <row r="70" spans="6:10" ht="15.6" x14ac:dyDescent="0.3">
      <c r="F70" s="481"/>
      <c r="G70" s="481"/>
      <c r="H70" s="482"/>
      <c r="I70" s="482"/>
      <c r="J70" s="462"/>
    </row>
    <row r="71" spans="6:10" x14ac:dyDescent="0.25">
      <c r="F71" s="481"/>
      <c r="G71" s="481"/>
      <c r="H71" s="462"/>
      <c r="I71" s="462"/>
      <c r="J71" s="462"/>
    </row>
    <row r="72" spans="6:10" ht="15.6" x14ac:dyDescent="0.3">
      <c r="F72" s="482"/>
      <c r="G72" s="481"/>
      <c r="H72" s="458"/>
      <c r="I72" s="458"/>
      <c r="J72" s="458"/>
    </row>
    <row r="73" spans="6:10" x14ac:dyDescent="0.25">
      <c r="F73" s="462"/>
      <c r="G73" s="481"/>
      <c r="H73" s="458"/>
      <c r="I73" s="458"/>
      <c r="J73" s="458"/>
    </row>
    <row r="74" spans="6:10" x14ac:dyDescent="0.25">
      <c r="F74" s="458"/>
      <c r="G74" s="481"/>
      <c r="H74" s="458"/>
      <c r="I74" s="458"/>
      <c r="J74" s="458"/>
    </row>
    <row r="75" spans="6:10" ht="15.6" x14ac:dyDescent="0.3">
      <c r="F75" s="458"/>
      <c r="G75" s="482"/>
      <c r="H75" s="458"/>
      <c r="I75" s="458"/>
      <c r="J75" s="458"/>
    </row>
    <row r="76" spans="6:10" x14ac:dyDescent="0.25">
      <c r="F76" s="458"/>
      <c r="G76" s="462"/>
      <c r="H76" s="458"/>
      <c r="I76" s="458"/>
      <c r="J76" s="458"/>
    </row>
    <row r="77" spans="6:10" x14ac:dyDescent="0.25">
      <c r="H77" s="458"/>
      <c r="I77" s="458"/>
      <c r="J77" s="458"/>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8" right="0.7" top="0.5" bottom="0.75" header="0.3" footer="0.3"/>
  <pageSetup paperSize="17" scale="58"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9"/>
  <sheetViews>
    <sheetView workbookViewId="0">
      <pane xSplit="1" ySplit="1" topLeftCell="B26" activePane="bottomRight" state="frozen"/>
      <selection pane="topRight" activeCell="B1" sqref="B1"/>
      <selection pane="bottomLeft" activeCell="A2" sqref="A2"/>
      <selection pane="bottomRight" activeCell="D46" sqref="D46"/>
    </sheetView>
  </sheetViews>
  <sheetFormatPr defaultRowHeight="13.2" x14ac:dyDescent="0.25"/>
  <cols>
    <col min="1" max="1" width="16.109375" style="3369" customWidth="1"/>
    <col min="2" max="2" width="61.5546875" customWidth="1"/>
    <col min="3" max="3" width="18.5546875" customWidth="1"/>
    <col min="4" max="4" width="17.44140625" customWidth="1"/>
    <col min="5" max="5" width="15.44140625" customWidth="1"/>
    <col min="6" max="6" width="14.33203125" customWidth="1"/>
    <col min="7" max="7" width="23" customWidth="1"/>
    <col min="8" max="8" width="18.33203125" customWidth="1"/>
    <col min="9" max="9" width="20.6640625" customWidth="1"/>
    <col min="10" max="10" width="18.88671875" customWidth="1"/>
    <col min="11" max="11" width="21" customWidth="1"/>
    <col min="12" max="12" width="18.6640625" customWidth="1"/>
    <col min="13" max="13" width="16.6640625" customWidth="1"/>
    <col min="14" max="14" width="15.5546875" customWidth="1"/>
  </cols>
  <sheetData>
    <row r="1" spans="2:14" ht="43.5" customHeight="1" x14ac:dyDescent="0.4">
      <c r="B1" s="560" t="s">
        <v>761</v>
      </c>
      <c r="C1" s="576"/>
      <c r="D1" s="576"/>
      <c r="E1" s="576"/>
      <c r="F1" s="576"/>
      <c r="G1" s="583"/>
      <c r="H1" s="577"/>
      <c r="I1" s="577"/>
      <c r="J1" s="553"/>
      <c r="K1" s="553"/>
      <c r="L1" s="553"/>
      <c r="M1" s="553"/>
      <c r="N1" s="553"/>
    </row>
    <row r="2" spans="2:14" ht="21" x14ac:dyDescent="0.4">
      <c r="B2" s="560"/>
      <c r="C2" s="576"/>
      <c r="D2" s="576"/>
      <c r="E2" s="576"/>
      <c r="F2" s="576"/>
      <c r="G2" s="583"/>
      <c r="H2" s="577"/>
      <c r="I2" s="577"/>
      <c r="J2" s="553"/>
      <c r="K2" s="553"/>
      <c r="L2" s="553"/>
      <c r="M2" s="553"/>
      <c r="N2" s="553"/>
    </row>
    <row r="3" spans="2:14" ht="39.6" x14ac:dyDescent="0.25">
      <c r="B3" s="3883"/>
      <c r="C3" s="557" t="s">
        <v>9</v>
      </c>
      <c r="D3" s="557" t="s">
        <v>10</v>
      </c>
      <c r="E3" s="557" t="s">
        <v>701</v>
      </c>
      <c r="F3" s="558" t="s">
        <v>12</v>
      </c>
      <c r="G3" s="558" t="s">
        <v>13</v>
      </c>
      <c r="H3" s="558" t="s">
        <v>14</v>
      </c>
      <c r="I3" s="558" t="s">
        <v>15</v>
      </c>
      <c r="J3" s="558" t="s">
        <v>16</v>
      </c>
      <c r="K3" s="558" t="s">
        <v>702</v>
      </c>
      <c r="L3" s="558" t="s">
        <v>18</v>
      </c>
      <c r="M3" s="603" t="s">
        <v>136</v>
      </c>
      <c r="N3" s="559" t="s">
        <v>19</v>
      </c>
    </row>
    <row r="4" spans="2:14" ht="26.4" x14ac:dyDescent="0.25">
      <c r="B4" s="611" t="s">
        <v>703</v>
      </c>
      <c r="C4" s="609"/>
      <c r="D4" s="609"/>
      <c r="E4" s="609"/>
      <c r="F4" s="609"/>
      <c r="G4" s="609"/>
      <c r="H4" s="609"/>
      <c r="I4" s="609"/>
      <c r="J4" s="609"/>
      <c r="K4" s="610"/>
      <c r="L4" s="610">
        <v>1200000</v>
      </c>
      <c r="M4" s="610"/>
      <c r="N4" s="612" t="s">
        <v>21</v>
      </c>
    </row>
    <row r="5" spans="2:14" x14ac:dyDescent="0.25">
      <c r="B5" s="600" t="s">
        <v>704</v>
      </c>
      <c r="C5" s="599">
        <v>451071.6</v>
      </c>
      <c r="D5" s="599">
        <v>6135</v>
      </c>
      <c r="E5" s="599">
        <v>288040.15800000005</v>
      </c>
      <c r="F5" s="599">
        <v>9450</v>
      </c>
      <c r="G5" s="599">
        <v>12750</v>
      </c>
      <c r="H5" s="599">
        <v>373250</v>
      </c>
      <c r="I5" s="599">
        <v>3600</v>
      </c>
      <c r="J5" s="599">
        <v>3600</v>
      </c>
      <c r="K5" s="601">
        <v>650000</v>
      </c>
      <c r="L5" s="602">
        <v>1797896.7579999999</v>
      </c>
      <c r="M5" s="605">
        <v>32500000</v>
      </c>
      <c r="N5" s="613">
        <v>0.49824729833333326</v>
      </c>
    </row>
    <row r="6" spans="2:14" x14ac:dyDescent="0.25">
      <c r="B6" s="555">
        <v>2012</v>
      </c>
      <c r="C6" s="586">
        <f>C15</f>
        <v>385300</v>
      </c>
      <c r="D6" s="587">
        <f>C16</f>
        <v>19400</v>
      </c>
      <c r="E6" s="587">
        <f>C35</f>
        <v>255000</v>
      </c>
      <c r="F6" s="587">
        <f>C33</f>
        <v>8750</v>
      </c>
      <c r="G6" s="587">
        <f>C23</f>
        <v>15500</v>
      </c>
      <c r="H6" s="587">
        <f>C43</f>
        <v>413600</v>
      </c>
      <c r="I6" s="587">
        <f>C31</f>
        <v>19350</v>
      </c>
      <c r="J6" s="587">
        <f>C25</f>
        <v>2000</v>
      </c>
      <c r="K6" s="588">
        <f>C12</f>
        <v>875000</v>
      </c>
      <c r="L6" s="588">
        <f>SUM(C6:K6)</f>
        <v>1993900</v>
      </c>
      <c r="M6" s="604">
        <f>C48</f>
        <v>19999999.999999996</v>
      </c>
      <c r="N6" s="613">
        <v>-7.1790856413569415E-2</v>
      </c>
    </row>
    <row r="7" spans="2:14" ht="13.8" thickBot="1" x14ac:dyDescent="0.3">
      <c r="B7" s="594">
        <v>2013</v>
      </c>
      <c r="C7" s="586">
        <f>D15</f>
        <v>385300</v>
      </c>
      <c r="D7" s="587">
        <f>D16</f>
        <v>19400</v>
      </c>
      <c r="E7" s="587">
        <f>D35</f>
        <v>255000</v>
      </c>
      <c r="F7" s="587">
        <f>D33</f>
        <v>8750</v>
      </c>
      <c r="G7" s="587">
        <f>D23</f>
        <v>15500</v>
      </c>
      <c r="H7" s="593">
        <f>D43</f>
        <v>413600</v>
      </c>
      <c r="I7" s="2749">
        <f>D31</f>
        <v>19350</v>
      </c>
      <c r="J7" s="2749">
        <f>D25</f>
        <v>2000</v>
      </c>
      <c r="K7" s="597">
        <f>D12</f>
        <v>820300</v>
      </c>
      <c r="L7" s="588">
        <f>SUM(C7:K7)</f>
        <v>1939200</v>
      </c>
      <c r="M7" s="604">
        <f>D48</f>
        <v>18750000</v>
      </c>
      <c r="N7" s="613">
        <v>0</v>
      </c>
    </row>
    <row r="8" spans="2:14" ht="13.8" thickBot="1" x14ac:dyDescent="0.3">
      <c r="B8" s="574" t="s">
        <v>178</v>
      </c>
      <c r="C8" s="595">
        <f t="shared" ref="C8:M8" si="0">SUM(C6:C7)</f>
        <v>770600</v>
      </c>
      <c r="D8" s="596">
        <f t="shared" si="0"/>
        <v>38800</v>
      </c>
      <c r="E8" s="596">
        <f t="shared" si="0"/>
        <v>510000</v>
      </c>
      <c r="F8" s="596">
        <f t="shared" si="0"/>
        <v>17500</v>
      </c>
      <c r="G8" s="596">
        <f t="shared" si="0"/>
        <v>31000</v>
      </c>
      <c r="H8" s="596">
        <f t="shared" si="0"/>
        <v>827200</v>
      </c>
      <c r="I8" s="596">
        <f t="shared" si="0"/>
        <v>38700</v>
      </c>
      <c r="J8" s="596">
        <f t="shared" si="0"/>
        <v>4000</v>
      </c>
      <c r="K8" s="598">
        <f t="shared" si="0"/>
        <v>1695300</v>
      </c>
      <c r="L8" s="596">
        <f t="shared" si="0"/>
        <v>3933100</v>
      </c>
      <c r="M8" s="608">
        <f t="shared" si="0"/>
        <v>38750000</v>
      </c>
      <c r="N8" s="553"/>
    </row>
    <row r="9" spans="2:14" ht="21" x14ac:dyDescent="0.4">
      <c r="B9" s="560"/>
      <c r="C9" s="576"/>
      <c r="D9" s="576"/>
      <c r="E9" s="576"/>
      <c r="F9" s="576"/>
      <c r="G9" s="583"/>
      <c r="H9" s="577"/>
      <c r="I9" s="577"/>
      <c r="J9" s="553"/>
      <c r="K9" s="553"/>
      <c r="L9" s="553"/>
      <c r="M9" s="553"/>
      <c r="N9" s="564"/>
    </row>
    <row r="10" spans="2:14" ht="17.399999999999999" x14ac:dyDescent="0.3">
      <c r="B10" s="561" t="s">
        <v>762</v>
      </c>
      <c r="C10" s="590">
        <v>2012</v>
      </c>
      <c r="D10" s="591">
        <v>2013</v>
      </c>
      <c r="E10" s="592" t="s">
        <v>29</v>
      </c>
      <c r="F10" s="575"/>
      <c r="G10" s="575"/>
      <c r="H10" s="575"/>
      <c r="I10" s="575"/>
      <c r="J10" s="553"/>
      <c r="K10" s="553"/>
      <c r="L10" s="553"/>
      <c r="M10" s="553"/>
      <c r="N10" s="553"/>
    </row>
    <row r="11" spans="2:14" ht="17.399999999999999" x14ac:dyDescent="0.3">
      <c r="B11" s="562"/>
      <c r="C11" s="585"/>
      <c r="D11" s="567"/>
      <c r="E11" s="589"/>
      <c r="F11" s="567"/>
      <c r="G11" s="567"/>
      <c r="H11" s="567"/>
      <c r="I11" s="4182" t="s">
        <v>706</v>
      </c>
      <c r="J11" s="4173"/>
      <c r="K11" s="4173"/>
      <c r="L11" s="564"/>
      <c r="M11" s="606"/>
      <c r="N11" s="553"/>
    </row>
    <row r="12" spans="2:14" ht="13.8" x14ac:dyDescent="0.3">
      <c r="B12" s="3903"/>
      <c r="C12" s="2916">
        <v>875000</v>
      </c>
      <c r="D12" s="2913">
        <v>820300</v>
      </c>
      <c r="E12" s="2914">
        <f>SUM(C12:D12)</f>
        <v>1695300</v>
      </c>
      <c r="F12" s="2878"/>
      <c r="G12" s="567"/>
      <c r="H12" s="567"/>
      <c r="I12" s="4174" t="s">
        <v>755</v>
      </c>
      <c r="J12" s="4175">
        <v>1695300</v>
      </c>
      <c r="K12" s="4173"/>
      <c r="L12" s="553"/>
      <c r="M12" s="553"/>
      <c r="N12" s="553"/>
    </row>
    <row r="13" spans="2:14" ht="17.399999999999999" x14ac:dyDescent="0.3">
      <c r="B13" s="2873"/>
      <c r="C13" s="2891"/>
      <c r="D13" s="2868"/>
      <c r="E13" s="2892"/>
      <c r="F13" s="2878"/>
      <c r="G13" s="567"/>
      <c r="H13" s="567"/>
      <c r="I13" s="4174" t="s">
        <v>709</v>
      </c>
      <c r="J13" s="4176">
        <v>770600</v>
      </c>
      <c r="K13" s="4173"/>
      <c r="L13" s="553"/>
      <c r="M13" s="553"/>
      <c r="N13" s="553"/>
    </row>
    <row r="14" spans="2:14" x14ac:dyDescent="0.25">
      <c r="B14" s="2872" t="s">
        <v>713</v>
      </c>
      <c r="C14" s="2893"/>
      <c r="D14" s="2868"/>
      <c r="E14" s="2892"/>
      <c r="F14" s="2875"/>
      <c r="G14" s="565"/>
      <c r="H14" s="565"/>
      <c r="I14" s="4174" t="s">
        <v>712</v>
      </c>
      <c r="J14" s="4176">
        <v>38800</v>
      </c>
      <c r="K14" s="4170"/>
      <c r="L14" s="553"/>
      <c r="M14" s="553"/>
      <c r="N14" s="553"/>
    </row>
    <row r="15" spans="2:14" x14ac:dyDescent="0.25">
      <c r="B15" s="2877" t="s">
        <v>715</v>
      </c>
      <c r="C15" s="2918">
        <v>385300</v>
      </c>
      <c r="D15" s="2910">
        <v>385300</v>
      </c>
      <c r="E15" s="2908">
        <f>SUM(C15:D15)</f>
        <v>770600</v>
      </c>
      <c r="F15" s="2883">
        <v>4.25</v>
      </c>
      <c r="G15" s="568" t="s">
        <v>716</v>
      </c>
      <c r="H15" s="566"/>
      <c r="I15" s="4174" t="s">
        <v>526</v>
      </c>
      <c r="J15" s="4172">
        <v>31000</v>
      </c>
      <c r="K15" s="4170"/>
      <c r="L15" s="553"/>
      <c r="M15" s="553"/>
      <c r="N15" s="553"/>
    </row>
    <row r="16" spans="2:14" x14ac:dyDescent="0.25">
      <c r="B16" s="2877" t="s">
        <v>720</v>
      </c>
      <c r="C16" s="2919">
        <v>19400</v>
      </c>
      <c r="D16" s="2910">
        <v>19400</v>
      </c>
      <c r="E16" s="2908">
        <f>SUM(C16:D16)</f>
        <v>38800</v>
      </c>
      <c r="F16" s="2883">
        <v>0.16</v>
      </c>
      <c r="G16" s="568" t="s">
        <v>716</v>
      </c>
      <c r="H16" s="566"/>
      <c r="I16" s="4174" t="s">
        <v>714</v>
      </c>
      <c r="J16" s="4172">
        <v>4000</v>
      </c>
      <c r="K16" s="4170"/>
      <c r="L16" s="553"/>
      <c r="M16" s="553"/>
      <c r="N16" s="553"/>
    </row>
    <row r="17" spans="2:13" x14ac:dyDescent="0.25">
      <c r="B17" s="2877"/>
      <c r="C17" s="2894"/>
      <c r="D17" s="2868"/>
      <c r="E17" s="2892"/>
      <c r="F17" s="2876"/>
      <c r="G17" s="566"/>
      <c r="H17" s="566"/>
      <c r="I17" s="4174" t="s">
        <v>717</v>
      </c>
      <c r="J17" s="4172">
        <v>38700</v>
      </c>
      <c r="K17" s="4170"/>
      <c r="L17" s="553"/>
      <c r="M17" s="607"/>
    </row>
    <row r="18" spans="2:13" x14ac:dyDescent="0.25">
      <c r="B18" s="2872" t="s">
        <v>526</v>
      </c>
      <c r="C18" s="2893"/>
      <c r="D18" s="2868"/>
      <c r="E18" s="2892"/>
      <c r="F18" s="2875"/>
      <c r="G18" s="565"/>
      <c r="H18" s="566"/>
      <c r="I18" s="4174" t="s">
        <v>719</v>
      </c>
      <c r="J18" s="4172">
        <v>17500</v>
      </c>
      <c r="K18" s="4170"/>
      <c r="L18" s="553"/>
      <c r="M18" s="553"/>
    </row>
    <row r="19" spans="2:13" x14ac:dyDescent="0.25">
      <c r="B19" s="2867" t="s">
        <v>721</v>
      </c>
      <c r="C19" s="2899">
        <v>3400</v>
      </c>
      <c r="D19" s="2910">
        <v>3400</v>
      </c>
      <c r="E19" s="2908">
        <v>6800</v>
      </c>
      <c r="F19" s="2884"/>
      <c r="G19" s="578"/>
      <c r="H19" s="565"/>
      <c r="I19" s="4174" t="s">
        <v>11</v>
      </c>
      <c r="J19" s="4172">
        <v>510000</v>
      </c>
      <c r="K19" s="4170"/>
      <c r="L19" s="553"/>
      <c r="M19" s="553"/>
    </row>
    <row r="20" spans="2:13" x14ac:dyDescent="0.25">
      <c r="B20" s="2877" t="s">
        <v>722</v>
      </c>
      <c r="C20" s="2895">
        <v>7100</v>
      </c>
      <c r="D20" s="2910">
        <v>7100</v>
      </c>
      <c r="E20" s="2908">
        <v>14200</v>
      </c>
      <c r="F20" s="2867"/>
      <c r="G20" s="565"/>
      <c r="H20" s="578"/>
      <c r="I20" s="4174" t="s">
        <v>14</v>
      </c>
      <c r="J20" s="4181">
        <v>827200</v>
      </c>
      <c r="K20" s="4170"/>
      <c r="L20" s="553"/>
      <c r="M20" s="553"/>
    </row>
    <row r="21" spans="2:13" x14ac:dyDescent="0.25">
      <c r="B21" s="2877" t="s">
        <v>725</v>
      </c>
      <c r="C21" s="2899">
        <v>3500</v>
      </c>
      <c r="D21" s="2910">
        <v>3500</v>
      </c>
      <c r="E21" s="2908">
        <v>7000</v>
      </c>
      <c r="F21" s="2875"/>
      <c r="G21" s="565"/>
      <c r="H21" s="565"/>
      <c r="I21" s="4170"/>
      <c r="J21" s="4171">
        <v>3933100</v>
      </c>
      <c r="K21" s="4170"/>
      <c r="L21" s="553"/>
      <c r="M21" s="553"/>
    </row>
    <row r="22" spans="2:13" x14ac:dyDescent="0.25">
      <c r="B22" s="2877" t="s">
        <v>728</v>
      </c>
      <c r="C22" s="2899">
        <v>1500</v>
      </c>
      <c r="D22" s="2910">
        <v>1500</v>
      </c>
      <c r="E22" s="2908">
        <v>3000</v>
      </c>
      <c r="F22" s="2875"/>
      <c r="G22" s="565"/>
      <c r="H22" s="579"/>
      <c r="I22" s="4174"/>
      <c r="J22" s="4186"/>
      <c r="K22" s="4170"/>
      <c r="L22" s="553"/>
      <c r="M22" s="553"/>
    </row>
    <row r="23" spans="2:13" x14ac:dyDescent="0.25">
      <c r="B23" s="2867"/>
      <c r="C23" s="3331">
        <f>SUM(C19:C22)</f>
        <v>15500</v>
      </c>
      <c r="D23" s="3316">
        <f>SUM(D19:D22)</f>
        <v>15500</v>
      </c>
      <c r="E23" s="2915">
        <f>SUM(C23:D23)</f>
        <v>31000</v>
      </c>
      <c r="F23" s="2875"/>
      <c r="G23" s="565"/>
      <c r="H23" s="579"/>
      <c r="I23" s="4179" t="s">
        <v>723</v>
      </c>
      <c r="J23" s="4184">
        <v>38750000</v>
      </c>
      <c r="K23" s="4177" t="s">
        <v>724</v>
      </c>
      <c r="L23" s="553"/>
      <c r="M23" s="553"/>
    </row>
    <row r="24" spans="2:13" x14ac:dyDescent="0.25">
      <c r="B24" s="2868"/>
      <c r="C24" s="2901"/>
      <c r="D24" s="2868"/>
      <c r="E24" s="2892"/>
      <c r="F24" s="2875"/>
      <c r="G24" s="565"/>
      <c r="H24" s="579"/>
      <c r="I24" s="4179" t="s">
        <v>726</v>
      </c>
      <c r="J24" s="4183">
        <v>4.3749677419354836E-2</v>
      </c>
      <c r="K24" s="4180" t="s">
        <v>727</v>
      </c>
      <c r="L24" s="553"/>
      <c r="M24" s="553"/>
    </row>
    <row r="25" spans="2:13" x14ac:dyDescent="0.25">
      <c r="B25" s="2872" t="s">
        <v>714</v>
      </c>
      <c r="C25" s="2896">
        <v>2000</v>
      </c>
      <c r="D25" s="2890">
        <v>2000</v>
      </c>
      <c r="E25" s="2915">
        <f>SUM(C25:D25)</f>
        <v>4000</v>
      </c>
      <c r="F25" s="2875"/>
      <c r="G25" s="565"/>
      <c r="H25" s="579"/>
      <c r="I25" s="4179" t="s">
        <v>729</v>
      </c>
      <c r="J25" s="4183">
        <v>0.10149935483870967</v>
      </c>
      <c r="K25" s="4180" t="s">
        <v>727</v>
      </c>
      <c r="L25" s="553"/>
      <c r="M25" s="553"/>
    </row>
    <row r="26" spans="2:13" x14ac:dyDescent="0.25">
      <c r="B26" s="2868"/>
      <c r="C26" s="2901"/>
      <c r="D26" s="2868"/>
      <c r="E26" s="2892"/>
      <c r="F26" s="2875"/>
      <c r="G26" s="565"/>
      <c r="H26" s="579"/>
      <c r="I26" s="4178" t="s">
        <v>730</v>
      </c>
      <c r="J26" s="4185">
        <v>0.43103404439246396</v>
      </c>
      <c r="K26" s="4170"/>
      <c r="L26" s="553"/>
      <c r="M26" s="553"/>
    </row>
    <row r="27" spans="2:13" x14ac:dyDescent="0.25">
      <c r="B27" s="2871" t="s">
        <v>717</v>
      </c>
      <c r="C27" s="2901"/>
      <c r="D27" s="2868"/>
      <c r="E27" s="2892"/>
      <c r="F27" s="2885"/>
      <c r="H27" s="579"/>
      <c r="I27" s="2920"/>
      <c r="J27" s="2921"/>
      <c r="K27" s="553"/>
      <c r="L27" s="553"/>
      <c r="M27" s="553"/>
    </row>
    <row r="28" spans="2:13" x14ac:dyDescent="0.25">
      <c r="B28" s="2867" t="s">
        <v>731</v>
      </c>
      <c r="C28" s="2901">
        <v>17420</v>
      </c>
      <c r="D28" s="2910">
        <v>17420</v>
      </c>
      <c r="E28" s="2908">
        <v>34840</v>
      </c>
      <c r="F28" s="2885"/>
      <c r="H28" s="579"/>
      <c r="I28" s="567"/>
      <c r="J28" s="553"/>
      <c r="K28" s="553"/>
      <c r="L28" s="553"/>
      <c r="M28" s="553"/>
    </row>
    <row r="29" spans="2:13" x14ac:dyDescent="0.25">
      <c r="B29" s="2867" t="s">
        <v>732</v>
      </c>
      <c r="C29" s="2901">
        <v>970</v>
      </c>
      <c r="D29" s="2910">
        <v>970</v>
      </c>
      <c r="E29" s="2908">
        <v>1940</v>
      </c>
      <c r="F29" s="2885"/>
      <c r="G29" s="584" t="s">
        <v>763</v>
      </c>
      <c r="H29" s="579"/>
      <c r="I29" s="567"/>
      <c r="J29" s="553"/>
      <c r="K29" s="553"/>
      <c r="L29" s="553"/>
      <c r="M29" s="553"/>
    </row>
    <row r="30" spans="2:13" x14ac:dyDescent="0.25">
      <c r="B30" s="2868" t="s">
        <v>733</v>
      </c>
      <c r="C30" s="2901">
        <v>960</v>
      </c>
      <c r="D30" s="2910">
        <v>960</v>
      </c>
      <c r="E30" s="2908">
        <v>1920</v>
      </c>
      <c r="F30" s="2885"/>
      <c r="G30" s="584" t="s">
        <v>764</v>
      </c>
      <c r="H30" s="579"/>
      <c r="I30" s="567"/>
      <c r="J30" s="553"/>
      <c r="K30" s="553"/>
      <c r="L30" s="553"/>
      <c r="M30" s="553"/>
    </row>
    <row r="31" spans="2:13" x14ac:dyDescent="0.25">
      <c r="B31" s="2871" t="s">
        <v>734</v>
      </c>
      <c r="C31" s="2897">
        <f>SUM(C28:C30)</f>
        <v>19350</v>
      </c>
      <c r="D31" s="2879">
        <f>SUM(D28:D30)</f>
        <v>19350</v>
      </c>
      <c r="E31" s="2915">
        <f>SUM(C31:D31)</f>
        <v>38700</v>
      </c>
      <c r="F31" s="2885"/>
      <c r="G31" s="579"/>
      <c r="H31" s="579"/>
      <c r="I31" s="567"/>
      <c r="J31" s="553"/>
      <c r="K31" s="553"/>
      <c r="L31" s="553"/>
      <c r="M31" s="553"/>
    </row>
    <row r="32" spans="2:13" x14ac:dyDescent="0.25">
      <c r="B32" s="2868"/>
      <c r="C32" s="2901"/>
      <c r="D32" s="2868"/>
      <c r="E32" s="2892"/>
      <c r="F32" s="2885"/>
      <c r="G32" s="579"/>
      <c r="H32" s="579"/>
      <c r="I32" s="567"/>
      <c r="J32" s="553"/>
      <c r="K32" s="553"/>
      <c r="L32" s="553"/>
      <c r="M32" s="553"/>
    </row>
    <row r="33" spans="2:9" x14ac:dyDescent="0.25">
      <c r="B33" s="2871" t="s">
        <v>719</v>
      </c>
      <c r="C33" s="2897">
        <v>8750</v>
      </c>
      <c r="D33" s="2911">
        <v>8750</v>
      </c>
      <c r="E33" s="2915">
        <f>SUM(C33:D33)</f>
        <v>17500</v>
      </c>
      <c r="F33" s="2885"/>
      <c r="G33" s="579"/>
      <c r="H33" s="579"/>
      <c r="I33" s="567"/>
    </row>
    <row r="34" spans="2:9" x14ac:dyDescent="0.25">
      <c r="B34" s="2868"/>
      <c r="C34" s="2901"/>
      <c r="D34" s="2868"/>
      <c r="E34" s="2892"/>
      <c r="F34" s="2885"/>
      <c r="G34" s="580"/>
      <c r="H34" s="579"/>
      <c r="I34" s="567"/>
    </row>
    <row r="35" spans="2:9" x14ac:dyDescent="0.25">
      <c r="B35" s="2871" t="s">
        <v>11</v>
      </c>
      <c r="C35" s="3417">
        <f>ROUND(SUM(C15:C16)*0.63, -2)</f>
        <v>255000</v>
      </c>
      <c r="D35" s="3395">
        <f>ROUND(SUM(D15:D16)*0.63, -2)</f>
        <v>255000</v>
      </c>
      <c r="E35" s="2915">
        <f>SUM(C35:D35)</f>
        <v>510000</v>
      </c>
      <c r="F35" s="2885"/>
      <c r="G35" s="580"/>
      <c r="H35" s="579"/>
      <c r="I35" s="567"/>
    </row>
    <row r="36" spans="2:9" x14ac:dyDescent="0.25">
      <c r="B36" s="2868"/>
      <c r="C36" s="2901"/>
      <c r="D36" s="2886"/>
      <c r="E36" s="2902"/>
      <c r="F36" s="2885"/>
      <c r="G36" s="554"/>
      <c r="H36" s="579"/>
      <c r="I36" s="567"/>
    </row>
    <row r="37" spans="2:9" x14ac:dyDescent="0.25">
      <c r="B37" s="2869" t="s">
        <v>14</v>
      </c>
      <c r="C37" s="2901"/>
      <c r="D37" s="2886"/>
      <c r="E37" s="2902"/>
      <c r="F37" s="2885"/>
      <c r="G37" s="554"/>
      <c r="H37" s="579"/>
      <c r="I37" s="563"/>
    </row>
    <row r="38" spans="2:9" x14ac:dyDescent="0.25">
      <c r="B38" s="2882" t="s">
        <v>757</v>
      </c>
      <c r="C38" s="3468">
        <v>8250</v>
      </c>
      <c r="D38" s="3466">
        <v>8250</v>
      </c>
      <c r="E38" s="2900">
        <v>16500</v>
      </c>
      <c r="F38" s="2885"/>
      <c r="G38" s="554"/>
      <c r="H38" s="579"/>
      <c r="I38" s="563"/>
    </row>
    <row r="39" spans="2:9" x14ac:dyDescent="0.25">
      <c r="B39" s="2867" t="s">
        <v>765</v>
      </c>
      <c r="C39" s="3468">
        <v>70000</v>
      </c>
      <c r="D39" s="3466">
        <v>70000</v>
      </c>
      <c r="E39" s="2900">
        <v>140000</v>
      </c>
      <c r="F39" s="2885"/>
      <c r="G39" s="554"/>
      <c r="H39" s="579"/>
      <c r="I39" s="563"/>
    </row>
    <row r="40" spans="2:9" x14ac:dyDescent="0.25">
      <c r="B40" s="2882" t="s">
        <v>758</v>
      </c>
      <c r="C40" s="3468">
        <v>64500</v>
      </c>
      <c r="D40" s="3466">
        <v>64500</v>
      </c>
      <c r="E40" s="2900">
        <v>216000</v>
      </c>
      <c r="F40" s="2885"/>
      <c r="G40" s="554"/>
      <c r="H40" s="579"/>
      <c r="I40" s="563"/>
    </row>
    <row r="41" spans="2:9" x14ac:dyDescent="0.25">
      <c r="B41" s="2882" t="s">
        <v>759</v>
      </c>
      <c r="C41" s="3468">
        <v>226850</v>
      </c>
      <c r="D41" s="3466">
        <v>226850</v>
      </c>
      <c r="E41" s="2900">
        <v>144000</v>
      </c>
      <c r="F41" s="2885"/>
      <c r="G41" s="554"/>
      <c r="H41" s="579"/>
      <c r="I41" s="563"/>
    </row>
    <row r="42" spans="2:9" x14ac:dyDescent="0.25">
      <c r="B42" s="2882" t="s">
        <v>766</v>
      </c>
      <c r="C42" s="3468">
        <v>44000</v>
      </c>
      <c r="D42" s="3466">
        <v>44000</v>
      </c>
      <c r="E42" s="2900">
        <v>88000</v>
      </c>
      <c r="F42" s="2885"/>
      <c r="G42" s="554"/>
      <c r="H42" s="579"/>
      <c r="I42" s="563"/>
    </row>
    <row r="43" spans="2:9" x14ac:dyDescent="0.25">
      <c r="B43" s="2881" t="s">
        <v>743</v>
      </c>
      <c r="C43" s="3331">
        <f>SUM(C38:C42)</f>
        <v>413600</v>
      </c>
      <c r="D43" s="3316">
        <f>SUM(D38:D42)</f>
        <v>413600</v>
      </c>
      <c r="E43" s="2903">
        <f>SUM(C43:D43)</f>
        <v>827200</v>
      </c>
      <c r="F43" s="2885"/>
      <c r="G43" s="554"/>
      <c r="H43" s="579"/>
      <c r="I43" s="563"/>
    </row>
    <row r="44" spans="2:9" ht="13.8" thickBot="1" x14ac:dyDescent="0.3">
      <c r="B44" s="2874"/>
      <c r="C44" s="2899"/>
      <c r="D44" s="2887"/>
      <c r="E44" s="2900"/>
      <c r="F44" s="2885"/>
      <c r="G44" s="580"/>
      <c r="H44" s="579"/>
      <c r="I44" s="563"/>
    </row>
    <row r="45" spans="2:9" ht="13.8" thickBot="1" x14ac:dyDescent="0.3">
      <c r="B45" s="2881" t="s">
        <v>744</v>
      </c>
      <c r="C45" s="2898">
        <f>C12+C15+C16+C23+C25+C31+C33+C35+C43</f>
        <v>1993900</v>
      </c>
      <c r="D45" s="2904">
        <f>D12+D15+D16+D23+D25+D31+D33+D35+D43</f>
        <v>1939200</v>
      </c>
      <c r="E45" s="2905">
        <f>SUM(C45:D45)</f>
        <v>3933100</v>
      </c>
      <c r="F45" s="2885"/>
      <c r="G45" s="580"/>
      <c r="H45" s="579"/>
      <c r="I45" s="563"/>
    </row>
    <row r="46" spans="2:9" x14ac:dyDescent="0.25">
      <c r="B46" s="2870"/>
      <c r="C46" s="2887"/>
      <c r="D46" s="2887"/>
      <c r="E46" s="2887"/>
      <c r="F46" s="2885"/>
      <c r="G46" s="580"/>
      <c r="H46" s="579"/>
      <c r="I46" s="563"/>
    </row>
    <row r="47" spans="2:9" x14ac:dyDescent="0.25">
      <c r="B47" s="2867"/>
      <c r="C47" s="2909">
        <v>2012</v>
      </c>
      <c r="D47" s="2909">
        <v>2013</v>
      </c>
      <c r="E47" s="2909" t="s">
        <v>29</v>
      </c>
      <c r="F47" s="2867"/>
      <c r="G47" s="580"/>
      <c r="H47" s="579"/>
      <c r="I47" s="563"/>
    </row>
    <row r="48" spans="2:9" ht="13.8" x14ac:dyDescent="0.3">
      <c r="B48" s="3904"/>
      <c r="C48" s="2906">
        <v>19999999.999999996</v>
      </c>
      <c r="D48" s="2907">
        <v>18750000</v>
      </c>
      <c r="E48" s="2907">
        <f>SUM(C48:D48)</f>
        <v>38750000</v>
      </c>
      <c r="F48" s="2917" t="s">
        <v>746</v>
      </c>
      <c r="G48" s="580"/>
      <c r="H48" s="579"/>
      <c r="I48" s="563"/>
    </row>
    <row r="49" spans="2:10" x14ac:dyDescent="0.25">
      <c r="B49" s="2867"/>
      <c r="C49" s="2888"/>
      <c r="D49" s="2888"/>
      <c r="E49" s="2888"/>
      <c r="F49" s="2880"/>
      <c r="G49" s="580"/>
      <c r="H49" s="579"/>
      <c r="I49" s="563"/>
      <c r="J49" s="553"/>
    </row>
    <row r="50" spans="2:10" x14ac:dyDescent="0.25">
      <c r="B50" s="2889" t="s">
        <v>751</v>
      </c>
      <c r="C50" s="2912">
        <v>0.51948051948051943</v>
      </c>
      <c r="D50" s="2912">
        <v>0.48051948051948062</v>
      </c>
      <c r="E50" s="2888"/>
      <c r="F50" s="2880"/>
      <c r="G50" s="580"/>
      <c r="H50" s="581"/>
      <c r="I50" s="570"/>
      <c r="J50" s="556"/>
    </row>
    <row r="51" spans="2:10" x14ac:dyDescent="0.25">
      <c r="B51" s="553"/>
      <c r="C51" s="582"/>
      <c r="D51" s="582"/>
      <c r="E51" s="582"/>
      <c r="F51" s="569"/>
      <c r="G51" s="579"/>
      <c r="H51" s="571"/>
      <c r="I51" s="571"/>
      <c r="J51" s="556"/>
    </row>
    <row r="52" spans="2:10" x14ac:dyDescent="0.25">
      <c r="B52" s="553"/>
      <c r="C52" s="582"/>
      <c r="D52" s="582"/>
      <c r="E52" s="582"/>
      <c r="F52" s="569"/>
      <c r="G52" s="579"/>
      <c r="H52" s="571"/>
      <c r="I52" s="571"/>
      <c r="J52" s="556"/>
    </row>
    <row r="53" spans="2:10" x14ac:dyDescent="0.25">
      <c r="B53" s="555"/>
      <c r="C53" s="553"/>
      <c r="D53" s="553"/>
      <c r="E53" s="553"/>
      <c r="F53" s="553"/>
      <c r="G53" s="579"/>
      <c r="H53" s="571"/>
      <c r="I53" s="571"/>
      <c r="J53" s="556"/>
    </row>
    <row r="54" spans="2:10" ht="21" x14ac:dyDescent="0.4">
      <c r="B54" s="560"/>
      <c r="C54" s="581"/>
      <c r="D54" s="581"/>
      <c r="E54" s="581"/>
      <c r="F54" s="571"/>
      <c r="G54" s="579"/>
      <c r="H54" s="571"/>
      <c r="I54" s="571"/>
      <c r="J54" s="556"/>
    </row>
    <row r="55" spans="2:10" x14ac:dyDescent="0.25">
      <c r="B55" s="553"/>
      <c r="C55" s="571"/>
      <c r="D55" s="571"/>
      <c r="E55" s="571"/>
      <c r="F55" s="571"/>
      <c r="G55" s="581"/>
      <c r="H55" s="571"/>
      <c r="I55" s="571"/>
      <c r="J55" s="556"/>
    </row>
    <row r="56" spans="2:10" x14ac:dyDescent="0.25">
      <c r="B56" s="553"/>
      <c r="C56" s="571"/>
      <c r="D56" s="571"/>
      <c r="E56" s="571"/>
      <c r="F56" s="581"/>
      <c r="G56" s="571"/>
      <c r="H56" s="571"/>
      <c r="I56" s="571"/>
      <c r="J56" s="556"/>
    </row>
    <row r="57" spans="2:10" ht="15.6" x14ac:dyDescent="0.3">
      <c r="B57" s="572"/>
      <c r="C57" s="573"/>
      <c r="D57" s="573"/>
      <c r="E57" s="573"/>
      <c r="F57" s="581"/>
      <c r="G57" s="571"/>
      <c r="H57" s="581"/>
      <c r="I57" s="571"/>
      <c r="J57" s="556"/>
    </row>
    <row r="58" spans="2:10" x14ac:dyDescent="0.25">
      <c r="B58" s="556"/>
      <c r="C58" s="556"/>
      <c r="D58" s="556"/>
      <c r="E58" s="556"/>
      <c r="F58" s="581"/>
      <c r="G58" s="571"/>
      <c r="H58" s="581"/>
      <c r="I58" s="570"/>
      <c r="J58" s="556"/>
    </row>
    <row r="59" spans="2:10" x14ac:dyDescent="0.25">
      <c r="B59" s="553"/>
      <c r="C59" s="553"/>
      <c r="D59" s="553"/>
      <c r="E59" s="553"/>
      <c r="F59" s="581"/>
      <c r="G59" s="571"/>
      <c r="H59" s="581"/>
      <c r="I59" s="570"/>
      <c r="J59" s="556"/>
    </row>
    <row r="60" spans="2:10" x14ac:dyDescent="0.25">
      <c r="B60" s="553"/>
      <c r="C60" s="553"/>
      <c r="D60" s="553"/>
      <c r="E60" s="553"/>
      <c r="F60" s="581"/>
      <c r="G60" s="571"/>
      <c r="H60" s="581"/>
      <c r="I60" s="570"/>
      <c r="J60" s="556"/>
    </row>
    <row r="61" spans="2:10" x14ac:dyDescent="0.25">
      <c r="F61" s="581"/>
      <c r="G61" s="571"/>
      <c r="H61" s="581"/>
      <c r="I61" s="570"/>
      <c r="J61" s="556"/>
    </row>
    <row r="62" spans="2:10" x14ac:dyDescent="0.25">
      <c r="F62" s="553"/>
      <c r="G62" s="581"/>
      <c r="H62" s="581"/>
      <c r="I62" s="570"/>
      <c r="J62" s="556"/>
    </row>
    <row r="63" spans="2:10" x14ac:dyDescent="0.25">
      <c r="F63" s="553"/>
      <c r="G63" s="581"/>
      <c r="H63" s="581"/>
      <c r="I63" s="570"/>
      <c r="J63" s="556"/>
    </row>
    <row r="64" spans="2:10" x14ac:dyDescent="0.25">
      <c r="F64" s="553"/>
      <c r="G64" s="581"/>
      <c r="H64" s="581"/>
      <c r="I64" s="570"/>
      <c r="J64" s="556"/>
    </row>
    <row r="65" spans="6:10" x14ac:dyDescent="0.25">
      <c r="F65" s="553"/>
      <c r="G65" s="581"/>
      <c r="H65" s="581"/>
      <c r="I65" s="570"/>
      <c r="J65" s="556"/>
    </row>
    <row r="66" spans="6:10" x14ac:dyDescent="0.25">
      <c r="F66" s="553"/>
      <c r="G66" s="581"/>
      <c r="H66" s="571"/>
      <c r="I66" s="571"/>
      <c r="J66" s="556"/>
    </row>
    <row r="67" spans="6:10" x14ac:dyDescent="0.25">
      <c r="F67" s="553"/>
      <c r="G67" s="581"/>
      <c r="H67" s="571"/>
      <c r="I67" s="571"/>
      <c r="J67" s="556"/>
    </row>
    <row r="68" spans="6:10" x14ac:dyDescent="0.25">
      <c r="F68" s="571"/>
      <c r="G68" s="581"/>
      <c r="H68" s="571"/>
      <c r="I68" s="571"/>
      <c r="J68" s="556"/>
    </row>
    <row r="69" spans="6:10" x14ac:dyDescent="0.25">
      <c r="F69" s="571"/>
      <c r="G69" s="581"/>
      <c r="H69" s="571"/>
      <c r="I69" s="571"/>
      <c r="J69" s="556"/>
    </row>
    <row r="70" spans="6:10" x14ac:dyDescent="0.25">
      <c r="F70" s="571"/>
      <c r="G70" s="581"/>
      <c r="H70" s="571"/>
      <c r="I70" s="571"/>
      <c r="J70" s="556"/>
    </row>
    <row r="71" spans="6:10" ht="15.6" x14ac:dyDescent="0.3">
      <c r="F71" s="573"/>
      <c r="G71" s="571"/>
      <c r="H71" s="571"/>
      <c r="I71" s="571"/>
      <c r="J71" s="556"/>
    </row>
    <row r="72" spans="6:10" ht="15.6" x14ac:dyDescent="0.3">
      <c r="F72" s="556"/>
      <c r="G72" s="571"/>
      <c r="H72" s="573"/>
      <c r="I72" s="573"/>
      <c r="J72" s="556"/>
    </row>
    <row r="73" spans="6:10" x14ac:dyDescent="0.25">
      <c r="F73" s="553"/>
      <c r="G73" s="571"/>
      <c r="H73" s="556"/>
      <c r="I73" s="556"/>
      <c r="J73" s="556"/>
    </row>
    <row r="74" spans="6:10" x14ac:dyDescent="0.25">
      <c r="F74" s="553"/>
      <c r="G74" s="571"/>
      <c r="H74" s="553"/>
      <c r="I74" s="553"/>
      <c r="J74" s="553"/>
    </row>
    <row r="75" spans="6:10" x14ac:dyDescent="0.25">
      <c r="F75" s="553"/>
      <c r="G75" s="571"/>
      <c r="H75" s="553"/>
      <c r="I75" s="553"/>
      <c r="J75" s="553"/>
    </row>
    <row r="76" spans="6:10" x14ac:dyDescent="0.25">
      <c r="G76" s="571"/>
      <c r="H76" s="553"/>
      <c r="I76" s="553"/>
      <c r="J76" s="553"/>
    </row>
    <row r="77" spans="6:10" ht="15.6" x14ac:dyDescent="0.3">
      <c r="G77" s="573"/>
      <c r="H77" s="553"/>
      <c r="I77" s="553"/>
      <c r="J77" s="553"/>
    </row>
    <row r="78" spans="6:10" x14ac:dyDescent="0.25">
      <c r="G78" s="556"/>
      <c r="H78" s="553"/>
      <c r="I78" s="553"/>
      <c r="J78" s="553"/>
    </row>
    <row r="79" spans="6:10" x14ac:dyDescent="0.25">
      <c r="H79" s="553"/>
      <c r="I79" s="553"/>
      <c r="J79" s="553"/>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34" top="0.4" bottom="0.75" header="0.3" footer="0.3"/>
  <pageSetup paperSize="17" scale="71"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75"/>
  <sheetViews>
    <sheetView zoomScaleNormal="100" workbookViewId="0">
      <pane xSplit="5" ySplit="5" topLeftCell="M14" activePane="bottomRight" state="frozen"/>
      <selection pane="topRight" activeCell="F1" sqref="F1"/>
      <selection pane="bottomLeft" activeCell="A6" sqref="A6"/>
      <selection pane="bottomRight"/>
    </sheetView>
  </sheetViews>
  <sheetFormatPr defaultColWidth="10.6640625" defaultRowHeight="13.2" x14ac:dyDescent="0.25"/>
  <cols>
    <col min="1" max="1" width="1.33203125" customWidth="1"/>
    <col min="2" max="2" width="10.6640625" style="19"/>
    <col min="3" max="3" width="9.6640625" customWidth="1"/>
    <col min="4" max="4" width="42.5546875" customWidth="1"/>
    <col min="5" max="5" width="21.5546875" customWidth="1"/>
    <col min="6" max="16" width="15.88671875" style="79" customWidth="1"/>
    <col min="17" max="17" width="15.6640625" style="2285" customWidth="1"/>
    <col min="18" max="18" width="2" customWidth="1"/>
    <col min="19" max="19" width="50.88671875" customWidth="1"/>
  </cols>
  <sheetData>
    <row r="2" spans="2:19" ht="17.399999999999999" x14ac:dyDescent="0.3">
      <c r="C2" s="1565" t="s">
        <v>904</v>
      </c>
    </row>
    <row r="3" spans="2:19" ht="15" x14ac:dyDescent="0.25">
      <c r="C3" s="1566" t="s">
        <v>905</v>
      </c>
      <c r="E3" s="4509"/>
      <c r="F3" s="4755"/>
      <c r="G3" s="4755"/>
    </row>
    <row r="4" spans="2:19" ht="36.75" customHeight="1" thickBot="1" x14ac:dyDescent="0.35">
      <c r="E4" s="371"/>
    </row>
    <row r="5" spans="2:19" ht="35.4" thickBot="1" x14ac:dyDescent="0.35">
      <c r="B5" s="153" t="s">
        <v>935</v>
      </c>
      <c r="C5" t="s">
        <v>609</v>
      </c>
      <c r="D5" t="s">
        <v>28</v>
      </c>
      <c r="E5" s="3370" t="s">
        <v>1213</v>
      </c>
      <c r="F5" s="2282" t="s">
        <v>9</v>
      </c>
      <c r="G5" s="2283" t="s">
        <v>10</v>
      </c>
      <c r="H5" s="2283" t="s">
        <v>11</v>
      </c>
      <c r="I5" s="2283" t="s">
        <v>12</v>
      </c>
      <c r="J5" s="2283" t="s">
        <v>13</v>
      </c>
      <c r="K5" s="2283" t="s">
        <v>14</v>
      </c>
      <c r="L5" s="2283" t="s">
        <v>15</v>
      </c>
      <c r="M5" s="2283" t="s">
        <v>16</v>
      </c>
      <c r="N5" s="2283" t="s">
        <v>134</v>
      </c>
      <c r="O5" s="2283" t="s">
        <v>135</v>
      </c>
      <c r="P5" s="2284" t="s">
        <v>18</v>
      </c>
      <c r="Q5" s="2286" t="s">
        <v>925</v>
      </c>
      <c r="S5" s="2294" t="s">
        <v>932</v>
      </c>
    </row>
    <row r="6" spans="2:19" x14ac:dyDescent="0.25">
      <c r="C6" t="s">
        <v>608</v>
      </c>
      <c r="E6" s="2410"/>
      <c r="F6" s="2418"/>
      <c r="G6" s="2418"/>
      <c r="H6" s="2418"/>
      <c r="I6" s="2418"/>
      <c r="J6" s="2418"/>
      <c r="K6" s="2418"/>
      <c r="L6" s="2418"/>
      <c r="M6" s="2418"/>
      <c r="N6" s="2418"/>
      <c r="O6" s="2418"/>
      <c r="P6" s="2418"/>
    </row>
    <row r="7" spans="2:19" ht="13.8" x14ac:dyDescent="0.3">
      <c r="B7" s="19">
        <v>4</v>
      </c>
      <c r="C7" t="s">
        <v>380</v>
      </c>
      <c r="D7" t="s">
        <v>381</v>
      </c>
      <c r="E7" s="2280">
        <v>18230611</v>
      </c>
      <c r="F7" s="2418">
        <f>'4) Detail_REM Sch 201 Elec '!G7</f>
        <v>287956.196</v>
      </c>
      <c r="G7" s="2418">
        <f>'4) Detail_REM Sch 201 Elec '!H7</f>
        <v>32076</v>
      </c>
      <c r="H7" s="2418">
        <f>'4) Detail_REM Sch 201 Elec '!I7</f>
        <v>206889.60347999999</v>
      </c>
      <c r="I7" s="2418">
        <f>'4) Detail_REM Sch 201 Elec '!J7</f>
        <v>8000</v>
      </c>
      <c r="J7" s="2418">
        <f>'4) Detail_REM Sch 201 Elec '!K7</f>
        <v>24000</v>
      </c>
      <c r="K7" s="2418">
        <f>'4) Detail_REM Sch 201 Elec '!L7</f>
        <v>38400</v>
      </c>
      <c r="L7" s="2418">
        <f>'4) Detail_REM Sch 201 Elec '!M7</f>
        <v>21600</v>
      </c>
      <c r="M7" s="2418">
        <f>'4) Detail_REM Sch 201 Elec '!N7</f>
        <v>1554</v>
      </c>
      <c r="N7" s="2418">
        <f>'4) Detail_REM Sch 201 Elec '!O7</f>
        <v>4753835.628800001</v>
      </c>
      <c r="O7" s="2418">
        <f>'4) Detail_REM Sch 201 Elec '!P7</f>
        <v>0</v>
      </c>
      <c r="P7" s="2418">
        <f>'4) Detail_REM Sch 201 Elec '!Q7</f>
        <v>5374311.4282800015</v>
      </c>
      <c r="Q7" s="2285">
        <f>'4) Detail_REM Sch 201 Elec '!R7</f>
        <v>3879533.656</v>
      </c>
    </row>
    <row r="8" spans="2:19" ht="13.8" x14ac:dyDescent="0.3">
      <c r="B8" s="19" t="s">
        <v>915</v>
      </c>
      <c r="C8" t="s">
        <v>252</v>
      </c>
      <c r="D8" t="s">
        <v>253</v>
      </c>
      <c r="E8" s="2280">
        <v>18230625</v>
      </c>
      <c r="F8" s="2418">
        <f>'5a) Detail_214HomePrint Elec'!G7</f>
        <v>394924.25</v>
      </c>
      <c r="G8" s="2418">
        <f>'5a) Detail_214HomePrint Elec'!H7</f>
        <v>72900</v>
      </c>
      <c r="H8" s="2418">
        <f>'5a) Detail_214HomePrint Elec'!I7</f>
        <v>294729.27749999997</v>
      </c>
      <c r="I8" s="2418">
        <f>'5a) Detail_214HomePrint Elec'!J7</f>
        <v>132000</v>
      </c>
      <c r="J8" s="2418">
        <f>'5a) Detail_214HomePrint Elec'!K7</f>
        <v>32400</v>
      </c>
      <c r="K8" s="2418">
        <f>'5a) Detail_214HomePrint Elec'!L7</f>
        <v>0</v>
      </c>
      <c r="L8" s="2418">
        <f>'5a) Detail_214HomePrint Elec'!M7</f>
        <v>0</v>
      </c>
      <c r="M8" s="2418">
        <f>'5a) Detail_214HomePrint Elec'!N7</f>
        <v>80000</v>
      </c>
      <c r="N8" s="2418">
        <f>'5a) Detail_214HomePrint Elec'!O7</f>
        <v>2584000</v>
      </c>
      <c r="O8" s="2418">
        <f>'5a) Detail_214HomePrint Elec'!P7</f>
        <v>0</v>
      </c>
      <c r="P8" s="2418">
        <f>'5a) Detail_214HomePrint Elec'!Q7</f>
        <v>3590953.5274999999</v>
      </c>
      <c r="Q8" s="2285">
        <f>'5a) Detail_214HomePrint Elec'!R7</f>
        <v>8100000</v>
      </c>
    </row>
    <row r="9" spans="2:19" ht="13.8" x14ac:dyDescent="0.3">
      <c r="B9" s="19" t="s">
        <v>916</v>
      </c>
      <c r="C9" t="s">
        <v>252</v>
      </c>
      <c r="D9" t="s">
        <v>263</v>
      </c>
      <c r="E9" s="2280">
        <v>18230626</v>
      </c>
      <c r="F9" s="2418">
        <f>'5b) Detail_214WaterHeat Elec'!G7</f>
        <v>60649.08</v>
      </c>
      <c r="G9" s="2418">
        <f>'5b) Detail_214WaterHeat Elec'!H7</f>
        <v>18225</v>
      </c>
      <c r="H9" s="2418">
        <f>'5b) Detail_214WaterHeat Elec'!I7</f>
        <v>49690.670400000003</v>
      </c>
      <c r="I9" s="2418">
        <f>'5b) Detail_214WaterHeat Elec'!J7</f>
        <v>40000</v>
      </c>
      <c r="J9" s="2418">
        <f>'5b) Detail_214WaterHeat Elec'!K7</f>
        <v>2400</v>
      </c>
      <c r="K9" s="2418">
        <f>'5b) Detail_214WaterHeat Elec'!L7</f>
        <v>8000</v>
      </c>
      <c r="L9" s="2418">
        <f>'5b) Detail_214WaterHeat Elec'!M7</f>
        <v>10000</v>
      </c>
      <c r="M9" s="2418">
        <f>'5b) Detail_214WaterHeat Elec'!N7</f>
        <v>4800</v>
      </c>
      <c r="N9" s="2418">
        <f>'5b) Detail_214WaterHeat Elec'!O7</f>
        <v>444780</v>
      </c>
      <c r="O9" s="2418">
        <f>'5b) Detail_214WaterHeat Elec'!P7</f>
        <v>0</v>
      </c>
      <c r="P9" s="2418">
        <f>'5b) Detail_214WaterHeat Elec'!Q7</f>
        <v>638544.75040000002</v>
      </c>
      <c r="Q9" s="2285">
        <f>'5b) Detail_214WaterHeat Elec'!R7</f>
        <v>1709210</v>
      </c>
    </row>
    <row r="10" spans="2:19" ht="13.8" x14ac:dyDescent="0.3">
      <c r="B10" s="19" t="s">
        <v>917</v>
      </c>
      <c r="C10" t="s">
        <v>252</v>
      </c>
      <c r="D10" t="s">
        <v>398</v>
      </c>
      <c r="E10" s="2280">
        <v>18230627</v>
      </c>
      <c r="F10" s="2418">
        <f>'5c) Detail_214Wx Elec'!G7</f>
        <v>310297.63</v>
      </c>
      <c r="G10" s="2418">
        <f>'5c) Detail_214Wx Elec'!H7</f>
        <v>36450</v>
      </c>
      <c r="H10" s="2418">
        <f>'5c) Detail_214Wx Elec'!I7</f>
        <v>218451.00690000001</v>
      </c>
      <c r="I10" s="2418">
        <f>'5c) Detail_214Wx Elec'!J7</f>
        <v>96000</v>
      </c>
      <c r="J10" s="2418">
        <f>'5c) Detail_214Wx Elec'!K7</f>
        <v>7080</v>
      </c>
      <c r="K10" s="2418">
        <f>'5c) Detail_214Wx Elec'!L7</f>
        <v>3085250</v>
      </c>
      <c r="L10" s="2418">
        <f>'5c) Detail_214Wx Elec'!M7</f>
        <v>6000</v>
      </c>
      <c r="M10" s="2418">
        <f>'5c) Detail_214Wx Elec'!N7</f>
        <v>10000</v>
      </c>
      <c r="N10" s="2418">
        <f>'5c) Detail_214Wx Elec'!O7</f>
        <v>4885962.12</v>
      </c>
      <c r="O10" s="2418">
        <f>'5c) Detail_214Wx Elec'!P7</f>
        <v>0</v>
      </c>
      <c r="P10" s="2418">
        <f>'5c) Detail_214Wx Elec'!Q7</f>
        <v>8655490.7569000013</v>
      </c>
      <c r="Q10" s="2285">
        <f>'5c) Detail_214Wx Elec'!R7</f>
        <v>20524408.920000002</v>
      </c>
    </row>
    <row r="11" spans="2:19" ht="13.8" x14ac:dyDescent="0.3">
      <c r="B11" s="19" t="s">
        <v>918</v>
      </c>
      <c r="C11" t="s">
        <v>252</v>
      </c>
      <c r="D11" t="s">
        <v>408</v>
      </c>
      <c r="E11" s="2280">
        <v>18230628</v>
      </c>
      <c r="F11" s="2418">
        <f>'5d) Detail_214SpcHeat Elec'!G7</f>
        <v>349790.05</v>
      </c>
      <c r="G11" s="2418">
        <f>'5d) Detail_214SpcHeat Elec'!H7</f>
        <v>78975</v>
      </c>
      <c r="H11" s="2418">
        <f>'5d) Detail_214SpcHeat Elec'!I7</f>
        <v>270121.98149999999</v>
      </c>
      <c r="I11" s="2418">
        <f>'5d) Detail_214SpcHeat Elec'!J7</f>
        <v>240000</v>
      </c>
      <c r="J11" s="2418">
        <f>'5d) Detail_214SpcHeat Elec'!K7</f>
        <v>14400</v>
      </c>
      <c r="K11" s="2418">
        <f>'5d) Detail_214SpcHeat Elec'!L7</f>
        <v>56000</v>
      </c>
      <c r="L11" s="2418">
        <f>'5d) Detail_214SpcHeat Elec'!M7</f>
        <v>34400</v>
      </c>
      <c r="M11" s="2418">
        <f>'5d) Detail_214SpcHeat Elec'!N7</f>
        <v>56400</v>
      </c>
      <c r="N11" s="2418">
        <f>'5d) Detail_214SpcHeat Elec'!O7</f>
        <v>4251250</v>
      </c>
      <c r="O11" s="2418">
        <f>'5d) Detail_214SpcHeat Elec'!P7</f>
        <v>0</v>
      </c>
      <c r="P11" s="2418">
        <f>'5d) Detail_214SpcHeat Elec'!Q7</f>
        <v>5351337.0315000005</v>
      </c>
      <c r="Q11" s="2285">
        <f>'5d) Detail_214SpcHeat Elec'!R7</f>
        <v>12038003</v>
      </c>
    </row>
    <row r="12" spans="2:19" ht="13.8" x14ac:dyDescent="0.3">
      <c r="B12" s="19" t="s">
        <v>919</v>
      </c>
      <c r="C12" t="s">
        <v>252</v>
      </c>
      <c r="D12" t="s">
        <v>413</v>
      </c>
      <c r="E12" s="2280">
        <v>18230409</v>
      </c>
      <c r="F12" s="2418">
        <f>'5e) Detail_214RefRepl Elec'!G7</f>
        <v>0</v>
      </c>
      <c r="G12" s="2418">
        <f>'5e) Detail_214RefRepl Elec'!H7</f>
        <v>0</v>
      </c>
      <c r="H12" s="2418">
        <f>'5e) Detail_214RefRepl Elec'!I7</f>
        <v>0</v>
      </c>
      <c r="I12" s="2418">
        <f>'5e) Detail_214RefRepl Elec'!J7</f>
        <v>0</v>
      </c>
      <c r="J12" s="2418">
        <f>'5e) Detail_214RefRepl Elec'!K7</f>
        <v>0</v>
      </c>
      <c r="K12" s="2418">
        <f>'5e) Detail_214RefRepl Elec'!L7</f>
        <v>0</v>
      </c>
      <c r="L12" s="2418">
        <f>'5e) Detail_214RefRepl Elec'!M7</f>
        <v>0</v>
      </c>
      <c r="M12" s="2418">
        <f>'5e) Detail_214RefRepl Elec'!N7</f>
        <v>0</v>
      </c>
      <c r="N12" s="2418">
        <f>'5e) Detail_214RefRepl Elec'!O7</f>
        <v>0</v>
      </c>
      <c r="O12" s="2418">
        <f>'5e) Detail_214RefRepl Elec'!P7</f>
        <v>0</v>
      </c>
      <c r="P12" s="2418">
        <f>'5e) Detail_214RefRepl Elec'!Q7</f>
        <v>0</v>
      </c>
      <c r="Q12" s="2285">
        <f>'5e) Detail_214RefRepl Elec'!R7</f>
        <v>0</v>
      </c>
    </row>
    <row r="13" spans="2:19" ht="13.8" x14ac:dyDescent="0.3">
      <c r="B13" s="19" t="s">
        <v>920</v>
      </c>
      <c r="C13" t="s">
        <v>252</v>
      </c>
      <c r="D13" s="3369" t="s">
        <v>416</v>
      </c>
      <c r="E13" s="2280">
        <v>18230432</v>
      </c>
      <c r="F13" s="2418">
        <f>'5f) Detail_214HmAppplc Elec'!G7</f>
        <v>451342</v>
      </c>
      <c r="G13" s="2418">
        <f>'5f) Detail_214HmAppplc Elec'!H7</f>
        <v>127575</v>
      </c>
      <c r="H13" s="2418">
        <f>'5f) Detail_214HmAppplc Elec'!I7</f>
        <v>364717.70999999996</v>
      </c>
      <c r="I13" s="2418">
        <f>'5f) Detail_214HmAppplc Elec'!J7</f>
        <v>1105000</v>
      </c>
      <c r="J13" s="2418">
        <f>'5f) Detail_214HmAppplc Elec'!K7</f>
        <v>0</v>
      </c>
      <c r="K13" s="2418">
        <f>'5f) Detail_214HmAppplc Elec'!L7</f>
        <v>1725000</v>
      </c>
      <c r="L13" s="2418">
        <f>'5f) Detail_214HmAppplc Elec'!M7</f>
        <v>36000</v>
      </c>
      <c r="M13" s="2418">
        <f>'5f) Detail_214HmAppplc Elec'!N7</f>
        <v>20000</v>
      </c>
      <c r="N13" s="2418">
        <f>'5f) Detail_214HmAppplc Elec'!O7</f>
        <v>12649690</v>
      </c>
      <c r="O13" s="2418">
        <f>'5f) Detail_214HmAppplc Elec'!P7</f>
        <v>0</v>
      </c>
      <c r="P13" s="2418">
        <f>'5f) Detail_214HmAppplc Elec'!Q7</f>
        <v>16479324.710000001</v>
      </c>
      <c r="Q13" s="2285">
        <f>'5f) Detail_214HmAppplc Elec'!R7</f>
        <v>51698620</v>
      </c>
    </row>
    <row r="14" spans="2:19" ht="13.8" x14ac:dyDescent="0.3">
      <c r="B14" s="19" t="s">
        <v>921</v>
      </c>
      <c r="C14" t="s">
        <v>252</v>
      </c>
      <c r="D14" t="s">
        <v>610</v>
      </c>
      <c r="E14" s="2280">
        <v>18230435</v>
      </c>
      <c r="F14" s="2418">
        <f>'5g) Detail_214ShwrHead  Elec'!G7</f>
        <v>33850.649999999994</v>
      </c>
      <c r="G14" s="2418">
        <f>'5g) Detail_214ShwrHead  Elec'!H7</f>
        <v>24300</v>
      </c>
      <c r="H14" s="2418">
        <f>'5g) Detail_214ShwrHead  Elec'!I7</f>
        <v>36634.909499999994</v>
      </c>
      <c r="I14" s="2418">
        <f>'5g) Detail_214ShwrHead  Elec'!J7</f>
        <v>60000</v>
      </c>
      <c r="J14" s="2418">
        <f>'5g) Detail_214ShwrHead  Elec'!K7</f>
        <v>3000</v>
      </c>
      <c r="K14" s="2418">
        <f>'5g) Detail_214ShwrHead  Elec'!L7</f>
        <v>62064</v>
      </c>
      <c r="L14" s="2418">
        <f>'5g) Detail_214ShwrHead  Elec'!M7</f>
        <v>1000</v>
      </c>
      <c r="M14" s="2418">
        <f>'5g) Detail_214ShwrHead  Elec'!N7</f>
        <v>1000</v>
      </c>
      <c r="N14" s="2418">
        <f>'5g) Detail_214ShwrHead  Elec'!O7</f>
        <v>170640</v>
      </c>
      <c r="O14" s="2418">
        <f>'5g) Detail_214ShwrHead  Elec'!P7</f>
        <v>0</v>
      </c>
      <c r="P14" s="2418">
        <f>'5g) Detail_214ShwrHead  Elec'!Q7</f>
        <v>392489.55949999997</v>
      </c>
      <c r="Q14" s="2285">
        <f>'5g) Detail_214ShwrHead  Elec'!R7</f>
        <v>3107472</v>
      </c>
    </row>
    <row r="15" spans="2:19" ht="13.8" x14ac:dyDescent="0.3">
      <c r="B15" s="19" t="s">
        <v>922</v>
      </c>
      <c r="C15" t="s">
        <v>252</v>
      </c>
      <c r="D15" t="s">
        <v>611</v>
      </c>
      <c r="E15" s="2280">
        <v>18230440</v>
      </c>
      <c r="F15" s="2418">
        <f>'5h) Detail_214Lighting Elec'!G7</f>
        <v>541443.64999999991</v>
      </c>
      <c r="G15" s="2418">
        <f>'5h) Detail_214Lighting Elec'!H7</f>
        <v>127575</v>
      </c>
      <c r="H15" s="2418">
        <f>'5h) Detail_214Lighting Elec'!I7</f>
        <v>421481.74949999998</v>
      </c>
      <c r="I15" s="2418">
        <f>'5h) Detail_214Lighting Elec'!J7</f>
        <v>2477500</v>
      </c>
      <c r="J15" s="2418">
        <f>'5h) Detail_214Lighting Elec'!K7</f>
        <v>0</v>
      </c>
      <c r="K15" s="2418">
        <f>'5h) Detail_214Lighting Elec'!L7</f>
        <v>1733600</v>
      </c>
      <c r="L15" s="2418">
        <f>'5h) Detail_214Lighting Elec'!M7</f>
        <v>15000</v>
      </c>
      <c r="M15" s="2418">
        <f>'5h) Detail_214Lighting Elec'!N7</f>
        <v>72000</v>
      </c>
      <c r="N15" s="2418">
        <f>'5h) Detail_214Lighting Elec'!O7</f>
        <v>19892312.5</v>
      </c>
      <c r="O15" s="2418">
        <f>'5h) Detail_214Lighting Elec'!P7</f>
        <v>0</v>
      </c>
      <c r="P15" s="2418">
        <f>'5h) Detail_214Lighting Elec'!Q7</f>
        <v>25280912.899499997</v>
      </c>
      <c r="Q15" s="2285">
        <f>'5h) Detail_214Lighting Elec'!R7</f>
        <v>143115250</v>
      </c>
    </row>
    <row r="16" spans="2:19" ht="13.8" x14ac:dyDescent="0.3">
      <c r="B16" s="19">
        <v>6</v>
      </c>
      <c r="C16" t="s">
        <v>487</v>
      </c>
      <c r="D16" t="s">
        <v>488</v>
      </c>
      <c r="E16" s="2280">
        <v>18230405</v>
      </c>
      <c r="F16" s="2418">
        <f>'6) Detail_REM Sch 215 Elec'!G7</f>
        <v>289423</v>
      </c>
      <c r="G16" s="2418">
        <f>'6) Detail_REM Sch 215 Elec'!H7</f>
        <v>126968</v>
      </c>
      <c r="H16" s="2418">
        <f>'6) Detail_REM Sch 215 Elec'!I7</f>
        <v>262326.33</v>
      </c>
      <c r="I16" s="2418">
        <f>'6) Detail_REM Sch 215 Elec'!J7</f>
        <v>108380</v>
      </c>
      <c r="J16" s="2418">
        <f>'6) Detail_REM Sch 215 Elec'!K7</f>
        <v>12000</v>
      </c>
      <c r="K16" s="2418">
        <f>'6) Detail_REM Sch 215 Elec'!L7</f>
        <v>285448</v>
      </c>
      <c r="L16" s="2418">
        <f>'6) Detail_REM Sch 215 Elec'!M7</f>
        <v>4000</v>
      </c>
      <c r="M16" s="2418">
        <f>'6) Detail_REM Sch 215 Elec'!N7</f>
        <v>10000</v>
      </c>
      <c r="N16" s="2418">
        <f>'6) Detail_REM Sch 215 Elec'!O7</f>
        <v>1034100</v>
      </c>
      <c r="O16" s="2418">
        <f>'6) Detail_REM Sch 215 Elec'!P7</f>
        <v>0</v>
      </c>
      <c r="P16" s="2418">
        <f>'6) Detail_REM Sch 215 Elec'!Q7</f>
        <v>2132645.33</v>
      </c>
      <c r="Q16" s="2285">
        <f>'6) Detail_REM Sch 215 Elec'!R7</f>
        <v>2254200</v>
      </c>
    </row>
    <row r="17" spans="2:19" ht="13.8" x14ac:dyDescent="0.3">
      <c r="B17" s="19" t="s">
        <v>923</v>
      </c>
      <c r="C17" t="s">
        <v>487</v>
      </c>
      <c r="D17" t="s">
        <v>497</v>
      </c>
      <c r="E17" s="2280">
        <v>18230433</v>
      </c>
      <c r="F17" s="2418">
        <f>'6a) Detail_215NCMfgHome Elec'!G7</f>
        <v>17986</v>
      </c>
      <c r="G17" s="2418">
        <f>'6a) Detail_215NCMfgHome Elec'!H7</f>
        <v>8000</v>
      </c>
      <c r="H17" s="2418">
        <f>'6a) Detail_215NCMfgHome Elec'!I7</f>
        <v>16371.18</v>
      </c>
      <c r="I17" s="2418">
        <f>'6a) Detail_215NCMfgHome Elec'!J7</f>
        <v>7010</v>
      </c>
      <c r="J17" s="2418">
        <f>'6a) Detail_215NCMfgHome Elec'!K7</f>
        <v>1600</v>
      </c>
      <c r="K17" s="2418">
        <f>'6a) Detail_215NCMfgHome Elec'!L7</f>
        <v>0</v>
      </c>
      <c r="L17" s="2418">
        <f>'6a) Detail_215NCMfgHome Elec'!M7</f>
        <v>0</v>
      </c>
      <c r="M17" s="2418">
        <f>'6a) Detail_215NCMfgHome Elec'!N7</f>
        <v>0</v>
      </c>
      <c r="N17" s="2418">
        <f>'6a) Detail_215NCMfgHome Elec'!O7</f>
        <v>48000</v>
      </c>
      <c r="O17" s="2418">
        <f>'6a) Detail_215NCMfgHome Elec'!P7</f>
        <v>0</v>
      </c>
      <c r="P17" s="2418">
        <f>'6a) Detail_215NCMfgHome Elec'!Q7</f>
        <v>98967.18</v>
      </c>
      <c r="Q17" s="2285">
        <f>'6a) Detail_215NCMfgHome Elec'!R7</f>
        <v>836840</v>
      </c>
    </row>
    <row r="18" spans="2:19" ht="13.8" x14ac:dyDescent="0.3">
      <c r="B18" s="19">
        <v>7</v>
      </c>
      <c r="C18" t="s">
        <v>519</v>
      </c>
      <c r="D18" t="s">
        <v>520</v>
      </c>
      <c r="E18" s="2280">
        <v>18230612</v>
      </c>
      <c r="F18" s="2418">
        <f>'7) Detail_REM Sch 216 Elec'!G7</f>
        <v>163611.47999999998</v>
      </c>
      <c r="G18" s="2418">
        <f>'7) Detail_REM Sch 216 Elec'!H7</f>
        <v>60750</v>
      </c>
      <c r="H18" s="2418">
        <f>'7) Detail_REM Sch 216 Elec'!I7</f>
        <v>141347.73239999998</v>
      </c>
      <c r="I18" s="2418">
        <f>'7) Detail_REM Sch 216 Elec'!J7</f>
        <v>112000</v>
      </c>
      <c r="J18" s="2418">
        <f>'7) Detail_REM Sch 216 Elec'!K7</f>
        <v>2400</v>
      </c>
      <c r="K18" s="2418">
        <f>'7) Detail_REM Sch 216 Elec'!L7</f>
        <v>2000</v>
      </c>
      <c r="L18" s="2418">
        <f>'7) Detail_REM Sch 216 Elec'!M7</f>
        <v>2000</v>
      </c>
      <c r="M18" s="2418">
        <f>'7) Detail_REM Sch 216 Elec'!N7</f>
        <v>4000</v>
      </c>
      <c r="N18" s="2418">
        <f>'7) Detail_REM Sch 216 Elec'!O7</f>
        <v>1153500</v>
      </c>
      <c r="O18" s="2418">
        <f>'7) Detail_REM Sch 216 Elec'!P7</f>
        <v>0</v>
      </c>
      <c r="P18" s="2418">
        <f>'7) Detail_REM Sch 216 Elec'!Q7</f>
        <v>1641609.2124000001</v>
      </c>
      <c r="Q18" s="2285">
        <f>'7) Detail_REM Sch 216 Elec'!R7</f>
        <v>5194500</v>
      </c>
    </row>
    <row r="19" spans="2:19" ht="13.8" x14ac:dyDescent="0.3">
      <c r="B19" s="19">
        <v>8</v>
      </c>
      <c r="C19" t="s">
        <v>564</v>
      </c>
      <c r="D19" t="s">
        <v>565</v>
      </c>
      <c r="E19" s="2280">
        <v>18230407</v>
      </c>
      <c r="F19" s="2418">
        <f>'8) Detail_REM Sch 217 Elec'!G7</f>
        <v>733204.8</v>
      </c>
      <c r="G19" s="2418">
        <f>'8) Detail_REM Sch 217 Elec'!H7</f>
        <v>167670</v>
      </c>
      <c r="H19" s="2418">
        <f>'8) Detail_REM Sch 217 Elec'!I7</f>
        <v>567551.12400000007</v>
      </c>
      <c r="I19" s="2418">
        <f>'8) Detail_REM Sch 217 Elec'!J7</f>
        <v>135000</v>
      </c>
      <c r="J19" s="2418">
        <f>'8) Detail_REM Sch 217 Elec'!K7</f>
        <v>19040</v>
      </c>
      <c r="K19" s="2418">
        <f>'8) Detail_REM Sch 217 Elec'!L7</f>
        <v>1705448.7000000002</v>
      </c>
      <c r="L19" s="2418">
        <f>'8) Detail_REM Sch 217 Elec'!M7</f>
        <v>0</v>
      </c>
      <c r="M19" s="2418">
        <f>'8) Detail_REM Sch 217 Elec'!N7</f>
        <v>19240</v>
      </c>
      <c r="N19" s="2418">
        <f>'8) Detail_REM Sch 217 Elec'!O7</f>
        <v>10360610</v>
      </c>
      <c r="O19" s="2418">
        <f>'8) Detail_REM Sch 217 Elec'!P7</f>
        <v>0</v>
      </c>
      <c r="P19" s="2418">
        <f>'8) Detail_REM Sch 217 Elec'!Q7</f>
        <v>13707764.624</v>
      </c>
      <c r="Q19" s="2285">
        <f>'8) Detail_REM Sch 217 Elec'!R7</f>
        <v>33569534</v>
      </c>
    </row>
    <row r="20" spans="2:19" ht="13.8" x14ac:dyDescent="0.3">
      <c r="B20" s="19">
        <v>9</v>
      </c>
      <c r="C20" t="s">
        <v>595</v>
      </c>
      <c r="D20" t="s">
        <v>596</v>
      </c>
      <c r="E20" s="2280">
        <v>18230486</v>
      </c>
      <c r="F20" s="2418">
        <f>'9) Detail_REM Sch 218 Elec'!G7</f>
        <v>308404</v>
      </c>
      <c r="G20" s="2418">
        <f>'9) Detail_REM Sch 218 Elec'!H7</f>
        <v>30160</v>
      </c>
      <c r="H20" s="2418">
        <f>'9) Detail_REM Sch 218 Elec'!I7</f>
        <v>213295.32</v>
      </c>
      <c r="I20" s="2418">
        <f>'9) Detail_REM Sch 218 Elec'!J7</f>
        <v>67500</v>
      </c>
      <c r="J20" s="2418">
        <f>'9) Detail_REM Sch 218 Elec'!K7</f>
        <v>4680</v>
      </c>
      <c r="K20" s="2418">
        <f>'9) Detail_REM Sch 218 Elec'!L7</f>
        <v>400</v>
      </c>
      <c r="L20" s="2418">
        <f>'9) Detail_REM Sch 218 Elec'!M7</f>
        <v>200</v>
      </c>
      <c r="M20" s="2418">
        <f>'9) Detail_REM Sch 218 Elec'!N7</f>
        <v>10480</v>
      </c>
      <c r="N20" s="2418">
        <f>'9) Detail_REM Sch 218 Elec'!O7</f>
        <v>642738.58799999999</v>
      </c>
      <c r="O20" s="2418">
        <f>'9) Detail_REM Sch 218 Elec'!P7</f>
        <v>0</v>
      </c>
      <c r="P20" s="2418">
        <f>'9) Detail_REM Sch 218 Elec'!Q7</f>
        <v>1277857.9080000001</v>
      </c>
      <c r="Q20" s="2285">
        <f>'9) Detail_REM Sch 218 Elec'!R7</f>
        <v>1909576.3102399998</v>
      </c>
    </row>
    <row r="21" spans="2:19" ht="13.8" x14ac:dyDescent="0.3">
      <c r="B21" s="19">
        <v>10</v>
      </c>
      <c r="C21" t="s">
        <v>602</v>
      </c>
      <c r="D21" t="s">
        <v>606</v>
      </c>
      <c r="E21" s="2280">
        <v>18230629</v>
      </c>
      <c r="F21" s="2418">
        <f>'10) Detail_REM Sch 249 Elec'!G7</f>
        <v>0</v>
      </c>
      <c r="G21" s="2418">
        <f>'10) Detail_REM Sch 249 Elec'!H7</f>
        <v>0</v>
      </c>
      <c r="H21" s="2418">
        <f>'10) Detail_REM Sch 249 Elec'!I7</f>
        <v>0</v>
      </c>
      <c r="I21" s="2418">
        <f>'10) Detail_REM Sch 249 Elec'!J7</f>
        <v>0</v>
      </c>
      <c r="J21" s="2418">
        <f>'10) Detail_REM Sch 249 Elec'!K7</f>
        <v>0</v>
      </c>
      <c r="K21" s="2418">
        <f>'10) Detail_REM Sch 249 Elec'!L7</f>
        <v>0</v>
      </c>
      <c r="L21" s="2418">
        <f>'10) Detail_REM Sch 249 Elec'!M7</f>
        <v>0</v>
      </c>
      <c r="M21" s="2418">
        <f>'10) Detail_REM Sch 249 Elec'!N7</f>
        <v>0</v>
      </c>
      <c r="N21" s="2418">
        <f>'10) Detail_REM Sch 249 Elec'!O7</f>
        <v>0</v>
      </c>
      <c r="O21" s="2418">
        <f>'10) Detail_REM Sch 249 Elec'!P7</f>
        <v>0</v>
      </c>
      <c r="P21" s="2418">
        <f>'10) Detail_REM Sch 249 Elec'!Q7</f>
        <v>0</v>
      </c>
      <c r="Q21" s="2285">
        <f>'10) Detail_REM Sch 249 Elec'!R7</f>
        <v>0</v>
      </c>
    </row>
    <row r="22" spans="2:19" ht="13.8" x14ac:dyDescent="0.3">
      <c r="B22" s="19" t="s">
        <v>924</v>
      </c>
      <c r="C22" t="s">
        <v>602</v>
      </c>
      <c r="D22" t="s">
        <v>603</v>
      </c>
      <c r="E22" s="2280">
        <v>18230461</v>
      </c>
      <c r="F22" s="2418">
        <f>'10a) Detail_249HmEngryRpt  Elec'!G7</f>
        <v>39492.425000000003</v>
      </c>
      <c r="G22" s="2418">
        <f>'10a) Detail_249HmEngryRpt  Elec'!H7</f>
        <v>12150</v>
      </c>
      <c r="H22" s="2418">
        <f>'10a) Detail_249HmEngryRpt  Elec'!I7</f>
        <v>32534.727750000002</v>
      </c>
      <c r="I22" s="2418">
        <f>'10a) Detail_249HmEngryRpt  Elec'!J7</f>
        <v>0</v>
      </c>
      <c r="J22" s="2418">
        <f>'10a) Detail_249HmEngryRpt  Elec'!K7</f>
        <v>0</v>
      </c>
      <c r="K22" s="2418">
        <f>'10a) Detail_249HmEngryRpt  Elec'!L7</f>
        <v>346724</v>
      </c>
      <c r="L22" s="2418">
        <f>'10a) Detail_249HmEngryRpt  Elec'!M7</f>
        <v>0</v>
      </c>
      <c r="M22" s="2418">
        <f>'10a) Detail_249HmEngryRpt  Elec'!N7</f>
        <v>0</v>
      </c>
      <c r="N22" s="2418">
        <f>'10a) Detail_249HmEngryRpt  Elec'!O7</f>
        <v>0</v>
      </c>
      <c r="O22" s="2418">
        <f>'10a) Detail_249HmEngryRpt  Elec'!P7</f>
        <v>0</v>
      </c>
      <c r="P22" s="2418">
        <f>'10a) Detail_249HmEngryRpt  Elec'!Q7</f>
        <v>430901.15275000001</v>
      </c>
      <c r="Q22" s="2285">
        <f>'10a) Detail_249HmEngryRpt  Elec'!R7</f>
        <v>10996104</v>
      </c>
    </row>
    <row r="23" spans="2:19" s="2288" customFormat="1" ht="13.8" x14ac:dyDescent="0.3">
      <c r="B23" s="2287"/>
      <c r="D23" s="838" t="s">
        <v>841</v>
      </c>
      <c r="E23" s="2289"/>
      <c r="F23" s="2290">
        <f>SUM(F7:F22)</f>
        <v>3982375.2110000001</v>
      </c>
      <c r="G23" s="2290">
        <f t="shared" ref="G23:Q23" si="0">SUM(G7:G22)</f>
        <v>923774</v>
      </c>
      <c r="H23" s="2290">
        <f t="shared" si="0"/>
        <v>3096143.3229299998</v>
      </c>
      <c r="I23" s="2290">
        <f t="shared" si="0"/>
        <v>4588390</v>
      </c>
      <c r="J23" s="2290">
        <f t="shared" si="0"/>
        <v>123000</v>
      </c>
      <c r="K23" s="2290">
        <f t="shared" si="0"/>
        <v>9048334.6999999993</v>
      </c>
      <c r="L23" s="2290">
        <f t="shared" si="0"/>
        <v>130200</v>
      </c>
      <c r="M23" s="2290">
        <f t="shared" si="0"/>
        <v>289474</v>
      </c>
      <c r="N23" s="2290">
        <f t="shared" si="0"/>
        <v>62871418.836800002</v>
      </c>
      <c r="O23" s="2290">
        <f t="shared" si="0"/>
        <v>0</v>
      </c>
      <c r="P23" s="2290">
        <f t="shared" si="0"/>
        <v>85053110.070730031</v>
      </c>
      <c r="Q23" s="2291">
        <f t="shared" si="0"/>
        <v>298933251.88623995</v>
      </c>
      <c r="S23" s="2288" t="s">
        <v>933</v>
      </c>
    </row>
    <row r="24" spans="2:19" ht="13.8" x14ac:dyDescent="0.3">
      <c r="E24" s="839"/>
      <c r="F24" s="2418"/>
      <c r="G24" s="2418"/>
      <c r="H24" s="2418"/>
      <c r="I24" s="2418"/>
      <c r="J24" s="2418"/>
      <c r="K24" s="2418"/>
      <c r="L24" s="2418"/>
      <c r="M24" s="2418"/>
      <c r="N24" s="2418"/>
      <c r="O24" s="2418"/>
      <c r="P24" s="2418"/>
    </row>
    <row r="25" spans="2:19" x14ac:dyDescent="0.25">
      <c r="E25" s="2410"/>
      <c r="F25" s="2418"/>
      <c r="G25" s="2418"/>
      <c r="H25" s="2418"/>
      <c r="I25" s="2418"/>
      <c r="J25" s="2418"/>
      <c r="K25" s="2418"/>
      <c r="L25" s="2418"/>
      <c r="M25" s="2418"/>
      <c r="N25" s="2418"/>
      <c r="O25" s="2418"/>
      <c r="P25" s="2418"/>
    </row>
    <row r="26" spans="2:19" x14ac:dyDescent="0.25">
      <c r="C26" t="s">
        <v>820</v>
      </c>
      <c r="E26" s="2410"/>
      <c r="F26" s="2418"/>
      <c r="G26" s="2418"/>
      <c r="H26" s="2418"/>
      <c r="I26" s="2418"/>
      <c r="J26" s="2418"/>
      <c r="K26" s="2418"/>
      <c r="L26" s="2418"/>
      <c r="M26" s="2418"/>
      <c r="N26" s="2418"/>
      <c r="O26" s="2418"/>
      <c r="P26" s="2418"/>
    </row>
    <row r="27" spans="2:19" ht="13.8" x14ac:dyDescent="0.3">
      <c r="B27" s="19">
        <v>17</v>
      </c>
      <c r="C27" s="3369" t="s">
        <v>978</v>
      </c>
      <c r="D27" t="s">
        <v>828</v>
      </c>
      <c r="E27" s="2280">
        <v>18230711</v>
      </c>
      <c r="F27" s="2418">
        <f>'17) Detail_BEM Sch 250 Elec'!C8</f>
        <v>2845900</v>
      </c>
      <c r="G27" s="2418">
        <f>'17) Detail_BEM Sch 250 Elec'!D8</f>
        <v>65600</v>
      </c>
      <c r="H27" s="2418">
        <f>'17) Detail_BEM Sch 250 Elec'!E8</f>
        <v>1834200</v>
      </c>
      <c r="I27" s="2418">
        <f>'17) Detail_BEM Sch 250 Elec'!F8</f>
        <v>42000</v>
      </c>
      <c r="J27" s="2418">
        <f>'17) Detail_BEM Sch 250 Elec'!G8</f>
        <v>123600</v>
      </c>
      <c r="K27" s="2418">
        <f>'17) Detail_BEM Sch 250 Elec'!H8</f>
        <v>4745400</v>
      </c>
      <c r="L27" s="2418">
        <f>'17) Detail_BEM Sch 250 Elec'!I8</f>
        <v>21300</v>
      </c>
      <c r="M27" s="2418">
        <f>'17) Detail_BEM Sch 250 Elec'!J8</f>
        <v>4800</v>
      </c>
      <c r="N27" s="2418">
        <f>'17) Detail_BEM Sch 250 Elec'!K8</f>
        <v>29419200</v>
      </c>
      <c r="O27" s="2418"/>
      <c r="P27" s="2418">
        <f>'17) Detail_BEM Sch 250 Elec'!L8</f>
        <v>39102000</v>
      </c>
      <c r="Q27" s="2285">
        <f>'17) Detail_BEM Sch 250 Elec'!M8</f>
        <v>138340000</v>
      </c>
    </row>
    <row r="28" spans="2:19" ht="13.8" x14ac:dyDescent="0.3">
      <c r="B28" s="19">
        <v>18</v>
      </c>
      <c r="C28" t="s">
        <v>821</v>
      </c>
      <c r="D28" t="s">
        <v>829</v>
      </c>
      <c r="E28" s="2280">
        <v>18230715</v>
      </c>
      <c r="F28" s="2418">
        <f>'18) Detail_BEM Sch 251 Elec'!C8</f>
        <v>450000</v>
      </c>
      <c r="G28" s="2418">
        <f>'18) Detail_BEM Sch 251 Elec'!D8</f>
        <v>38800</v>
      </c>
      <c r="H28" s="2418">
        <f>'18) Detail_BEM Sch 251 Elec'!E8</f>
        <v>308000</v>
      </c>
      <c r="I28" s="2418">
        <f>'18) Detail_BEM Sch 251 Elec'!F8</f>
        <v>21000</v>
      </c>
      <c r="J28" s="2418">
        <f>'18) Detail_BEM Sch 251 Elec'!G8</f>
        <v>8000</v>
      </c>
      <c r="K28" s="2418">
        <f>'18) Detail_BEM Sch 251 Elec'!H8</f>
        <v>100500</v>
      </c>
      <c r="L28" s="2418">
        <f>'18) Detail_BEM Sch 251 Elec'!I8</f>
        <v>940</v>
      </c>
      <c r="M28" s="2418">
        <f>'18) Detail_BEM Sch 251 Elec'!J8</f>
        <v>1000</v>
      </c>
      <c r="N28" s="2418">
        <f>'18) Detail_BEM Sch 251 Elec'!K8</f>
        <v>3500000</v>
      </c>
      <c r="O28" s="2418"/>
      <c r="P28" s="2418">
        <f>'18) Detail_BEM Sch 251 Elec'!L8</f>
        <v>4428240</v>
      </c>
      <c r="Q28" s="2285">
        <f>'18) Detail_BEM Sch 251 Elec'!M8</f>
        <v>7000000</v>
      </c>
    </row>
    <row r="29" spans="2:19" ht="13.8" x14ac:dyDescent="0.3">
      <c r="B29" s="19">
        <v>19</v>
      </c>
      <c r="C29" t="s">
        <v>822</v>
      </c>
      <c r="D29" t="s">
        <v>830</v>
      </c>
      <c r="E29" s="2280">
        <v>18230723</v>
      </c>
      <c r="F29" s="2418">
        <f>'19) Detail_BEM Sch 253 Elec'!C8</f>
        <v>770600</v>
      </c>
      <c r="G29" s="2418">
        <f>'19) Detail_BEM Sch 253 Elec'!D8</f>
        <v>38800</v>
      </c>
      <c r="H29" s="2418">
        <f>'19) Detail_BEM Sch 253 Elec'!E8</f>
        <v>510000</v>
      </c>
      <c r="I29" s="2418">
        <f>'19) Detail_BEM Sch 253 Elec'!F8</f>
        <v>17500</v>
      </c>
      <c r="J29" s="2418">
        <f>'19) Detail_BEM Sch 253 Elec'!G8</f>
        <v>31000</v>
      </c>
      <c r="K29" s="2418">
        <f>'19) Detail_BEM Sch 253 Elec'!H8</f>
        <v>827200</v>
      </c>
      <c r="L29" s="2418">
        <f>'19) Detail_BEM Sch 253 Elec'!I8</f>
        <v>38700</v>
      </c>
      <c r="M29" s="2418">
        <f>'19) Detail_BEM Sch 253 Elec'!J8</f>
        <v>4000</v>
      </c>
      <c r="N29" s="2418">
        <f>'19) Detail_BEM Sch 253 Elec'!K8</f>
        <v>1695300</v>
      </c>
      <c r="O29" s="2418"/>
      <c r="P29" s="2418">
        <f>'19) Detail_BEM Sch 253 Elec'!L8</f>
        <v>3933100</v>
      </c>
      <c r="Q29" s="2285">
        <f>'19) Detail_BEM Sch 253 Elec'!M8</f>
        <v>38750000</v>
      </c>
    </row>
    <row r="30" spans="2:19" ht="13.8" x14ac:dyDescent="0.3">
      <c r="B30" s="19">
        <v>20</v>
      </c>
      <c r="C30" t="s">
        <v>823</v>
      </c>
      <c r="D30" t="s">
        <v>831</v>
      </c>
      <c r="E30" s="2280">
        <v>18230725</v>
      </c>
      <c r="F30" s="2418">
        <f>'20) Detail_BEM Sch 255 Elec'!C8</f>
        <v>987800</v>
      </c>
      <c r="G30" s="2418">
        <f>'20) Detail_BEM Sch 255 Elec'!D8</f>
        <v>38800</v>
      </c>
      <c r="H30" s="2418">
        <f>'20) Detail_BEM Sch 255 Elec'!E8</f>
        <v>646800</v>
      </c>
      <c r="I30" s="2418">
        <f>'20) Detail_BEM Sch 255 Elec'!F8</f>
        <v>25000</v>
      </c>
      <c r="J30" s="2418">
        <f>'20) Detail_BEM Sch 255 Elec'!G8</f>
        <v>20400</v>
      </c>
      <c r="K30" s="2418">
        <f>'20) Detail_BEM Sch 255 Elec'!H8</f>
        <v>136500</v>
      </c>
      <c r="L30" s="2418">
        <f>'20) Detail_BEM Sch 255 Elec'!I8</f>
        <v>6760</v>
      </c>
      <c r="M30" s="2418">
        <f>'20) Detail_BEM Sch 255 Elec'!J8</f>
        <v>1000</v>
      </c>
      <c r="N30" s="2418">
        <f>'20) Detail_BEM Sch 255 Elec'!K8</f>
        <v>11027500</v>
      </c>
      <c r="O30" s="2418"/>
      <c r="P30" s="2418">
        <f>'20) Detail_BEM Sch 255 Elec'!L8</f>
        <v>12890560</v>
      </c>
      <c r="Q30" s="2285">
        <f>'20) Detail_BEM Sch 255 Elec'!M8</f>
        <v>40100000</v>
      </c>
    </row>
    <row r="31" spans="2:19" ht="13.8" x14ac:dyDescent="0.3">
      <c r="B31" s="19">
        <v>21</v>
      </c>
      <c r="C31" t="s">
        <v>824</v>
      </c>
      <c r="D31" t="s">
        <v>832</v>
      </c>
      <c r="E31" s="1567"/>
      <c r="F31" s="2418">
        <f>'21) Detail_BEM Sch 257 Elec'!B8</f>
        <v>0</v>
      </c>
      <c r="G31" s="2418">
        <f>'21) Detail_BEM Sch 257 Elec'!C8</f>
        <v>0</v>
      </c>
      <c r="H31" s="2418">
        <f>'21) Detail_BEM Sch 257 Elec'!D8</f>
        <v>0</v>
      </c>
      <c r="I31" s="2418">
        <f>'21) Detail_BEM Sch 257 Elec'!E8</f>
        <v>0</v>
      </c>
      <c r="J31" s="2418">
        <f>'21) Detail_BEM Sch 257 Elec'!F8</f>
        <v>0</v>
      </c>
      <c r="K31" s="2418">
        <f>'21) Detail_BEM Sch 257 Elec'!G8</f>
        <v>0</v>
      </c>
      <c r="L31" s="2418">
        <f>'21) Detail_BEM Sch 257 Elec'!H8</f>
        <v>0</v>
      </c>
      <c r="M31" s="2418">
        <f>'21) Detail_BEM Sch 257 Elec'!I8</f>
        <v>0</v>
      </c>
      <c r="N31" s="2418">
        <f>'21) Detail_BEM Sch 257 Elec'!J8</f>
        <v>0</v>
      </c>
      <c r="O31" s="2418"/>
      <c r="P31" s="2418">
        <f>'21) Detail_BEM Sch 257 Elec'!K8</f>
        <v>0</v>
      </c>
      <c r="Q31" s="2285">
        <f>'21) Detail_BEM Sch 257 Elec'!L8</f>
        <v>0</v>
      </c>
    </row>
    <row r="32" spans="2:19" ht="13.8" x14ac:dyDescent="0.3">
      <c r="B32" s="19">
        <v>22</v>
      </c>
      <c r="C32" t="s">
        <v>825</v>
      </c>
      <c r="D32" t="s">
        <v>833</v>
      </c>
      <c r="E32" s="2280">
        <v>18230729</v>
      </c>
      <c r="F32" s="2418">
        <f>'22) Detail_BEM Sch 258 Elec'!C8</f>
        <v>673100</v>
      </c>
      <c r="G32" s="2418">
        <f>'22) Detail_BEM Sch 258 Elec'!D8</f>
        <v>0</v>
      </c>
      <c r="H32" s="2418">
        <f>'22) Detail_BEM Sch 258 Elec'!E8</f>
        <v>424000</v>
      </c>
      <c r="I32" s="2418">
        <f>'22) Detail_BEM Sch 258 Elec'!F8</f>
        <v>0</v>
      </c>
      <c r="J32" s="2418">
        <f>'22) Detail_BEM Sch 258 Elec'!G8</f>
        <v>0</v>
      </c>
      <c r="K32" s="2418">
        <f>'22) Detail_BEM Sch 258 Elec'!H8</f>
        <v>0</v>
      </c>
      <c r="L32" s="2418">
        <f>'22) Detail_BEM Sch 258 Elec'!I8</f>
        <v>0</v>
      </c>
      <c r="M32" s="2418">
        <f>'22) Detail_BEM Sch 258 Elec'!J8</f>
        <v>0</v>
      </c>
      <c r="N32" s="2418">
        <f>'22) Detail_BEM Sch 258 Elec'!K8</f>
        <v>9240000</v>
      </c>
      <c r="O32" s="2418"/>
      <c r="P32" s="2418">
        <f>'22) Detail_BEM Sch 258 Elec'!L8</f>
        <v>10337100</v>
      </c>
      <c r="Q32" s="2285">
        <f>'22) Detail_BEM Sch 258 Elec'!M8</f>
        <v>33000000</v>
      </c>
    </row>
    <row r="33" spans="2:17" ht="13.8" x14ac:dyDescent="0.3">
      <c r="B33" s="19">
        <v>23</v>
      </c>
      <c r="C33" t="s">
        <v>826</v>
      </c>
      <c r="D33" t="s">
        <v>834</v>
      </c>
      <c r="E33" s="2280">
        <v>18230448</v>
      </c>
      <c r="F33" s="2418">
        <f>'23) Detail_BEM Sch 261 Elec'!C8</f>
        <v>9000</v>
      </c>
      <c r="G33" s="2418">
        <f>'23) Detail_BEM Sch 261 Elec'!D8</f>
        <v>0</v>
      </c>
      <c r="H33" s="2418">
        <f>'23) Detail_BEM Sch 261 Elec'!E8</f>
        <v>5600</v>
      </c>
      <c r="I33" s="2418">
        <f>'23) Detail_BEM Sch 261 Elec'!F8</f>
        <v>0</v>
      </c>
      <c r="J33" s="2418">
        <f>'23) Detail_BEM Sch 261 Elec'!G8</f>
        <v>0</v>
      </c>
      <c r="K33" s="2418">
        <f>'23) Detail_BEM Sch 261 Elec'!H8</f>
        <v>0</v>
      </c>
      <c r="L33" s="2418">
        <f>'23) Detail_BEM Sch 261 Elec'!I8</f>
        <v>40000</v>
      </c>
      <c r="M33" s="2418">
        <f>'23) Detail_BEM Sch 261 Elec'!J8</f>
        <v>5800</v>
      </c>
      <c r="N33" s="2418">
        <f>'23) Detail_BEM Sch 261 Elec'!K8</f>
        <v>0</v>
      </c>
      <c r="O33" s="2418"/>
      <c r="P33" s="2418">
        <f>'23) Detail_BEM Sch 261 Elec'!L8</f>
        <v>60400</v>
      </c>
      <c r="Q33" s="2285">
        <f>'23) Detail_BEM Sch 261 Elec'!M8</f>
        <v>0</v>
      </c>
    </row>
    <row r="34" spans="2:17" ht="13.8" x14ac:dyDescent="0.3">
      <c r="B34" s="19">
        <v>24</v>
      </c>
      <c r="C34" t="s">
        <v>827</v>
      </c>
      <c r="D34" t="s">
        <v>835</v>
      </c>
      <c r="E34" s="2280">
        <v>18230449</v>
      </c>
      <c r="F34" s="2418">
        <f>'24) Detail_BEM Sch 262 Elec'!C8</f>
        <v>962200</v>
      </c>
      <c r="G34" s="2418">
        <f>'24) Detail_BEM Sch 262 Elec'!D8</f>
        <v>80200</v>
      </c>
      <c r="H34" s="2418">
        <f>'24) Detail_BEM Sch 262 Elec'!E8</f>
        <v>656800</v>
      </c>
      <c r="I34" s="2418">
        <f>'24) Detail_BEM Sch 262 Elec'!F8</f>
        <v>108000</v>
      </c>
      <c r="J34" s="2418">
        <f>'24) Detail_BEM Sch 262 Elec'!G8</f>
        <v>22800</v>
      </c>
      <c r="K34" s="2418">
        <f>'24) Detail_BEM Sch 262 Elec'!H8</f>
        <v>1023600</v>
      </c>
      <c r="L34" s="2418">
        <f>'24) Detail_BEM Sch 262 Elec'!I8</f>
        <v>17360</v>
      </c>
      <c r="M34" s="2418">
        <f>'24) Detail_BEM Sch 262 Elec'!J8</f>
        <v>3000</v>
      </c>
      <c r="N34" s="2418">
        <f>'24) Detail_BEM Sch 262 Elec'!K8</f>
        <v>6886000</v>
      </c>
      <c r="O34" s="2418"/>
      <c r="P34" s="2418">
        <f>'24) Detail_BEM Sch 262 Elec'!L8</f>
        <v>9759960</v>
      </c>
      <c r="Q34" s="2285">
        <f>'24) Detail_BEM Sch 262 Elec'!M8</f>
        <v>54860000</v>
      </c>
    </row>
    <row r="35" spans="2:17" s="2288" customFormat="1" x14ac:dyDescent="0.25">
      <c r="B35" s="2287"/>
      <c r="D35" s="838" t="s">
        <v>842</v>
      </c>
      <c r="E35" s="2416"/>
      <c r="F35" s="2290">
        <f t="shared" ref="F35:Q35" si="1">SUM(F27:F34)</f>
        <v>6698600</v>
      </c>
      <c r="G35" s="2290">
        <f t="shared" si="1"/>
        <v>262200</v>
      </c>
      <c r="H35" s="2290">
        <f t="shared" si="1"/>
        <v>4385400</v>
      </c>
      <c r="I35" s="2290">
        <f t="shared" si="1"/>
        <v>213500</v>
      </c>
      <c r="J35" s="2290">
        <f t="shared" si="1"/>
        <v>205800</v>
      </c>
      <c r="K35" s="2290">
        <f t="shared" si="1"/>
        <v>6833200</v>
      </c>
      <c r="L35" s="2290">
        <f t="shared" si="1"/>
        <v>125060</v>
      </c>
      <c r="M35" s="2290">
        <f t="shared" si="1"/>
        <v>19600</v>
      </c>
      <c r="N35" s="2290">
        <f t="shared" si="1"/>
        <v>61768000</v>
      </c>
      <c r="O35" s="2290">
        <f t="shared" si="1"/>
        <v>0</v>
      </c>
      <c r="P35" s="2290">
        <f t="shared" si="1"/>
        <v>80511360</v>
      </c>
      <c r="Q35" s="2291">
        <f t="shared" si="1"/>
        <v>312050000</v>
      </c>
    </row>
    <row r="36" spans="2:17" x14ac:dyDescent="0.25">
      <c r="E36" s="2410"/>
      <c r="F36" s="2418"/>
      <c r="G36" s="2418"/>
      <c r="H36" s="2418"/>
      <c r="I36" s="2418"/>
      <c r="J36" s="2418"/>
      <c r="K36" s="2418"/>
      <c r="L36" s="2418"/>
      <c r="M36" s="2418"/>
      <c r="N36" s="2418"/>
      <c r="O36" s="2418"/>
      <c r="P36" s="2418"/>
    </row>
    <row r="37" spans="2:17" x14ac:dyDescent="0.25">
      <c r="C37" t="s">
        <v>844</v>
      </c>
      <c r="E37" s="2410"/>
      <c r="F37" s="2418"/>
      <c r="G37" s="2418"/>
      <c r="H37" s="2418"/>
      <c r="I37" s="2418"/>
      <c r="J37" s="2418"/>
      <c r="K37" s="2418"/>
      <c r="L37" s="2418"/>
      <c r="M37" s="2418"/>
      <c r="N37" s="2418"/>
      <c r="O37" s="2418"/>
      <c r="P37" s="2418"/>
    </row>
    <row r="38" spans="2:17" ht="13.8" x14ac:dyDescent="0.3">
      <c r="C38" t="s">
        <v>847</v>
      </c>
      <c r="D38" t="s">
        <v>845</v>
      </c>
      <c r="E38" s="2677">
        <v>18230421</v>
      </c>
      <c r="F38" s="2418">
        <f>'30) Detail_NEEA elec'!E11</f>
        <v>0</v>
      </c>
      <c r="G38" s="2418">
        <f>'30) Detail_NEEA elec'!F11</f>
        <v>0</v>
      </c>
      <c r="H38" s="2418">
        <f>'30) Detail_NEEA elec'!G11</f>
        <v>0</v>
      </c>
      <c r="I38" s="2418">
        <f>'30) Detail_NEEA elec'!H11</f>
        <v>0</v>
      </c>
      <c r="J38" s="2418">
        <f>'30) Detail_NEEA elec'!I11</f>
        <v>0</v>
      </c>
      <c r="K38" s="2418">
        <f>'30) Detail_NEEA elec'!J11</f>
        <v>10521280</v>
      </c>
      <c r="L38" s="2418">
        <f>'30) Detail_NEEA elec'!K11</f>
        <v>0</v>
      </c>
      <c r="M38" s="2418">
        <f>'30) Detail_NEEA elec'!L11</f>
        <v>0</v>
      </c>
      <c r="N38" s="2418">
        <f>'30) Detail_NEEA elec'!M11</f>
        <v>0</v>
      </c>
      <c r="P38" s="2418">
        <f>'30) Detail_NEEA elec'!N11</f>
        <v>10521280</v>
      </c>
      <c r="Q38" s="2285">
        <f>'30) Detail_NEEA elec'!O11</f>
        <v>38829000</v>
      </c>
    </row>
    <row r="39" spans="2:17" ht="13.8" x14ac:dyDescent="0.3">
      <c r="D39" t="s">
        <v>846</v>
      </c>
      <c r="E39" s="2677" t="s">
        <v>105</v>
      </c>
      <c r="F39" s="2418">
        <f>'31) Detail_T&amp;D elec'!C8</f>
        <v>382200</v>
      </c>
      <c r="G39" s="2418">
        <f>'31) Detail_T&amp;D elec'!D8</f>
        <v>0</v>
      </c>
      <c r="H39" s="2418">
        <f>'31) Detail_T&amp;D elec'!E8</f>
        <v>240800</v>
      </c>
      <c r="I39" s="2418">
        <f>'31) Detail_T&amp;D elec'!F8</f>
        <v>0</v>
      </c>
      <c r="J39" s="2418">
        <f>'31) Detail_T&amp;D elec'!G8</f>
        <v>0</v>
      </c>
      <c r="K39" s="2418">
        <f>'31) Detail_T&amp;D elec'!H8</f>
        <v>0</v>
      </c>
      <c r="L39" s="2418">
        <f>'31) Detail_T&amp;D elec'!I8</f>
        <v>0</v>
      </c>
      <c r="M39" s="2418">
        <f>'31) Detail_T&amp;D elec'!J8</f>
        <v>0</v>
      </c>
      <c r="N39" s="2418">
        <f>'31) Detail_T&amp;D elec'!K8</f>
        <v>0</v>
      </c>
      <c r="P39" s="2418">
        <f>'31) Detail_T&amp;D elec'!L8</f>
        <v>623000</v>
      </c>
      <c r="Q39" s="2285">
        <f>'31) Detail_T&amp;D elec'!M8</f>
        <v>16157000</v>
      </c>
    </row>
    <row r="40" spans="2:17" x14ac:dyDescent="0.25">
      <c r="D40" s="838" t="s">
        <v>848</v>
      </c>
      <c r="E40" s="2410"/>
      <c r="F40" s="2290">
        <f t="shared" ref="F40:O40" si="2">SUM(F38:F39)</f>
        <v>382200</v>
      </c>
      <c r="G40" s="2290">
        <f t="shared" si="2"/>
        <v>0</v>
      </c>
      <c r="H40" s="2290">
        <f t="shared" si="2"/>
        <v>240800</v>
      </c>
      <c r="I40" s="2290">
        <f t="shared" si="2"/>
        <v>0</v>
      </c>
      <c r="J40" s="2290">
        <f t="shared" si="2"/>
        <v>0</v>
      </c>
      <c r="K40" s="2290">
        <f t="shared" si="2"/>
        <v>10521280</v>
      </c>
      <c r="L40" s="2290">
        <f t="shared" si="2"/>
        <v>0</v>
      </c>
      <c r="M40" s="2290">
        <f t="shared" si="2"/>
        <v>0</v>
      </c>
      <c r="N40" s="2290">
        <f t="shared" si="2"/>
        <v>0</v>
      </c>
      <c r="O40" s="2290">
        <f t="shared" si="2"/>
        <v>0</v>
      </c>
      <c r="P40" s="2290">
        <f>SUM(P38:P39)</f>
        <v>11144280</v>
      </c>
      <c r="Q40" s="2291">
        <f>SUM(Q38:Q39)</f>
        <v>54986000</v>
      </c>
    </row>
    <row r="41" spans="2:17" x14ac:dyDescent="0.25">
      <c r="E41" s="2410"/>
      <c r="F41" s="2418"/>
      <c r="G41" s="2418"/>
      <c r="H41" s="2418"/>
      <c r="I41" s="2418"/>
      <c r="J41" s="2418"/>
      <c r="K41" s="2418"/>
      <c r="L41" s="2418"/>
      <c r="M41" s="2418"/>
      <c r="N41" s="2418"/>
      <c r="O41" s="2418"/>
      <c r="P41" s="2418"/>
    </row>
    <row r="42" spans="2:17" x14ac:dyDescent="0.25">
      <c r="C42" t="s">
        <v>849</v>
      </c>
      <c r="E42" s="2410"/>
      <c r="F42" s="2418"/>
      <c r="G42" s="2418"/>
      <c r="H42" s="2418"/>
      <c r="I42" s="2418"/>
      <c r="J42" s="2418"/>
      <c r="K42" s="2418"/>
      <c r="L42" s="2418"/>
      <c r="M42" s="2418"/>
      <c r="N42" s="2418"/>
      <c r="O42" s="2418"/>
      <c r="P42" s="2418"/>
    </row>
    <row r="43" spans="2:17" x14ac:dyDescent="0.25">
      <c r="B43" s="19">
        <v>32</v>
      </c>
      <c r="C43" s="3369" t="s">
        <v>1212</v>
      </c>
      <c r="D43" t="s">
        <v>850</v>
      </c>
      <c r="E43" s="1568"/>
      <c r="F43" s="2418"/>
      <c r="G43" s="2418"/>
      <c r="H43" s="2418"/>
      <c r="I43" s="2418"/>
      <c r="J43" s="2418"/>
      <c r="K43" s="2418"/>
      <c r="L43" s="2418"/>
      <c r="M43" s="2418"/>
      <c r="N43" s="2418"/>
      <c r="O43" s="2418"/>
      <c r="P43" s="2418"/>
    </row>
    <row r="44" spans="2:17" ht="13.8" x14ac:dyDescent="0.3">
      <c r="B44" s="19" t="s">
        <v>926</v>
      </c>
      <c r="D44" t="s">
        <v>851</v>
      </c>
      <c r="E44" s="2280">
        <v>18230610</v>
      </c>
      <c r="F44" s="2418">
        <f>'32a) Detail_PSCE_EAs Elec'!G7</f>
        <v>1204279.44</v>
      </c>
      <c r="G44" s="2418">
        <f>'32a) Detail_PSCE_EAs Elec'!H7</f>
        <v>0</v>
      </c>
      <c r="H44" s="2418">
        <f>'32a) Detail_PSCE_EAs Elec'!I7</f>
        <v>758696.04719999991</v>
      </c>
      <c r="I44" s="2418">
        <f>'32a) Detail_PSCE_EAs Elec'!J7</f>
        <v>0</v>
      </c>
      <c r="J44" s="2418">
        <f>'32a) Detail_PSCE_EAs Elec'!K7</f>
        <v>58291.4</v>
      </c>
      <c r="K44" s="2418">
        <f>'32a) Detail_PSCE_EAs Elec'!L7</f>
        <v>42108</v>
      </c>
      <c r="L44" s="2418">
        <f>'32a) Detail_PSCE_EAs Elec'!M7</f>
        <v>10440</v>
      </c>
      <c r="M44" s="2418">
        <f>'32a) Detail_PSCE_EAs Elec'!N7</f>
        <v>0</v>
      </c>
      <c r="N44" s="2418">
        <f>'32a) Detail_PSCE_EAs Elec'!O7</f>
        <v>0</v>
      </c>
      <c r="O44" s="2418">
        <f>'32a) Detail_PSCE_EAs Elec'!P7</f>
        <v>0</v>
      </c>
      <c r="P44" s="2418">
        <f>'32a) Detail_PSCE_EAs Elec'!Q7+'32a) Detail_PSCE_EAs Elec'!Q8</f>
        <v>2073814.8871999998</v>
      </c>
      <c r="Q44" s="2418"/>
    </row>
    <row r="45" spans="2:17" ht="13.8" x14ac:dyDescent="0.3">
      <c r="B45" s="19" t="s">
        <v>927</v>
      </c>
      <c r="D45" t="s">
        <v>852</v>
      </c>
      <c r="E45" s="2280">
        <v>18230602</v>
      </c>
      <c r="F45" s="2418">
        <f>'32b) Detail_PSCE_Events Elec'!G7</f>
        <v>347335.13</v>
      </c>
      <c r="G45" s="2418">
        <f>'32b) Detail_PSCE_Events Elec'!H7</f>
        <v>0</v>
      </c>
      <c r="H45" s="2418">
        <f>'32b) Detail_PSCE_Events Elec'!I7</f>
        <v>218821.13189999998</v>
      </c>
      <c r="I45" s="2418">
        <f>'32b) Detail_PSCE_Events Elec'!J7</f>
        <v>22649.599999999999</v>
      </c>
      <c r="J45" s="2418">
        <f>'32b) Detail_PSCE_Events Elec'!K7</f>
        <v>4891.16</v>
      </c>
      <c r="K45" s="2418">
        <f>'32b) Detail_PSCE_Events Elec'!L7</f>
        <v>224237.8</v>
      </c>
      <c r="L45" s="2418">
        <f>'32b) Detail_PSCE_Events Elec'!M7</f>
        <v>15208</v>
      </c>
      <c r="M45" s="2418">
        <f>'32b) Detail_PSCE_Events Elec'!N7</f>
        <v>7740</v>
      </c>
      <c r="N45" s="2418">
        <f>'32b) Detail_PSCE_Events Elec'!O7</f>
        <v>0</v>
      </c>
      <c r="O45" s="2418">
        <f>'32b) Detail_PSCE_Events Elec'!P7</f>
        <v>0</v>
      </c>
      <c r="P45" s="2418">
        <f>'32b) Detail_PSCE_Events Elec'!Q7+'32b) Detail_PSCE_Events Elec'!Q8</f>
        <v>840882.82189999998</v>
      </c>
    </row>
    <row r="46" spans="2:17" ht="13.8" x14ac:dyDescent="0.3">
      <c r="B46" s="19" t="s">
        <v>928</v>
      </c>
      <c r="D46" t="s">
        <v>853</v>
      </c>
      <c r="E46" s="2280">
        <v>18230482</v>
      </c>
      <c r="F46" s="2418">
        <f>'32c) Detail_PSCE_Broch Elec'!G7</f>
        <v>0</v>
      </c>
      <c r="G46" s="2418">
        <f>'32c) Detail_PSCE_Broch Elec'!H7</f>
        <v>0</v>
      </c>
      <c r="H46" s="2418">
        <f>'32c) Detail_PSCE_Broch Elec'!I7</f>
        <v>0</v>
      </c>
      <c r="I46" s="2418">
        <f>'32c) Detail_PSCE_Broch Elec'!J7</f>
        <v>54560</v>
      </c>
      <c r="J46" s="2418">
        <f>'32c) Detail_PSCE_Broch Elec'!K7</f>
        <v>0</v>
      </c>
      <c r="K46" s="2418">
        <f>'32c) Detail_PSCE_Broch Elec'!L7</f>
        <v>4350</v>
      </c>
      <c r="L46" s="2418">
        <f>'32c) Detail_PSCE_Broch Elec'!M7</f>
        <v>49590</v>
      </c>
      <c r="M46" s="2418">
        <f>'32c) Detail_PSCE_Broch Elec'!N7</f>
        <v>0</v>
      </c>
      <c r="N46" s="2418">
        <f>'32c) Detail_PSCE_Broch Elec'!O7</f>
        <v>0</v>
      </c>
      <c r="O46" s="2418">
        <f>'32c) Detail_PSCE_Broch Elec'!P7</f>
        <v>0</v>
      </c>
      <c r="P46" s="2418">
        <f>'32c) Detail_PSCE_Broch Elec'!Q7+'32c) Detail_PSCE_Broch Elec'!Q8</f>
        <v>108500</v>
      </c>
    </row>
    <row r="47" spans="2:17" ht="13.8" x14ac:dyDescent="0.3">
      <c r="B47" s="19" t="s">
        <v>929</v>
      </c>
      <c r="D47" t="s">
        <v>854</v>
      </c>
      <c r="E47" s="2280">
        <v>18230621</v>
      </c>
      <c r="F47" s="2418">
        <f>'32d) Detail_PSCE_Edu Elec'!G7</f>
        <v>110557.84</v>
      </c>
      <c r="G47" s="2418">
        <f>'32d) Detail_PSCE_Edu Elec'!H7</f>
        <v>0</v>
      </c>
      <c r="H47" s="2418">
        <f>'32d) Detail_PSCE_Edu Elec'!I7</f>
        <v>69651.439199999993</v>
      </c>
      <c r="I47" s="2418">
        <f>'32d) Detail_PSCE_Edu Elec'!J7</f>
        <v>0</v>
      </c>
      <c r="J47" s="2418">
        <f>'32d) Detail_PSCE_Edu Elec'!K7</f>
        <v>1680</v>
      </c>
      <c r="K47" s="2418">
        <f>'32d) Detail_PSCE_Edu Elec'!L7</f>
        <v>61300</v>
      </c>
      <c r="L47" s="2418">
        <f>'32d) Detail_PSCE_Edu Elec'!M7</f>
        <v>17800</v>
      </c>
      <c r="M47" s="2418">
        <f>'32d) Detail_PSCE_Edu Elec'!N7</f>
        <v>0</v>
      </c>
      <c r="N47" s="2418">
        <f>'32d) Detail_PSCE_Edu Elec'!O7</f>
        <v>0</v>
      </c>
      <c r="O47" s="2418">
        <f>'32d) Detail_PSCE_Edu Elec'!P7</f>
        <v>0</v>
      </c>
      <c r="P47" s="2418">
        <f>'32d) Detail_PSCE_Edu Elec'!Q7</f>
        <v>260989.27919999999</v>
      </c>
    </row>
    <row r="48" spans="2:17" ht="13.8" x14ac:dyDescent="0.3">
      <c r="B48" s="19">
        <v>33</v>
      </c>
      <c r="C48" s="3369" t="s">
        <v>1212</v>
      </c>
      <c r="D48" t="s">
        <v>855</v>
      </c>
      <c r="E48" s="1567"/>
      <c r="F48" s="2418"/>
      <c r="G48" s="2418"/>
      <c r="H48" s="2418"/>
      <c r="I48" s="2418"/>
      <c r="J48" s="2418"/>
      <c r="K48" s="2418"/>
      <c r="L48" s="2418"/>
      <c r="M48" s="2418"/>
      <c r="N48" s="2418"/>
      <c r="O48" s="2418"/>
      <c r="P48" s="2418"/>
    </row>
    <row r="49" spans="2:17" ht="13.8" x14ac:dyDescent="0.3">
      <c r="B49" s="19" t="s">
        <v>930</v>
      </c>
      <c r="D49" t="s">
        <v>856</v>
      </c>
      <c r="E49" s="2280">
        <v>18230408</v>
      </c>
      <c r="F49" s="2418">
        <f>'33a) Detail_PSWE_Main Grn Elec'!E11</f>
        <v>0</v>
      </c>
      <c r="G49" s="2418">
        <f>'33a) Detail_PSWE_Main Grn Elec'!F11</f>
        <v>0</v>
      </c>
      <c r="H49" s="2418">
        <f>'33a) Detail_PSWE_Main Grn Elec'!G11</f>
        <v>0</v>
      </c>
      <c r="I49" s="2418">
        <f>'33a) Detail_PSWE_Main Grn Elec'!H11</f>
        <v>0</v>
      </c>
      <c r="J49" s="2418">
        <f>'33a) Detail_PSWE_Main Grn Elec'!I11</f>
        <v>0</v>
      </c>
      <c r="K49" s="2418">
        <f>'33a) Detail_PSWE_Main Grn Elec'!J11</f>
        <v>1268420</v>
      </c>
      <c r="L49" s="2418">
        <f>'33a) Detail_PSWE_Main Grn Elec'!K11</f>
        <v>0</v>
      </c>
      <c r="M49" s="2418">
        <f>'33a) Detail_PSWE_Main Grn Elec'!L11</f>
        <v>0</v>
      </c>
      <c r="N49" s="2418">
        <f>'33a) Detail_PSWE_Main Grn Elec'!M11</f>
        <v>0</v>
      </c>
      <c r="O49" s="2418"/>
      <c r="P49" s="2418">
        <f>'33a) Detail_PSWE_Main Grn Elec'!N11</f>
        <v>1268420</v>
      </c>
    </row>
    <row r="50" spans="2:17" ht="13.8" x14ac:dyDescent="0.3">
      <c r="B50" s="19" t="s">
        <v>931</v>
      </c>
      <c r="D50" t="s">
        <v>857</v>
      </c>
      <c r="E50" s="2280">
        <v>18230466</v>
      </c>
      <c r="F50" s="2418">
        <f>'33b) Detail_PSWE_Mkt Int Elec'!E11</f>
        <v>317898</v>
      </c>
      <c r="G50" s="2418">
        <f>'33b) Detail_PSWE_Mkt Int Elec'!F11</f>
        <v>0</v>
      </c>
      <c r="H50" s="2418">
        <f>'33b) Detail_PSWE_Mkt Int Elec'!G11</f>
        <v>200275.74</v>
      </c>
      <c r="I50" s="2418">
        <f>'33b) Detail_PSWE_Mkt Int Elec'!H11</f>
        <v>0</v>
      </c>
      <c r="J50" s="2418">
        <f>'33b) Detail_PSWE_Mkt Int Elec'!I11</f>
        <v>34800</v>
      </c>
      <c r="K50" s="2418">
        <f>'33b) Detail_PSWE_Mkt Int Elec'!J11</f>
        <v>147900</v>
      </c>
      <c r="L50" s="2418">
        <f>'33b) Detail_PSWE_Mkt Int Elec'!K11</f>
        <v>0</v>
      </c>
      <c r="M50" s="2418">
        <f>'33b) Detail_PSWE_Mkt Int Elec'!L11</f>
        <v>0</v>
      </c>
      <c r="N50" s="2418">
        <f>'33b) Detail_PSWE_Mkt Int Elec'!M11</f>
        <v>0</v>
      </c>
      <c r="O50" s="2418"/>
      <c r="P50" s="2418">
        <f>'33b) Detail_PSWE_Mkt Int Elec'!N11</f>
        <v>700873.74</v>
      </c>
    </row>
    <row r="51" spans="2:17" ht="13.8" x14ac:dyDescent="0.3">
      <c r="B51" s="19">
        <v>34</v>
      </c>
      <c r="D51" t="s">
        <v>80</v>
      </c>
      <c r="E51" s="2280">
        <v>18230811</v>
      </c>
      <c r="F51" s="2418">
        <f>'34) Detail_PS_EE Comm Elec'!E11</f>
        <v>338694</v>
      </c>
      <c r="G51" s="2418">
        <f>'34) Detail_PS_EE Comm Elec'!F11</f>
        <v>0</v>
      </c>
      <c r="H51" s="2418">
        <f>'34) Detail_PS_EE Comm Elec'!G11</f>
        <v>213377.22</v>
      </c>
      <c r="I51" s="2418">
        <f>'34) Detail_PS_EE Comm Elec'!H11</f>
        <v>0</v>
      </c>
      <c r="J51" s="2418">
        <f>'34) Detail_PS_EE Comm Elec'!I11</f>
        <v>13920</v>
      </c>
      <c r="K51" s="2418">
        <f>'34) Detail_PS_EE Comm Elec'!J11</f>
        <v>11310</v>
      </c>
      <c r="L51" s="2418">
        <f>'34) Detail_PS_EE Comm Elec'!K11</f>
        <v>0</v>
      </c>
      <c r="M51" s="2418">
        <f>'34) Detail_PS_EE Comm Elec'!L11</f>
        <v>0</v>
      </c>
      <c r="N51" s="2418">
        <f>'34) Detail_PS_EE Comm Elec'!M11</f>
        <v>0</v>
      </c>
      <c r="O51" s="2418"/>
      <c r="P51" s="2418">
        <f>'34) Detail_PS_EE Comm Elec'!N11</f>
        <v>577301.22</v>
      </c>
    </row>
    <row r="52" spans="2:17" ht="13.8" x14ac:dyDescent="0.3">
      <c r="B52" s="19">
        <v>35</v>
      </c>
      <c r="D52" s="55" t="s">
        <v>858</v>
      </c>
      <c r="E52" s="2280">
        <v>18230730</v>
      </c>
      <c r="F52" s="2418">
        <f>'35) Detail_PS_ Trade Ally Elec'!E11</f>
        <v>0</v>
      </c>
      <c r="G52" s="2418">
        <f>'35) Detail_PS_ Trade Ally Elec'!F11</f>
        <v>0</v>
      </c>
      <c r="H52" s="2418">
        <f>'35) Detail_PS_ Trade Ally Elec'!G11</f>
        <v>0</v>
      </c>
      <c r="I52" s="2418">
        <f>'35) Detail_PS_ Trade Ally Elec'!H11</f>
        <v>0</v>
      </c>
      <c r="J52" s="2418">
        <f>'35) Detail_PS_ Trade Ally Elec'!I11</f>
        <v>0</v>
      </c>
      <c r="K52" s="2418">
        <f>'35) Detail_PS_ Trade Ally Elec'!J11</f>
        <v>0</v>
      </c>
      <c r="L52" s="2418">
        <f>'35) Detail_PS_ Trade Ally Elec'!K11</f>
        <v>0</v>
      </c>
      <c r="M52" s="2418">
        <f>'35) Detail_PS_ Trade Ally Elec'!L11</f>
        <v>92600</v>
      </c>
      <c r="N52" s="2418">
        <f>'35) Detail_PS_ Trade Ally Elec'!M11</f>
        <v>0</v>
      </c>
      <c r="P52" s="2418">
        <f>'35) Detail_PS_ Trade Ally Elec'!N11</f>
        <v>92600</v>
      </c>
    </row>
    <row r="53" spans="2:17" ht="13.8" x14ac:dyDescent="0.3">
      <c r="B53" s="19">
        <v>36</v>
      </c>
      <c r="D53" t="s">
        <v>119</v>
      </c>
      <c r="E53" s="2280" t="s">
        <v>105</v>
      </c>
      <c r="F53" s="2418">
        <f>'36) Detail_PS_Mktg Resch Elec'!E11</f>
        <v>385191</v>
      </c>
      <c r="G53" s="2418">
        <f>'36) Detail_PS_Mktg Resch Elec'!F11</f>
        <v>0</v>
      </c>
      <c r="H53" s="2418">
        <f>'36) Detail_PS_Mktg Resch Elec'!G11</f>
        <v>242670.33000000002</v>
      </c>
      <c r="I53" s="2418">
        <f>'36) Detail_PS_Mktg Resch Elec'!H11</f>
        <v>0</v>
      </c>
      <c r="J53" s="2418">
        <f>'36) Detail_PS_Mktg Resch Elec'!I11</f>
        <v>6525</v>
      </c>
      <c r="K53" s="2418">
        <f>'36) Detail_PS_Mktg Resch Elec'!J11</f>
        <v>587250</v>
      </c>
      <c r="L53" s="2418">
        <f>'36) Detail_PS_Mktg Resch Elec'!K11</f>
        <v>2700</v>
      </c>
      <c r="M53" s="2418">
        <f>'36) Detail_PS_Mktg Resch Elec'!L11</f>
        <v>2000</v>
      </c>
      <c r="N53" s="2418">
        <f>'36) Detail_PS_Mktg Resch Elec'!M11</f>
        <v>0</v>
      </c>
      <c r="O53" s="2418"/>
      <c r="P53" s="2418">
        <f>'36) Detail_PS_Mktg Resch Elec'!N11</f>
        <v>1226336.33</v>
      </c>
    </row>
    <row r="54" spans="2:17" s="2288" customFormat="1" ht="13.8" x14ac:dyDescent="0.3">
      <c r="B54" s="2287"/>
      <c r="D54" s="838" t="s">
        <v>859</v>
      </c>
      <c r="E54" s="2292"/>
      <c r="F54" s="2290">
        <f>SUM(F44:F53)</f>
        <v>2703955.41</v>
      </c>
      <c r="G54" s="2290">
        <f t="shared" ref="G54:P54" si="3">SUM(G44:G53)</f>
        <v>0</v>
      </c>
      <c r="H54" s="2290">
        <f t="shared" si="3"/>
        <v>1703491.9083</v>
      </c>
      <c r="I54" s="2290">
        <f t="shared" si="3"/>
        <v>77209.600000000006</v>
      </c>
      <c r="J54" s="2290">
        <f t="shared" si="3"/>
        <v>120107.56</v>
      </c>
      <c r="K54" s="2290">
        <f t="shared" si="3"/>
        <v>2346875.7999999998</v>
      </c>
      <c r="L54" s="2290">
        <f t="shared" si="3"/>
        <v>95738</v>
      </c>
      <c r="M54" s="2290">
        <f t="shared" si="3"/>
        <v>102340</v>
      </c>
      <c r="N54" s="2290">
        <f t="shared" si="3"/>
        <v>0</v>
      </c>
      <c r="O54" s="2290">
        <f t="shared" si="3"/>
        <v>0</v>
      </c>
      <c r="P54" s="2290">
        <f t="shared" si="3"/>
        <v>7149718.2782999994</v>
      </c>
      <c r="Q54" s="2291"/>
    </row>
    <row r="55" spans="2:17" ht="13.8" x14ac:dyDescent="0.3">
      <c r="E55" s="2280"/>
      <c r="F55" s="2418"/>
      <c r="G55" s="2418"/>
      <c r="H55" s="2418"/>
      <c r="I55" s="2418"/>
      <c r="J55" s="2418"/>
      <c r="K55" s="2418"/>
      <c r="L55" s="2418"/>
      <c r="M55" s="2418"/>
      <c r="N55" s="2418"/>
      <c r="O55" s="2418"/>
      <c r="P55" s="2418"/>
    </row>
    <row r="56" spans="2:17" ht="13.8" x14ac:dyDescent="0.3">
      <c r="C56" t="s">
        <v>860</v>
      </c>
      <c r="E56" s="2280"/>
      <c r="F56" s="2418"/>
      <c r="G56" s="2418"/>
      <c r="H56" s="2418"/>
      <c r="I56" s="2418"/>
      <c r="J56" s="2418"/>
      <c r="K56" s="2418"/>
      <c r="L56" s="2418"/>
      <c r="M56" s="2418"/>
      <c r="N56" s="2418"/>
      <c r="O56" s="2418"/>
      <c r="P56" s="2418"/>
    </row>
    <row r="57" spans="2:17" ht="13.8" x14ac:dyDescent="0.3">
      <c r="B57" s="19">
        <v>42</v>
      </c>
      <c r="D57" t="s">
        <v>85</v>
      </c>
      <c r="E57" s="2280">
        <v>18230809</v>
      </c>
      <c r="F57" s="2418">
        <f>'42) Detail_R&amp;C_Supp Crv Elec'!E11</f>
        <v>226954</v>
      </c>
      <c r="G57" s="2418">
        <f>'42) Detail_R&amp;C_Supp Crv Elec'!F11</f>
        <v>0</v>
      </c>
      <c r="H57" s="2418">
        <f>'42) Detail_R&amp;C_Supp Crv Elec'!G11</f>
        <v>142981.02000000002</v>
      </c>
      <c r="I57" s="2418">
        <f>'42) Detail_R&amp;C_Supp Crv Elec'!H11</f>
        <v>0</v>
      </c>
      <c r="J57" s="2418">
        <f>'42) Detail_R&amp;C_Supp Crv Elec'!I11</f>
        <v>4350</v>
      </c>
      <c r="K57" s="2418">
        <f>'42) Detail_R&amp;C_Supp Crv Elec'!J11</f>
        <v>295800</v>
      </c>
      <c r="L57" s="2418">
        <f>'42) Detail_R&amp;C_Supp Crv Elec'!K11</f>
        <v>0</v>
      </c>
      <c r="M57" s="2418">
        <f>'42) Detail_R&amp;C_Supp Crv Elec'!L11</f>
        <v>0</v>
      </c>
      <c r="N57" s="2418">
        <f>'42) Detail_R&amp;C_Supp Crv Elec'!M11</f>
        <v>0</v>
      </c>
      <c r="O57" s="2418"/>
      <c r="P57" s="2418">
        <f>'42) Detail_R&amp;C_Supp Crv Elec'!N11</f>
        <v>670085.02</v>
      </c>
    </row>
    <row r="58" spans="2:17" ht="13.8" x14ac:dyDescent="0.3">
      <c r="B58" s="19">
        <v>43</v>
      </c>
      <c r="D58" t="s">
        <v>120</v>
      </c>
      <c r="E58" s="2280">
        <v>18230437</v>
      </c>
      <c r="F58" s="2418">
        <f>'43) Detail_R&amp;C_Strat Pln Elec'!E11</f>
        <v>288893</v>
      </c>
      <c r="G58" s="2418">
        <f>'43) Detail_R&amp;C_Strat Pln Elec'!F11</f>
        <v>0</v>
      </c>
      <c r="H58" s="2418">
        <f>'43) Detail_R&amp;C_Strat Pln Elec'!G11</f>
        <v>182002.59</v>
      </c>
      <c r="I58" s="2418">
        <f>'43) Detail_R&amp;C_Strat Pln Elec'!H11</f>
        <v>0</v>
      </c>
      <c r="J58" s="2418">
        <f>'43) Detail_R&amp;C_Strat Pln Elec'!I11</f>
        <v>6090</v>
      </c>
      <c r="K58" s="2418">
        <f>'43) Detail_R&amp;C_Strat Pln Elec'!J11</f>
        <v>113100</v>
      </c>
      <c r="L58" s="2418">
        <f>'43) Detail_R&amp;C_Strat Pln Elec'!K11</f>
        <v>2610</v>
      </c>
      <c r="M58" s="2418">
        <f>'43) Detail_R&amp;C_Strat Pln Elec'!L11</f>
        <v>1740</v>
      </c>
      <c r="N58" s="2418">
        <f>'43) Detail_R&amp;C_Strat Pln Elec'!M11</f>
        <v>0</v>
      </c>
      <c r="O58" s="2418"/>
      <c r="P58" s="2418">
        <f>'43) Detail_R&amp;C_Strat Pln Elec'!N11</f>
        <v>594435.59</v>
      </c>
    </row>
    <row r="59" spans="2:17" ht="13.8" x14ac:dyDescent="0.3">
      <c r="B59" s="19">
        <v>44</v>
      </c>
      <c r="D59" t="s">
        <v>88</v>
      </c>
      <c r="E59" s="2280">
        <v>18230802</v>
      </c>
      <c r="F59" s="2418">
        <f>'44) Detail_R&amp;C_Eval Elec'!E11</f>
        <v>455250</v>
      </c>
      <c r="G59" s="2418">
        <f>'44) Detail_R&amp;C_Eval Elec'!F11</f>
        <v>0</v>
      </c>
      <c r="H59" s="2418">
        <f>'44) Detail_R&amp;C_Eval Elec'!G11</f>
        <v>286807.5</v>
      </c>
      <c r="I59" s="2418">
        <f>'44) Detail_R&amp;C_Eval Elec'!H11</f>
        <v>0</v>
      </c>
      <c r="J59" s="2418">
        <f>'44) Detail_R&amp;C_Eval Elec'!I11</f>
        <v>33700</v>
      </c>
      <c r="K59" s="2418">
        <f>'44) Detail_R&amp;C_Eval Elec'!J11</f>
        <v>2480000</v>
      </c>
      <c r="L59" s="2418">
        <f>'44) Detail_R&amp;C_Eval Elec'!K11</f>
        <v>0</v>
      </c>
      <c r="M59" s="2418">
        <f>'44) Detail_R&amp;C_Eval Elec'!L11</f>
        <v>520000</v>
      </c>
      <c r="N59" s="2418">
        <f>'44) Detail_R&amp;C_Eval Elec'!M11</f>
        <v>0</v>
      </c>
      <c r="O59" s="2418"/>
      <c r="P59" s="2418">
        <f>'44) Detail_R&amp;C_Eval Elec'!N11</f>
        <v>3775757.5</v>
      </c>
    </row>
    <row r="60" spans="2:17" ht="13.8" x14ac:dyDescent="0.3">
      <c r="B60" s="19">
        <v>45</v>
      </c>
      <c r="D60" s="55" t="s">
        <v>861</v>
      </c>
      <c r="E60" s="3953">
        <v>18230810</v>
      </c>
      <c r="F60" s="2418">
        <f>'45) Detail_R&amp;C_Support Elec'!E11</f>
        <v>444000</v>
      </c>
      <c r="G60" s="2418">
        <f>'45) Detail_R&amp;C_Support Elec'!F11</f>
        <v>0</v>
      </c>
      <c r="H60" s="2418">
        <f>'45) Detail_R&amp;C_Support Elec'!G11</f>
        <v>279720</v>
      </c>
      <c r="I60" s="2418">
        <f>'45) Detail_R&amp;C_Support Elec'!H11</f>
        <v>0</v>
      </c>
      <c r="J60" s="2418">
        <f>'45) Detail_R&amp;C_Support Elec'!I11</f>
        <v>10000</v>
      </c>
      <c r="K60" s="2418">
        <f>'45) Detail_R&amp;C_Support Elec'!J11</f>
        <v>30000</v>
      </c>
      <c r="L60" s="2418">
        <f>'45) Detail_R&amp;C_Support Elec'!K11</f>
        <v>0</v>
      </c>
      <c r="M60" s="2418">
        <f>'45) Detail_R&amp;C_Support Elec'!L11</f>
        <v>0</v>
      </c>
      <c r="N60" s="2418">
        <f>'45) Detail_R&amp;C_Support Elec'!M11</f>
        <v>0</v>
      </c>
      <c r="P60" s="2418">
        <f>'45) Detail_R&amp;C_Support Elec'!N11</f>
        <v>763720</v>
      </c>
    </row>
    <row r="61" spans="2:17" s="2288" customFormat="1" ht="13.8" x14ac:dyDescent="0.3">
      <c r="B61" s="2287"/>
      <c r="D61" s="838" t="s">
        <v>862</v>
      </c>
      <c r="E61" s="2292"/>
      <c r="F61" s="2290">
        <f>SUM(F57:F60)</f>
        <v>1415097</v>
      </c>
      <c r="G61" s="2290">
        <f t="shared" ref="G61:O61" si="4">SUM(G57:G60)</f>
        <v>0</v>
      </c>
      <c r="H61" s="2290">
        <f>SUM(H57:H60)</f>
        <v>891511.11</v>
      </c>
      <c r="I61" s="2290">
        <f t="shared" si="4"/>
        <v>0</v>
      </c>
      <c r="J61" s="2290">
        <f t="shared" si="4"/>
        <v>54140</v>
      </c>
      <c r="K61" s="2290">
        <f t="shared" si="4"/>
        <v>2918900</v>
      </c>
      <c r="L61" s="2290">
        <f t="shared" si="4"/>
        <v>2610</v>
      </c>
      <c r="M61" s="2290">
        <f t="shared" si="4"/>
        <v>521740</v>
      </c>
      <c r="N61" s="2290">
        <f t="shared" si="4"/>
        <v>0</v>
      </c>
      <c r="O61" s="2290">
        <f t="shared" si="4"/>
        <v>0</v>
      </c>
      <c r="P61" s="2290">
        <f>SUM(P57:P60)</f>
        <v>5803998.1099999994</v>
      </c>
      <c r="Q61" s="2291"/>
    </row>
    <row r="62" spans="2:17" ht="13.8" x14ac:dyDescent="0.3">
      <c r="E62" s="2280"/>
      <c r="F62" s="2418"/>
      <c r="G62" s="2418"/>
      <c r="H62" s="2418"/>
      <c r="I62" s="2418"/>
      <c r="J62" s="2418"/>
      <c r="K62" s="2418"/>
      <c r="L62" s="2418"/>
      <c r="M62" s="2418"/>
      <c r="N62" s="2418"/>
      <c r="O62" s="2418"/>
      <c r="P62" s="2418"/>
    </row>
    <row r="63" spans="2:17" ht="13.8" x14ac:dyDescent="0.3">
      <c r="C63" t="s">
        <v>863</v>
      </c>
      <c r="E63" s="2280"/>
      <c r="F63" s="2418"/>
      <c r="G63" s="2418"/>
      <c r="H63" s="2418"/>
      <c r="I63" s="2418"/>
      <c r="J63" s="2418"/>
      <c r="K63" s="2418"/>
      <c r="L63" s="2418"/>
      <c r="M63" s="2418"/>
      <c r="N63" s="2418"/>
      <c r="O63" s="2418"/>
      <c r="P63" s="2418"/>
    </row>
    <row r="64" spans="2:17" ht="13.8" x14ac:dyDescent="0.3">
      <c r="B64" s="19">
        <v>50</v>
      </c>
      <c r="D64" t="s">
        <v>3</v>
      </c>
      <c r="E64" s="2280">
        <v>18230128</v>
      </c>
      <c r="F64" s="2418">
        <f>'50) Details_Oth Elec_Net Mtr'!E12</f>
        <v>391690</v>
      </c>
      <c r="G64" s="2418">
        <f>'50) Details_Oth Elec_Net Mtr'!F12</f>
        <v>0</v>
      </c>
      <c r="H64" s="2418">
        <f>'50) Details_Oth Elec_Net Mtr'!G12</f>
        <v>246764.7</v>
      </c>
      <c r="I64" s="2418">
        <f>'50) Details_Oth Elec_Net Mtr'!H12</f>
        <v>0</v>
      </c>
      <c r="J64" s="2418">
        <f>'50) Details_Oth Elec_Net Mtr'!I12</f>
        <v>14059</v>
      </c>
      <c r="K64" s="2418">
        <f>'50) Details_Oth Elec_Net Mtr'!J12</f>
        <v>4000</v>
      </c>
      <c r="L64" s="2418">
        <f>'50) Details_Oth Elec_Net Mtr'!K12</f>
        <v>0</v>
      </c>
      <c r="M64" s="2418">
        <f>'50) Details_Oth Elec_Net Mtr'!L12</f>
        <v>19600</v>
      </c>
      <c r="N64" s="2418">
        <f>'50) Details_Oth Elec_Net Mtr'!M12</f>
        <v>0</v>
      </c>
      <c r="O64" s="2418"/>
      <c r="P64" s="2418">
        <f>'50) Details_Oth Elec_Net Mtr'!N12</f>
        <v>676113.7</v>
      </c>
    </row>
    <row r="65" spans="2:17" ht="13.8" x14ac:dyDescent="0.3">
      <c r="B65" s="19">
        <v>51</v>
      </c>
      <c r="D65" t="s">
        <v>864</v>
      </c>
      <c r="E65" s="2280">
        <v>18230492</v>
      </c>
      <c r="F65" s="2418">
        <f>'51) Details_Oth Elec_Renew Ed'!E12</f>
        <v>125141</v>
      </c>
      <c r="G65" s="2418">
        <f>'51) Details_Oth Elec_Renew Ed'!F12</f>
        <v>0</v>
      </c>
      <c r="H65" s="2418">
        <f>'51) Details_Oth Elec_Renew Ed'!G12</f>
        <v>78838.83</v>
      </c>
      <c r="I65" s="2418">
        <f>'51) Details_Oth Elec_Renew Ed'!H12</f>
        <v>0</v>
      </c>
      <c r="J65" s="2418">
        <f>'51) Details_Oth Elec_Renew Ed'!I12</f>
        <v>8059</v>
      </c>
      <c r="K65" s="2418">
        <f>'51) Details_Oth Elec_Renew Ed'!J12</f>
        <v>0</v>
      </c>
      <c r="L65" s="2418">
        <f>'51) Details_Oth Elec_Renew Ed'!K12</f>
        <v>16000</v>
      </c>
      <c r="M65" s="2418">
        <f>'51) Details_Oth Elec_Renew Ed'!L12</f>
        <v>0</v>
      </c>
      <c r="N65" s="2418">
        <f>'51) Details_Oth Elec_Renew Ed'!M12</f>
        <v>30000</v>
      </c>
      <c r="O65" s="2418"/>
      <c r="P65" s="2418">
        <f>'51) Details_Oth Elec_Renew Ed'!N12</f>
        <v>258038.83000000002</v>
      </c>
    </row>
    <row r="66" spans="2:17" ht="13.8" x14ac:dyDescent="0.3">
      <c r="B66" s="19">
        <v>52</v>
      </c>
      <c r="D66" t="s">
        <v>65</v>
      </c>
      <c r="E66" s="2280">
        <v>18230438</v>
      </c>
      <c r="F66" s="2418">
        <f>'52) Details_Oth Elec_CI Load Cr'!E12</f>
        <v>370000</v>
      </c>
      <c r="G66" s="2418">
        <f>'52) Details_Oth Elec_CI Load Cr'!F12</f>
        <v>0.1</v>
      </c>
      <c r="H66" s="2418">
        <f>'52) Details_Oth Elec_CI Load Cr'!G12</f>
        <v>233100.06299999999</v>
      </c>
      <c r="I66" s="2418">
        <f>'52) Details_Oth Elec_CI Load Cr'!H12</f>
        <v>8000</v>
      </c>
      <c r="J66" s="2418">
        <f>'52) Details_Oth Elec_CI Load Cr'!I12</f>
        <v>14900</v>
      </c>
      <c r="K66" s="2418">
        <f>'52) Details_Oth Elec_CI Load Cr'!J12</f>
        <v>1750000</v>
      </c>
      <c r="L66" s="2418">
        <f>'52) Details_Oth Elec_CI Load Cr'!K12</f>
        <v>30000</v>
      </c>
      <c r="M66" s="2418">
        <f>'52) Details_Oth Elec_CI Load Cr'!L12</f>
        <v>350000</v>
      </c>
      <c r="N66" s="2418">
        <f>'52) Details_Oth Elec_CI Load Cr'!M12</f>
        <v>0</v>
      </c>
      <c r="O66" s="2418"/>
      <c r="P66" s="2418">
        <f>'52) Details_Oth Elec_CI Load Cr'!N12</f>
        <v>2756000.1629999997</v>
      </c>
    </row>
    <row r="67" spans="2:17" ht="13.8" x14ac:dyDescent="0.3">
      <c r="B67" s="19">
        <v>53</v>
      </c>
      <c r="D67" t="s">
        <v>865</v>
      </c>
      <c r="E67" s="2280">
        <v>18230439</v>
      </c>
      <c r="F67" s="2418">
        <f>'53) Details_Oth Elec_Res DR'!E12</f>
        <v>47000</v>
      </c>
      <c r="G67" s="2418">
        <f>'53) Details_Oth Elec_Res DR'!F12</f>
        <v>0</v>
      </c>
      <c r="H67" s="2418">
        <f>'53) Details_Oth Elec_Res DR'!G12</f>
        <v>29610</v>
      </c>
      <c r="I67" s="2418">
        <f>'53) Details_Oth Elec_Res DR'!H12</f>
        <v>0</v>
      </c>
      <c r="J67" s="2418">
        <f>'53) Details_Oth Elec_Res DR'!I12</f>
        <v>0</v>
      </c>
      <c r="K67" s="2418">
        <f>'53) Details_Oth Elec_Res DR'!J12</f>
        <v>0</v>
      </c>
      <c r="L67" s="2418">
        <f>'53) Details_Oth Elec_Res DR'!K12</f>
        <v>0</v>
      </c>
      <c r="M67" s="2418">
        <f>'53) Details_Oth Elec_Res DR'!L12</f>
        <v>0</v>
      </c>
      <c r="N67" s="2418">
        <f>'53) Details_Oth Elec_Res DR'!M12</f>
        <v>0</v>
      </c>
      <c r="O67" s="2418"/>
      <c r="P67" s="2418">
        <f>'53) Details_Oth Elec_Res DR'!N12</f>
        <v>76610</v>
      </c>
    </row>
    <row r="68" spans="2:17" s="2288" customFormat="1" ht="13.8" x14ac:dyDescent="0.3">
      <c r="B68" s="2287"/>
      <c r="D68" s="838" t="s">
        <v>866</v>
      </c>
      <c r="E68" s="2292"/>
      <c r="F68" s="2290">
        <f>SUM(F64:F67)</f>
        <v>933831</v>
      </c>
      <c r="G68" s="2290">
        <f t="shared" ref="G68:P68" si="5">SUM(G64:G67)</f>
        <v>0.1</v>
      </c>
      <c r="H68" s="2290">
        <f t="shared" si="5"/>
        <v>588313.59299999999</v>
      </c>
      <c r="I68" s="2290">
        <f t="shared" si="5"/>
        <v>8000</v>
      </c>
      <c r="J68" s="2290">
        <f t="shared" si="5"/>
        <v>37018</v>
      </c>
      <c r="K68" s="2290">
        <f t="shared" si="5"/>
        <v>1754000</v>
      </c>
      <c r="L68" s="2290">
        <f t="shared" si="5"/>
        <v>46000</v>
      </c>
      <c r="M68" s="2290">
        <f t="shared" si="5"/>
        <v>369600</v>
      </c>
      <c r="N68" s="2290">
        <f t="shared" si="5"/>
        <v>30000</v>
      </c>
      <c r="O68" s="2290">
        <f t="shared" si="5"/>
        <v>0</v>
      </c>
      <c r="P68" s="2290">
        <f t="shared" si="5"/>
        <v>3766762.693</v>
      </c>
      <c r="Q68" s="2291"/>
    </row>
    <row r="69" spans="2:17" x14ac:dyDescent="0.25">
      <c r="E69" s="2410"/>
      <c r="F69" s="2418"/>
      <c r="G69" s="2418"/>
      <c r="H69" s="2418"/>
      <c r="I69" s="2418"/>
      <c r="J69" s="2418"/>
      <c r="K69" s="2418"/>
      <c r="L69" s="2418"/>
      <c r="M69" s="2418"/>
      <c r="N69" s="2418"/>
      <c r="O69" s="2418"/>
      <c r="P69" s="2418"/>
    </row>
    <row r="70" spans="2:17" x14ac:dyDescent="0.25">
      <c r="D70" s="838" t="s">
        <v>868</v>
      </c>
      <c r="E70" s="2410"/>
      <c r="F70" s="2418">
        <f t="shared" ref="F70:Q70" si="6">F23+F35+F40+F54+F61+F68</f>
        <v>16116058.620999999</v>
      </c>
      <c r="G70" s="2418">
        <f t="shared" si="6"/>
        <v>1185974.1000000001</v>
      </c>
      <c r="H70" s="2418">
        <f t="shared" si="6"/>
        <v>10905659.93423</v>
      </c>
      <c r="I70" s="2418">
        <f t="shared" si="6"/>
        <v>4887099.5999999996</v>
      </c>
      <c r="J70" s="2418">
        <f t="shared" si="6"/>
        <v>540065.56000000006</v>
      </c>
      <c r="K70" s="2418">
        <f t="shared" si="6"/>
        <v>33422590.5</v>
      </c>
      <c r="L70" s="2418">
        <f t="shared" si="6"/>
        <v>399608</v>
      </c>
      <c r="M70" s="2418">
        <f t="shared" si="6"/>
        <v>1302754</v>
      </c>
      <c r="N70" s="2418">
        <f t="shared" si="6"/>
        <v>124669418.83680001</v>
      </c>
      <c r="O70" s="2418">
        <f t="shared" si="6"/>
        <v>0</v>
      </c>
      <c r="P70" s="2418">
        <f t="shared" si="6"/>
        <v>193429229.15203002</v>
      </c>
      <c r="Q70" s="2285">
        <f t="shared" si="6"/>
        <v>665969251.88624001</v>
      </c>
    </row>
    <row r="71" spans="2:17" x14ac:dyDescent="0.25">
      <c r="E71" s="2410"/>
      <c r="F71" s="2418"/>
      <c r="G71" s="2418"/>
      <c r="H71" s="2418"/>
      <c r="I71" s="2418"/>
      <c r="J71" s="2418"/>
      <c r="K71" s="2418"/>
      <c r="L71" s="2418"/>
      <c r="M71" s="2418"/>
      <c r="N71" s="2418"/>
      <c r="O71" s="2418"/>
      <c r="P71" s="2418"/>
      <c r="Q71" s="2293">
        <f>Q70/1000/8760</f>
        <v>76.02388720162557</v>
      </c>
    </row>
    <row r="72" spans="2:17" s="2583" customFormat="1" ht="122.4" x14ac:dyDescent="0.25">
      <c r="B72" s="2582"/>
      <c r="D72" s="2581" t="s">
        <v>1023</v>
      </c>
      <c r="E72" s="2585" t="s">
        <v>1024</v>
      </c>
      <c r="F72" s="2586" t="s">
        <v>1025</v>
      </c>
      <c r="G72" s="2587"/>
      <c r="H72" s="2588" t="s">
        <v>1026</v>
      </c>
      <c r="I72" s="2586" t="s">
        <v>1027</v>
      </c>
      <c r="J72" s="2586" t="s">
        <v>1028</v>
      </c>
      <c r="K72" s="2586" t="s">
        <v>1029</v>
      </c>
      <c r="L72" s="2586" t="s">
        <v>1030</v>
      </c>
      <c r="M72" s="2586" t="s">
        <v>1031</v>
      </c>
      <c r="N72" s="2586" t="s">
        <v>1032</v>
      </c>
      <c r="O72" s="2586" t="s">
        <v>1033</v>
      </c>
      <c r="P72" s="2584"/>
      <c r="Q72" s="2590"/>
    </row>
    <row r="75" spans="2:17" x14ac:dyDescent="0.25">
      <c r="L75" s="2589"/>
    </row>
  </sheetData>
  <customSheetViews>
    <customSheetView guid="{074EB09C-6289-46D7-9513-012B68BCA7BF}" showPageBreaks="1" topLeftCell="D5">
      <pane xSplit="2" ySplit="1" topLeftCell="L6" activePane="bottomRight" state="frozen"/>
      <selection pane="bottomRight"/>
      <pageMargins left="0.23" right="0.25" top="0.48" bottom="0.75" header="0.3" footer="0.3"/>
      <pageSetup paperSize="17" scale="70" orientation="landscape" r:id="rId1"/>
    </customSheetView>
  </customSheetViews>
  <mergeCells count="1">
    <mergeCell ref="F3:G3"/>
  </mergeCells>
  <hyperlinks>
    <hyperlink ref="E7" location="'4) Detail_REM Sch 201 Elec '!A1" display="'4) Detail_REM Sch 201 Elec '!A1"/>
    <hyperlink ref="E8" location="'5a) Detail_214HomePrint Elec'!A1" display="'5a) Detail_214HomePrint Elec'!A1"/>
    <hyperlink ref="E9" location="'5b) Detail_214WaterHeat Elec'!A1" display="'5b) Detail_214WaterHeat Elec'!A1"/>
    <hyperlink ref="E11" location="'5d) Detail_214SpcHeat Elec'!A1" display="'5d) Detail_214SpcHeat Elec'!A1"/>
    <hyperlink ref="E10" location="'5c) Detail_214Wx Elec'!A1" display="'5c) Detail_214Wx Elec'!A1"/>
    <hyperlink ref="E12" location="'5e) Detail_214RefRepl Elec'!A1" display="'5e) Detail_214RefRepl Elec'!A1"/>
    <hyperlink ref="E13" location="'5f) Detail_214HmAppplc Elec'!A1" display="'5f) Detail_214HmAppplc Elec'!A1"/>
    <hyperlink ref="E14" location="'5g) Detail_214ShwrHead  Elec'!A1" display="'5g) Detail_214ShwrHead  Elec'!A1"/>
    <hyperlink ref="E15" location="'5h) Detail_214Lighting Elec'!A1" display="'5h) Detail_214Lighting Elec'!A1"/>
    <hyperlink ref="E16" location="'6) Detail_REM Sch 215 Elec'!A1" display="'6) Detail_REM Sch 215 Elec'!A1"/>
    <hyperlink ref="E17" location="'6a) Detail_215NCMfgHome Elec'!A1" display="'6a) Detail_215NCMfgHome Elec'!A1"/>
    <hyperlink ref="E18" location="'7) Detail_REM Sch 216 Elec'!A1" display="'7) Detail_REM Sch 216 Elec'!A1"/>
    <hyperlink ref="E19" location="'8) Detail_REM Sch 217 Elec'!A1" display="'8) Detail_REM Sch 217 Elec'!A1"/>
    <hyperlink ref="E20" location="'9) Detail_REM Sch 218 Elec'!A1" display="'9) Detail_REM Sch 218 Elec'!A1"/>
    <hyperlink ref="E22" location="'10a) Detail_249HmEngryRpt  Elec'!A1" display="'10a) Detail_249HmEngryRpt  Elec'!A1"/>
    <hyperlink ref="E21" location="'10) Detail_REM Sch 249 Elec'!A1" display="'10) Detail_REM Sch 249 Elec'!A1"/>
    <hyperlink ref="E27" location="'17) Detail_BEM Sch 250 Elec'!A1" display="'17) Detail_BEM Sch 250 Elec'!A1"/>
    <hyperlink ref="E28" location="'18) Detail_BEM Sch 251 Elec'!A1" display="'18) Detail_BEM Sch 251 Elec'!A1"/>
    <hyperlink ref="E29" location="'19) Detail_BEM Sch 253 Elec'!A1" display="'19) Detail_BEM Sch 253 Elec'!A1"/>
    <hyperlink ref="E30" location="'20) Detail_BEM Sch 255 Elec'!A1" display="'20) Detail_BEM Sch 255 Elec'!A1"/>
    <hyperlink ref="E32" location="'22) Detail_BEM Sch 258 Elec'!A1" display="'22) Detail_BEM Sch 258 Elec'!A1"/>
    <hyperlink ref="E33" location="'23) Detail_BEM Sch 261 Elec'!A1" display="'23) Detail_BEM Sch 261 Elec'!A1"/>
    <hyperlink ref="E34" location="'24) Detail_BEM Sch 262 Elec'!A1" display="'24) Detail_BEM Sch 262 Elec'!A1"/>
    <hyperlink ref="E49" location="'33a) Detail_PSWE_Main Grn Elec'!A1" display="'33a) Detail_PSWE_Main Grn Elec'!A1"/>
    <hyperlink ref="E50" location="'33b) Detail_PSWE_Mkt Int Elec'!A1" display="'33b) Detail_PSWE_Mkt Int Elec'!A1"/>
    <hyperlink ref="E51" location="'34) Detail_PS_EE Comm Elec'!A1" display="'34) Detail_PS_EE Comm Elec'!A1"/>
    <hyperlink ref="E52" location="'35) Detail_PS_ Trade Ally Elec'!A1" display="'35) Detail_PS_ Trade Ally Elec'!A1"/>
    <hyperlink ref="E53" location="'36) Detail_PS_Mktg Resch Elec'!A1" display="'36) Detail_PS_Mktg Resch Elec'!A1"/>
    <hyperlink ref="E57" location="'42) Detail_R&amp;C_Supp Crv Elec'!A1" display="'42) Detail_R&amp;C_Supp Crv Elec'!A1"/>
    <hyperlink ref="E58" location="'43) Detail_R&amp;C_Strat Pln Elec'!A1" display="TBD"/>
    <hyperlink ref="E59" location="'44) Detail_R&amp;C_Eval Elec'!A1" display="'44) Detail_R&amp;C_Eval Elec'!A1"/>
    <hyperlink ref="E64" location="'50) Details_Oth Elec_Net Mtr'!A1" display="'50) Details_Oth Elec_Net Mtr'!A1"/>
    <hyperlink ref="E65" location="'51) Details_Oth Elec_Renew Ed'!A1" display="'51) Details_Oth Elec_Renew Ed'!A1"/>
    <hyperlink ref="E66" location="'52) Details_Oth Elec_CI Load Cr'!A1" display="'52) Details_Oth Elec_CI Load Cr'!A1"/>
    <hyperlink ref="E67" location="'53) Details_Oth Elec_Res DR'!A1" display="'53) Details_Oth Elec_Res DR'!A1"/>
    <hyperlink ref="E44" location="'32a) Detail_PSCE_EAs Elec'!A1" display="'32a) Detail_PSCE_EAs Elec'!A1"/>
    <hyperlink ref="E46" location="'32c) Detail_PSCE_Broch Elec'!A1" display="'32c) Detail_PSCE_Broch Elec'!A1"/>
    <hyperlink ref="E47" location="'32d) Detail_PSCE_Edu Elec'!A1" display="'32d) Detail_PSCE_Edu Elec'!A1"/>
    <hyperlink ref="E45" location="'32b) Detail_PSCE_Events Elec'!A1" display="'32b) Detail_PSCE_Events Elec'!A1"/>
    <hyperlink ref="E39" location="'31) Detail_T&amp;D elec'!A1" display="TBD"/>
    <hyperlink ref="E38" location="'30) Detail_NEEA elec'!A1" display="'30) Detail_NEEA elec'!A1"/>
    <hyperlink ref="E60" location="'45) Detail_R&amp;C_Support Elec'!A1" display="'45) Detail_R&amp;C_Support Elec'!A1"/>
  </hyperlinks>
  <pageMargins left="0.23" right="0.25" top="0.48" bottom="0.75" header="0.3" footer="0.3"/>
  <pageSetup paperSize="17" scale="60"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9"/>
  <sheetViews>
    <sheetView workbookViewId="0">
      <pane xSplit="1" ySplit="1" topLeftCell="B2" activePane="bottomRight" state="frozen"/>
      <selection pane="topRight" activeCell="B1" sqref="B1"/>
      <selection pane="bottomLeft" activeCell="A2" sqref="A2"/>
      <selection pane="bottomRight" activeCell="B62" sqref="B62"/>
    </sheetView>
  </sheetViews>
  <sheetFormatPr defaultColWidth="61.5546875" defaultRowHeight="13.2" x14ac:dyDescent="0.25"/>
  <cols>
    <col min="1" max="1" width="15.6640625" style="3369" customWidth="1"/>
    <col min="2" max="2" width="55.88671875" customWidth="1"/>
    <col min="3" max="4" width="19.109375" customWidth="1"/>
    <col min="5" max="5" width="20.88671875" customWidth="1"/>
    <col min="6" max="6" width="21.33203125" customWidth="1"/>
    <col min="7" max="8" width="22.5546875" customWidth="1"/>
    <col min="9" max="9" width="23.88671875" customWidth="1"/>
    <col min="10" max="10" width="24.88671875" customWidth="1"/>
    <col min="11" max="11" width="24.33203125" customWidth="1"/>
    <col min="12" max="12" width="20.6640625" customWidth="1"/>
    <col min="13" max="13" width="24.33203125" customWidth="1"/>
    <col min="14" max="14" width="21.5546875" customWidth="1"/>
  </cols>
  <sheetData>
    <row r="1" spans="2:14" ht="45" customHeight="1" x14ac:dyDescent="0.4">
      <c r="B1" s="621" t="s">
        <v>767</v>
      </c>
      <c r="C1" s="637"/>
      <c r="D1" s="637"/>
      <c r="E1" s="637"/>
      <c r="F1" s="637"/>
      <c r="G1" s="644"/>
      <c r="H1" s="638"/>
      <c r="I1" s="638"/>
      <c r="J1" s="614"/>
      <c r="K1" s="614"/>
      <c r="L1" s="614"/>
      <c r="M1" s="614"/>
      <c r="N1" s="614"/>
    </row>
    <row r="2" spans="2:14" ht="21" x14ac:dyDescent="0.4">
      <c r="B2" s="621"/>
      <c r="C2" s="637"/>
      <c r="D2" s="637"/>
      <c r="E2" s="637"/>
      <c r="F2" s="637"/>
      <c r="G2" s="644"/>
      <c r="H2" s="638"/>
      <c r="I2" s="638"/>
      <c r="J2" s="614"/>
      <c r="K2" s="614"/>
      <c r="L2" s="614"/>
      <c r="M2" s="614"/>
      <c r="N2" s="614"/>
    </row>
    <row r="3" spans="2:14" ht="39.6" x14ac:dyDescent="0.25">
      <c r="B3" s="3884"/>
      <c r="C3" s="618" t="s">
        <v>9</v>
      </c>
      <c r="D3" s="618" t="s">
        <v>10</v>
      </c>
      <c r="E3" s="618" t="s">
        <v>701</v>
      </c>
      <c r="F3" s="619" t="s">
        <v>12</v>
      </c>
      <c r="G3" s="619" t="s">
        <v>13</v>
      </c>
      <c r="H3" s="619" t="s">
        <v>14</v>
      </c>
      <c r="I3" s="619" t="s">
        <v>15</v>
      </c>
      <c r="J3" s="619" t="s">
        <v>16</v>
      </c>
      <c r="K3" s="619" t="s">
        <v>702</v>
      </c>
      <c r="L3" s="619" t="s">
        <v>18</v>
      </c>
      <c r="M3" s="659" t="s">
        <v>136</v>
      </c>
      <c r="N3" s="620" t="s">
        <v>19</v>
      </c>
    </row>
    <row r="4" spans="2:14" ht="26.4" x14ac:dyDescent="0.25">
      <c r="B4" s="669" t="s">
        <v>703</v>
      </c>
      <c r="C4" s="667"/>
      <c r="D4" s="667"/>
      <c r="E4" s="667"/>
      <c r="F4" s="667"/>
      <c r="G4" s="667"/>
      <c r="H4" s="667"/>
      <c r="I4" s="667"/>
      <c r="J4" s="667"/>
      <c r="K4" s="668"/>
      <c r="L4" s="668">
        <v>3822222</v>
      </c>
      <c r="M4" s="668"/>
      <c r="N4" s="670" t="s">
        <v>21</v>
      </c>
    </row>
    <row r="5" spans="2:14" x14ac:dyDescent="0.25">
      <c r="B5" s="658" t="s">
        <v>704</v>
      </c>
      <c r="C5" s="657">
        <v>348948.6</v>
      </c>
      <c r="D5" s="657">
        <v>1840.5</v>
      </c>
      <c r="E5" s="657">
        <v>220997.13299999997</v>
      </c>
      <c r="F5" s="657">
        <v>28500</v>
      </c>
      <c r="G5" s="657">
        <v>8500</v>
      </c>
      <c r="H5" s="657">
        <v>89250</v>
      </c>
      <c r="I5" s="657">
        <v>2800.0000000000009</v>
      </c>
      <c r="J5" s="657">
        <v>0</v>
      </c>
      <c r="K5" s="666">
        <v>6210000</v>
      </c>
      <c r="L5" s="665">
        <v>6910836.233</v>
      </c>
      <c r="M5" s="664">
        <v>23000000</v>
      </c>
      <c r="N5" s="671">
        <v>0.80806772421905371</v>
      </c>
    </row>
    <row r="6" spans="2:14" x14ac:dyDescent="0.25">
      <c r="B6" s="616">
        <v>2012</v>
      </c>
      <c r="C6" s="645">
        <f>C15</f>
        <v>493900</v>
      </c>
      <c r="D6" s="646">
        <f>C16</f>
        <v>19400</v>
      </c>
      <c r="E6" s="646">
        <f>C35</f>
        <v>323400</v>
      </c>
      <c r="F6" s="646">
        <f>C33</f>
        <v>12500</v>
      </c>
      <c r="G6" s="646">
        <f>C23</f>
        <v>10200</v>
      </c>
      <c r="H6" s="646">
        <f>C41</f>
        <v>68250</v>
      </c>
      <c r="I6" s="646">
        <f>C31</f>
        <v>3380</v>
      </c>
      <c r="J6" s="646">
        <f>C25</f>
        <v>500</v>
      </c>
      <c r="K6" s="647">
        <f>C12</f>
        <v>6616500</v>
      </c>
      <c r="L6" s="647">
        <f>SUM(C6:K6)</f>
        <v>7548030</v>
      </c>
      <c r="M6" s="660">
        <f>C46</f>
        <v>24060000</v>
      </c>
      <c r="N6" s="671">
        <v>-1.01445875197025E-2</v>
      </c>
    </row>
    <row r="7" spans="2:14" ht="13.8" thickBot="1" x14ac:dyDescent="0.3">
      <c r="B7" s="652">
        <v>2013</v>
      </c>
      <c r="C7" s="645">
        <f>D15</f>
        <v>493900</v>
      </c>
      <c r="D7" s="646">
        <f>D16</f>
        <v>19400</v>
      </c>
      <c r="E7" s="646">
        <f>D35</f>
        <v>323400</v>
      </c>
      <c r="F7" s="646">
        <f>D33</f>
        <v>12500</v>
      </c>
      <c r="G7" s="646">
        <f>D23</f>
        <v>10200</v>
      </c>
      <c r="H7" s="651">
        <f>D41</f>
        <v>68250</v>
      </c>
      <c r="I7" s="2749">
        <f>D31</f>
        <v>3380</v>
      </c>
      <c r="J7" s="2749">
        <f>D25</f>
        <v>500</v>
      </c>
      <c r="K7" s="655">
        <f>D12</f>
        <v>4411000</v>
      </c>
      <c r="L7" s="647">
        <f>SUM(C7:K7)</f>
        <v>5342530</v>
      </c>
      <c r="M7" s="660">
        <f>D46</f>
        <v>16040000</v>
      </c>
      <c r="N7" s="671">
        <v>0</v>
      </c>
    </row>
    <row r="8" spans="2:14" ht="13.8" thickBot="1" x14ac:dyDescent="0.3">
      <c r="B8" s="635" t="s">
        <v>178</v>
      </c>
      <c r="C8" s="653">
        <f t="shared" ref="C8:M8" si="0">SUM(C6:C7)</f>
        <v>987800</v>
      </c>
      <c r="D8" s="654">
        <f t="shared" si="0"/>
        <v>38800</v>
      </c>
      <c r="E8" s="654">
        <f t="shared" si="0"/>
        <v>646800</v>
      </c>
      <c r="F8" s="654">
        <f t="shared" si="0"/>
        <v>25000</v>
      </c>
      <c r="G8" s="654">
        <f t="shared" si="0"/>
        <v>20400</v>
      </c>
      <c r="H8" s="654">
        <f t="shared" si="0"/>
        <v>136500</v>
      </c>
      <c r="I8" s="654">
        <f t="shared" si="0"/>
        <v>6760</v>
      </c>
      <c r="J8" s="654">
        <f t="shared" si="0"/>
        <v>1000</v>
      </c>
      <c r="K8" s="656">
        <f t="shared" si="0"/>
        <v>11027500</v>
      </c>
      <c r="L8" s="656">
        <f t="shared" si="0"/>
        <v>12890560</v>
      </c>
      <c r="M8" s="663">
        <f t="shared" si="0"/>
        <v>40100000</v>
      </c>
      <c r="N8" s="614"/>
    </row>
    <row r="9" spans="2:14" ht="21" x14ac:dyDescent="0.4">
      <c r="B9" s="621"/>
      <c r="C9" s="637"/>
      <c r="D9" s="637"/>
      <c r="E9" s="637"/>
      <c r="F9" s="637"/>
      <c r="G9" s="644"/>
      <c r="H9" s="638"/>
      <c r="I9" s="638"/>
      <c r="J9" s="614"/>
      <c r="K9" s="614"/>
      <c r="L9" s="614"/>
      <c r="M9" s="614"/>
      <c r="N9" s="625"/>
    </row>
    <row r="10" spans="2:14" ht="17.399999999999999" x14ac:dyDescent="0.3">
      <c r="B10" s="622" t="s">
        <v>768</v>
      </c>
      <c r="C10" s="644"/>
      <c r="D10" s="644"/>
      <c r="E10" s="644"/>
      <c r="F10" s="636"/>
      <c r="G10" s="636"/>
      <c r="H10" s="636"/>
      <c r="I10" s="636"/>
      <c r="J10" s="614"/>
      <c r="K10" s="614"/>
      <c r="L10" s="614"/>
      <c r="M10" s="614"/>
      <c r="N10" s="614"/>
    </row>
    <row r="11" spans="2:14" ht="17.399999999999999" x14ac:dyDescent="0.3">
      <c r="B11" s="623"/>
      <c r="C11" s="648">
        <v>2012</v>
      </c>
      <c r="D11" s="649">
        <v>2013</v>
      </c>
      <c r="E11" s="650" t="s">
        <v>29</v>
      </c>
      <c r="F11" s="628"/>
      <c r="G11" s="628"/>
      <c r="H11" s="628"/>
      <c r="I11" s="4199" t="s">
        <v>706</v>
      </c>
      <c r="J11" s="4190"/>
      <c r="K11" s="4190"/>
      <c r="L11" s="625"/>
      <c r="M11" s="661"/>
      <c r="N11" s="614"/>
    </row>
    <row r="12" spans="2:14" ht="13.8" x14ac:dyDescent="0.3">
      <c r="B12" s="3903"/>
      <c r="C12" s="2970">
        <v>6616500</v>
      </c>
      <c r="D12" s="2966">
        <v>4411000</v>
      </c>
      <c r="E12" s="2967">
        <f>SUM(C12:D12)</f>
        <v>11027500</v>
      </c>
      <c r="F12" s="2933"/>
      <c r="G12" s="628"/>
      <c r="H12" s="628"/>
      <c r="I12" s="4191" t="s">
        <v>755</v>
      </c>
      <c r="J12" s="4192">
        <v>11027500</v>
      </c>
      <c r="K12" s="4190"/>
      <c r="L12" s="614"/>
      <c r="M12" s="614"/>
      <c r="N12" s="614"/>
    </row>
    <row r="13" spans="2:14" ht="17.399999999999999" x14ac:dyDescent="0.3">
      <c r="B13" s="2928"/>
      <c r="C13" s="2947"/>
      <c r="D13" s="2923"/>
      <c r="E13" s="2948"/>
      <c r="F13" s="2933"/>
      <c r="G13" s="628"/>
      <c r="H13" s="628"/>
      <c r="I13" s="4191" t="s">
        <v>709</v>
      </c>
      <c r="J13" s="4193">
        <v>987800</v>
      </c>
      <c r="K13" s="4190"/>
      <c r="L13" s="614"/>
      <c r="M13" s="614"/>
      <c r="N13" s="614"/>
    </row>
    <row r="14" spans="2:14" x14ac:dyDescent="0.25">
      <c r="B14" s="2927" t="s">
        <v>713</v>
      </c>
      <c r="C14" s="2949"/>
      <c r="D14" s="2923"/>
      <c r="E14" s="2948"/>
      <c r="F14" s="2930"/>
      <c r="G14" s="626"/>
      <c r="H14" s="626"/>
      <c r="I14" s="4191" t="s">
        <v>712</v>
      </c>
      <c r="J14" s="4193">
        <v>38800</v>
      </c>
      <c r="K14" s="4187"/>
      <c r="L14" s="614"/>
      <c r="M14" s="614"/>
      <c r="N14" s="614"/>
    </row>
    <row r="15" spans="2:14" x14ac:dyDescent="0.25">
      <c r="B15" s="2932" t="s">
        <v>715</v>
      </c>
      <c r="C15" s="2973">
        <v>493900</v>
      </c>
      <c r="D15" s="2969">
        <v>493900</v>
      </c>
      <c r="E15" s="2971">
        <f>SUM(C15:D15)</f>
        <v>987800</v>
      </c>
      <c r="F15" s="2939">
        <v>5.68</v>
      </c>
      <c r="G15" s="629" t="s">
        <v>716</v>
      </c>
      <c r="H15" s="627"/>
      <c r="I15" s="4191" t="s">
        <v>526</v>
      </c>
      <c r="J15" s="4189">
        <v>20400</v>
      </c>
      <c r="K15" s="4187"/>
      <c r="L15" s="614"/>
      <c r="M15" s="614"/>
      <c r="N15" s="614"/>
    </row>
    <row r="16" spans="2:14" x14ac:dyDescent="0.25">
      <c r="B16" s="2932" t="s">
        <v>720</v>
      </c>
      <c r="C16" s="2973">
        <v>19400</v>
      </c>
      <c r="D16" s="2969">
        <v>19400</v>
      </c>
      <c r="E16" s="2971">
        <f>SUM(C16:D16)</f>
        <v>38800</v>
      </c>
      <c r="F16" s="2939">
        <v>0.16</v>
      </c>
      <c r="G16" s="629" t="s">
        <v>716</v>
      </c>
      <c r="H16" s="627"/>
      <c r="I16" s="4191" t="s">
        <v>714</v>
      </c>
      <c r="J16" s="4189">
        <v>1000</v>
      </c>
      <c r="K16" s="4187"/>
      <c r="L16" s="614"/>
      <c r="M16" s="614"/>
      <c r="N16" s="614"/>
    </row>
    <row r="17" spans="2:13" x14ac:dyDescent="0.25">
      <c r="B17" s="2932"/>
      <c r="C17" s="2950"/>
      <c r="D17" s="2923"/>
      <c r="E17" s="2948"/>
      <c r="F17" s="2931"/>
      <c r="G17" s="627"/>
      <c r="H17" s="627"/>
      <c r="I17" s="4191" t="s">
        <v>717</v>
      </c>
      <c r="J17" s="4189">
        <v>6760</v>
      </c>
      <c r="K17" s="4187"/>
      <c r="L17" s="614"/>
      <c r="M17" s="662"/>
    </row>
    <row r="18" spans="2:13" x14ac:dyDescent="0.25">
      <c r="B18" s="2927" t="s">
        <v>526</v>
      </c>
      <c r="C18" s="2949"/>
      <c r="D18" s="2923"/>
      <c r="E18" s="2948"/>
      <c r="F18" s="2930"/>
      <c r="G18" s="626"/>
      <c r="H18" s="627"/>
      <c r="I18" s="4191" t="s">
        <v>719</v>
      </c>
      <c r="J18" s="4189">
        <v>25000</v>
      </c>
      <c r="K18" s="4187"/>
      <c r="L18" s="614"/>
      <c r="M18" s="614"/>
    </row>
    <row r="19" spans="2:13" x14ac:dyDescent="0.25">
      <c r="B19" s="2922" t="s">
        <v>721</v>
      </c>
      <c r="C19" s="2954">
        <v>2300</v>
      </c>
      <c r="D19" s="2963">
        <v>2300</v>
      </c>
      <c r="E19" s="2961">
        <f>SUM(C19:D19)</f>
        <v>4600</v>
      </c>
      <c r="F19" s="2940"/>
      <c r="G19" s="639"/>
      <c r="H19" s="626"/>
      <c r="I19" s="4191" t="s">
        <v>11</v>
      </c>
      <c r="J19" s="4189">
        <v>646800</v>
      </c>
      <c r="K19" s="4187"/>
      <c r="L19" s="614"/>
      <c r="M19" s="614"/>
    </row>
    <row r="20" spans="2:13" x14ac:dyDescent="0.25">
      <c r="B20" s="2932" t="s">
        <v>722</v>
      </c>
      <c r="C20" s="2951">
        <v>4700</v>
      </c>
      <c r="D20" s="2963">
        <v>4700</v>
      </c>
      <c r="E20" s="3474">
        <f t="shared" ref="E20:E22" si="1">SUM(C20:D20)</f>
        <v>9400</v>
      </c>
      <c r="F20" s="2922"/>
      <c r="G20" s="626"/>
      <c r="H20" s="639"/>
      <c r="I20" s="4191" t="s">
        <v>14</v>
      </c>
      <c r="J20" s="4198">
        <v>136500</v>
      </c>
      <c r="K20" s="4187"/>
      <c r="L20" s="614"/>
      <c r="M20" s="614"/>
    </row>
    <row r="21" spans="2:13" x14ac:dyDescent="0.25">
      <c r="B21" s="2932" t="s">
        <v>725</v>
      </c>
      <c r="C21" s="2954">
        <v>2200</v>
      </c>
      <c r="D21" s="2963">
        <v>2200</v>
      </c>
      <c r="E21" s="3474">
        <f t="shared" si="1"/>
        <v>4400</v>
      </c>
      <c r="F21" s="2930"/>
      <c r="G21" s="626"/>
      <c r="H21" s="626"/>
      <c r="I21" s="4187"/>
      <c r="J21" s="4188">
        <v>12890560</v>
      </c>
      <c r="K21" s="4187"/>
      <c r="L21" s="614"/>
      <c r="M21" s="614"/>
    </row>
    <row r="22" spans="2:13" x14ac:dyDescent="0.25">
      <c r="B22" s="2932" t="s">
        <v>728</v>
      </c>
      <c r="C22" s="2954">
        <v>1000</v>
      </c>
      <c r="D22" s="2963">
        <v>1000</v>
      </c>
      <c r="E22" s="3474">
        <f t="shared" si="1"/>
        <v>2000</v>
      </c>
      <c r="F22" s="2930"/>
      <c r="G22" s="626"/>
      <c r="H22" s="640"/>
      <c r="I22" s="4191"/>
      <c r="J22" s="4203"/>
      <c r="K22" s="4187"/>
      <c r="L22" s="614"/>
      <c r="M22" s="614"/>
    </row>
    <row r="23" spans="2:13" x14ac:dyDescent="0.25">
      <c r="B23" s="2922"/>
      <c r="C23" s="2952">
        <f>SUM(C19:C22)</f>
        <v>10200</v>
      </c>
      <c r="D23" s="2938">
        <f>SUM(D19:D22)</f>
        <v>10200</v>
      </c>
      <c r="E23" s="2968">
        <f>SUM(E19:E22)</f>
        <v>20400</v>
      </c>
      <c r="F23" s="2930"/>
      <c r="G23" s="626"/>
      <c r="H23" s="640"/>
      <c r="I23" s="4196" t="s">
        <v>723</v>
      </c>
      <c r="J23" s="4201">
        <v>40100000</v>
      </c>
      <c r="K23" s="4194" t="s">
        <v>724</v>
      </c>
      <c r="L23" s="614"/>
      <c r="M23" s="614"/>
    </row>
    <row r="24" spans="2:13" x14ac:dyDescent="0.25">
      <c r="B24" s="2923"/>
      <c r="C24" s="2956"/>
      <c r="D24" s="2923"/>
      <c r="E24" s="2948"/>
      <c r="F24" s="2930"/>
      <c r="G24" s="626"/>
      <c r="H24" s="640"/>
      <c r="I24" s="4196" t="s">
        <v>726</v>
      </c>
      <c r="J24" s="4200">
        <v>0.27500000000000002</v>
      </c>
      <c r="K24" s="4197" t="s">
        <v>727</v>
      </c>
      <c r="L24" s="614"/>
      <c r="M24" s="614"/>
    </row>
    <row r="25" spans="2:13" x14ac:dyDescent="0.25">
      <c r="B25" s="2927" t="s">
        <v>714</v>
      </c>
      <c r="C25" s="2952">
        <v>500</v>
      </c>
      <c r="D25" s="2946">
        <v>500</v>
      </c>
      <c r="E25" s="2968">
        <v>1000</v>
      </c>
      <c r="F25" s="2930"/>
      <c r="G25" s="626"/>
      <c r="H25" s="640"/>
      <c r="I25" s="4196" t="s">
        <v>729</v>
      </c>
      <c r="J25" s="4200">
        <v>0.32146034912718202</v>
      </c>
      <c r="K25" s="4197" t="s">
        <v>727</v>
      </c>
      <c r="L25" s="614"/>
      <c r="M25" s="614"/>
    </row>
    <row r="26" spans="2:13" x14ac:dyDescent="0.25">
      <c r="B26" s="2923"/>
      <c r="C26" s="2956"/>
      <c r="D26" s="2923"/>
      <c r="E26" s="2948"/>
      <c r="F26" s="2930"/>
      <c r="G26" s="626"/>
      <c r="H26" s="640"/>
      <c r="I26" s="4195" t="s">
        <v>730</v>
      </c>
      <c r="J26" s="4202">
        <v>0.85547098031427649</v>
      </c>
      <c r="K26" s="4187"/>
      <c r="L26" s="614"/>
      <c r="M26" s="614"/>
    </row>
    <row r="27" spans="2:13" x14ac:dyDescent="0.25">
      <c r="B27" s="2926" t="s">
        <v>717</v>
      </c>
      <c r="C27" s="2956"/>
      <c r="D27" s="2923"/>
      <c r="E27" s="2948"/>
      <c r="F27" s="2941"/>
      <c r="G27" s="640"/>
      <c r="H27" s="640"/>
      <c r="I27" s="634"/>
      <c r="J27" s="643"/>
      <c r="K27" s="614"/>
      <c r="L27" s="614"/>
      <c r="M27" s="614"/>
    </row>
    <row r="28" spans="2:13" x14ac:dyDescent="0.25">
      <c r="B28" s="2922" t="s">
        <v>731</v>
      </c>
      <c r="C28" s="2956">
        <v>3050</v>
      </c>
      <c r="D28" s="2963">
        <v>3050</v>
      </c>
      <c r="E28" s="2961">
        <f>SUM(C28:D28)</f>
        <v>6100</v>
      </c>
      <c r="F28" s="2941"/>
      <c r="G28" s="640"/>
      <c r="H28" s="640"/>
      <c r="I28" s="628"/>
      <c r="J28" s="614"/>
      <c r="K28" s="614"/>
      <c r="L28" s="614"/>
      <c r="M28" s="614"/>
    </row>
    <row r="29" spans="2:13" x14ac:dyDescent="0.25">
      <c r="B29" s="2922" t="s">
        <v>732</v>
      </c>
      <c r="C29" s="2956">
        <v>170</v>
      </c>
      <c r="D29" s="2963">
        <v>170</v>
      </c>
      <c r="E29" s="3474">
        <f t="shared" ref="E29:E30" si="2">SUM(C29:D29)</f>
        <v>340</v>
      </c>
      <c r="F29" s="2941"/>
      <c r="G29" s="640"/>
      <c r="H29" s="640"/>
      <c r="I29" s="628"/>
      <c r="J29" s="614"/>
      <c r="K29" s="614"/>
      <c r="L29" s="614"/>
      <c r="M29" s="614"/>
    </row>
    <row r="30" spans="2:13" x14ac:dyDescent="0.25">
      <c r="B30" s="2923" t="s">
        <v>733</v>
      </c>
      <c r="C30" s="2956">
        <v>160</v>
      </c>
      <c r="D30" s="2963">
        <v>160</v>
      </c>
      <c r="E30" s="3474">
        <f t="shared" si="2"/>
        <v>320</v>
      </c>
      <c r="F30" s="2941"/>
      <c r="G30" s="640"/>
      <c r="H30" s="640"/>
      <c r="I30" s="628"/>
      <c r="J30" s="614"/>
      <c r="K30" s="614"/>
      <c r="L30" s="614"/>
      <c r="M30" s="614"/>
    </row>
    <row r="31" spans="2:13" x14ac:dyDescent="0.25">
      <c r="B31" s="2926" t="s">
        <v>734</v>
      </c>
      <c r="C31" s="2953">
        <f>SUM(C28:C30)</f>
        <v>3380</v>
      </c>
      <c r="D31" s="2934">
        <f>SUM(D28:D30)</f>
        <v>3380</v>
      </c>
      <c r="E31" s="2968">
        <f>SUM(E28:E30)</f>
        <v>6760</v>
      </c>
      <c r="F31" s="2941"/>
      <c r="G31" s="640"/>
      <c r="H31" s="640"/>
      <c r="I31" s="628"/>
      <c r="J31" s="614"/>
      <c r="K31" s="614"/>
      <c r="L31" s="614"/>
      <c r="M31" s="614"/>
    </row>
    <row r="32" spans="2:13" x14ac:dyDescent="0.25">
      <c r="B32" s="2923"/>
      <c r="C32" s="2956"/>
      <c r="D32" s="2923"/>
      <c r="E32" s="2948"/>
      <c r="F32" s="2941"/>
      <c r="G32" s="640"/>
      <c r="H32" s="640"/>
      <c r="I32" s="628"/>
      <c r="J32" s="614"/>
      <c r="K32" s="614"/>
      <c r="L32" s="614"/>
      <c r="M32" s="614"/>
    </row>
    <row r="33" spans="2:9" x14ac:dyDescent="0.25">
      <c r="B33" s="2926" t="s">
        <v>719</v>
      </c>
      <c r="C33" s="2953">
        <v>12500</v>
      </c>
      <c r="D33" s="2964">
        <v>12500</v>
      </c>
      <c r="E33" s="2968">
        <f>SUM(C33:D33)</f>
        <v>25000</v>
      </c>
      <c r="F33" s="2941"/>
      <c r="G33" s="640"/>
      <c r="H33" s="640"/>
      <c r="I33" s="628"/>
    </row>
    <row r="34" spans="2:9" x14ac:dyDescent="0.25">
      <c r="B34" s="2923"/>
      <c r="C34" s="2956"/>
      <c r="D34" s="2923"/>
      <c r="E34" s="2948"/>
      <c r="F34" s="2941"/>
      <c r="G34" s="641"/>
      <c r="H34" s="640"/>
      <c r="I34" s="628"/>
    </row>
    <row r="35" spans="2:9" x14ac:dyDescent="0.25">
      <c r="B35" s="2926" t="s">
        <v>11</v>
      </c>
      <c r="C35" s="3417">
        <f>ROUND(SUM(C15:C16)*0.63, -2)</f>
        <v>323400</v>
      </c>
      <c r="D35" s="3395">
        <f>ROUND(SUM(D15:D16)*0.63, -2)</f>
        <v>323400</v>
      </c>
      <c r="E35" s="2968">
        <f>SUM(C35:D35)</f>
        <v>646800</v>
      </c>
      <c r="F35" s="2941"/>
      <c r="G35" s="641"/>
      <c r="H35" s="640"/>
      <c r="I35" s="628"/>
    </row>
    <row r="36" spans="2:9" x14ac:dyDescent="0.25">
      <c r="B36" s="2923"/>
      <c r="C36" s="2956"/>
      <c r="D36" s="2942"/>
      <c r="E36" s="2957"/>
      <c r="F36" s="2941"/>
      <c r="G36" s="615"/>
      <c r="H36" s="640"/>
      <c r="I36" s="628"/>
    </row>
    <row r="37" spans="2:9" x14ac:dyDescent="0.25">
      <c r="B37" s="2924" t="s">
        <v>14</v>
      </c>
      <c r="C37" s="2956"/>
      <c r="D37" s="2942"/>
      <c r="E37" s="2957"/>
      <c r="F37" s="2941"/>
      <c r="G37" s="615"/>
      <c r="H37" s="640"/>
      <c r="I37" s="624"/>
    </row>
    <row r="38" spans="2:9" x14ac:dyDescent="0.25">
      <c r="B38" s="2937" t="s">
        <v>757</v>
      </c>
      <c r="C38" s="2954">
        <v>8250</v>
      </c>
      <c r="D38" s="2943">
        <v>8250</v>
      </c>
      <c r="E38" s="2955">
        <f>SUM(C38:D38)</f>
        <v>16500</v>
      </c>
      <c r="F38" s="2941"/>
      <c r="G38" s="615"/>
      <c r="H38" s="640"/>
      <c r="I38" s="624"/>
    </row>
    <row r="39" spans="2:9" x14ac:dyDescent="0.25">
      <c r="B39" s="2937" t="s">
        <v>769</v>
      </c>
      <c r="C39" s="2954">
        <v>60000</v>
      </c>
      <c r="D39" s="2943">
        <v>60000</v>
      </c>
      <c r="E39" s="3473">
        <f t="shared" ref="E39:E40" si="3">SUM(C39:D39)</f>
        <v>120000</v>
      </c>
      <c r="F39" s="2922"/>
      <c r="G39" s="614"/>
      <c r="H39" s="640"/>
      <c r="I39" s="624"/>
    </row>
    <row r="40" spans="2:9" x14ac:dyDescent="0.25">
      <c r="B40" s="2937" t="s">
        <v>770</v>
      </c>
      <c r="C40" s="2954">
        <v>0</v>
      </c>
      <c r="D40" s="2943">
        <v>0</v>
      </c>
      <c r="E40" s="3473">
        <f t="shared" si="3"/>
        <v>0</v>
      </c>
      <c r="F40" s="2922"/>
      <c r="G40" s="614"/>
      <c r="H40" s="640"/>
      <c r="I40" s="624"/>
    </row>
    <row r="41" spans="2:9" x14ac:dyDescent="0.25">
      <c r="B41" s="2936" t="s">
        <v>743</v>
      </c>
      <c r="C41" s="3332">
        <f>SUM(C38:C40)</f>
        <v>68250</v>
      </c>
      <c r="D41" s="3312">
        <f>SUM(D38:D40)</f>
        <v>68250</v>
      </c>
      <c r="E41" s="2968">
        <f>SUM(E38:E40)</f>
        <v>136500</v>
      </c>
      <c r="F41" s="2941"/>
      <c r="G41" s="615"/>
      <c r="H41" s="640"/>
      <c r="I41" s="624"/>
    </row>
    <row r="42" spans="2:9" ht="13.8" thickBot="1" x14ac:dyDescent="0.3">
      <c r="B42" s="2929"/>
      <c r="C42" s="2954"/>
      <c r="D42" s="2943"/>
      <c r="E42" s="2955"/>
      <c r="F42" s="2941"/>
      <c r="G42" s="615"/>
      <c r="H42" s="640"/>
      <c r="I42" s="624"/>
    </row>
    <row r="43" spans="2:9" ht="13.8" thickBot="1" x14ac:dyDescent="0.3">
      <c r="B43" s="2936" t="s">
        <v>744</v>
      </c>
      <c r="C43" s="3333">
        <f>C12+C15+C16+C23+C25+C31+C33+C35+C41</f>
        <v>7548030</v>
      </c>
      <c r="D43" s="3339">
        <f>D12+D15+D16+D23+D25+D31+D33+D35+D41</f>
        <v>5342530</v>
      </c>
      <c r="E43" s="2958">
        <f>SUM(C43:D43)</f>
        <v>12890560</v>
      </c>
      <c r="F43" s="2941"/>
      <c r="G43" s="615"/>
      <c r="H43" s="640"/>
      <c r="I43" s="624"/>
    </row>
    <row r="44" spans="2:9" x14ac:dyDescent="0.25">
      <c r="B44" s="2925"/>
      <c r="C44" s="2943"/>
      <c r="D44" s="2943"/>
      <c r="E44" s="2943"/>
      <c r="F44" s="2941"/>
      <c r="G44" s="615"/>
      <c r="H44" s="640"/>
      <c r="I44" s="624"/>
    </row>
    <row r="45" spans="2:9" x14ac:dyDescent="0.25">
      <c r="B45" s="2922"/>
      <c r="C45" s="2962">
        <v>2012</v>
      </c>
      <c r="D45" s="2962">
        <v>2013</v>
      </c>
      <c r="E45" s="2962" t="s">
        <v>29</v>
      </c>
      <c r="F45" s="2922"/>
      <c r="G45" s="615"/>
      <c r="H45" s="640"/>
      <c r="I45" s="624"/>
    </row>
    <row r="46" spans="2:9" ht="13.8" x14ac:dyDescent="0.3">
      <c r="B46" s="3904"/>
      <c r="C46" s="2959">
        <v>24060000</v>
      </c>
      <c r="D46" s="2960">
        <v>16040000</v>
      </c>
      <c r="E46" s="2960">
        <f>SUM(C46:D46)</f>
        <v>40100000</v>
      </c>
      <c r="F46" s="2972" t="s">
        <v>746</v>
      </c>
      <c r="G46" s="641"/>
      <c r="H46" s="640"/>
      <c r="I46" s="624"/>
    </row>
    <row r="47" spans="2:9" x14ac:dyDescent="0.25">
      <c r="B47" s="2922"/>
      <c r="C47" s="2944"/>
      <c r="D47" s="2944"/>
      <c r="E47" s="2944"/>
      <c r="F47" s="2935"/>
      <c r="G47" s="641"/>
      <c r="H47" s="640"/>
      <c r="I47" s="624"/>
    </row>
    <row r="48" spans="2:9" x14ac:dyDescent="0.25">
      <c r="B48" s="2945" t="s">
        <v>751</v>
      </c>
      <c r="C48" s="2965">
        <v>0.5</v>
      </c>
      <c r="D48" s="2965">
        <v>0.5</v>
      </c>
      <c r="E48" s="2944"/>
      <c r="F48" s="2935"/>
      <c r="G48" s="641"/>
      <c r="H48" s="640"/>
      <c r="I48" s="624"/>
    </row>
    <row r="49" spans="2:10" x14ac:dyDescent="0.25">
      <c r="B49" s="616"/>
      <c r="C49" s="614"/>
      <c r="D49" s="614"/>
      <c r="E49" s="614"/>
      <c r="F49" s="614"/>
      <c r="G49" s="641"/>
      <c r="H49" s="640"/>
      <c r="I49" s="624"/>
      <c r="J49" s="614"/>
    </row>
    <row r="50" spans="2:10" x14ac:dyDescent="0.25">
      <c r="B50" s="614"/>
      <c r="C50" s="642"/>
      <c r="D50" s="642"/>
      <c r="E50" s="642"/>
      <c r="F50" s="631"/>
      <c r="G50" s="641"/>
      <c r="H50" s="642"/>
      <c r="I50" s="630"/>
      <c r="J50" s="617"/>
    </row>
    <row r="51" spans="2:10" x14ac:dyDescent="0.25">
      <c r="B51" s="614"/>
      <c r="C51" s="631"/>
      <c r="D51" s="631"/>
      <c r="E51" s="631"/>
      <c r="F51" s="631"/>
      <c r="G51" s="640"/>
      <c r="H51" s="631"/>
      <c r="I51" s="631"/>
      <c r="J51" s="617"/>
    </row>
    <row r="52" spans="2:10" ht="21" x14ac:dyDescent="0.4">
      <c r="B52" s="621"/>
      <c r="C52" s="631"/>
      <c r="D52" s="631"/>
      <c r="E52" s="631"/>
      <c r="F52" s="642"/>
      <c r="G52" s="640"/>
      <c r="H52" s="631"/>
      <c r="I52" s="631"/>
      <c r="J52" s="617"/>
    </row>
    <row r="53" spans="2:10" ht="15.6" x14ac:dyDescent="0.3">
      <c r="B53" s="632"/>
      <c r="C53" s="633"/>
      <c r="D53" s="633"/>
      <c r="E53" s="633"/>
      <c r="F53" s="642"/>
      <c r="G53" s="640"/>
      <c r="H53" s="631"/>
      <c r="I53" s="631"/>
      <c r="J53" s="617"/>
    </row>
    <row r="54" spans="2:10" x14ac:dyDescent="0.25">
      <c r="B54" s="617"/>
      <c r="C54" s="617"/>
      <c r="D54" s="617"/>
      <c r="E54" s="617"/>
      <c r="F54" s="642"/>
      <c r="G54" s="640"/>
      <c r="H54" s="631"/>
      <c r="I54" s="631"/>
      <c r="J54" s="617"/>
    </row>
    <row r="55" spans="2:10" x14ac:dyDescent="0.25">
      <c r="B55" s="614"/>
      <c r="C55" s="614"/>
      <c r="D55" s="614"/>
      <c r="E55" s="614"/>
      <c r="F55" s="642"/>
      <c r="G55" s="642"/>
      <c r="H55" s="631"/>
      <c r="I55" s="631"/>
      <c r="J55" s="617"/>
    </row>
    <row r="56" spans="2:10" x14ac:dyDescent="0.25">
      <c r="B56" s="614"/>
      <c r="C56" s="614"/>
      <c r="D56" s="614"/>
      <c r="E56" s="614"/>
      <c r="F56" s="642"/>
      <c r="G56" s="631"/>
      <c r="H56" s="631"/>
      <c r="I56" s="631"/>
      <c r="J56" s="617"/>
    </row>
    <row r="57" spans="2:10" x14ac:dyDescent="0.25">
      <c r="B57" s="614"/>
      <c r="C57" s="614"/>
      <c r="D57" s="614"/>
      <c r="E57" s="614"/>
      <c r="F57" s="642"/>
      <c r="G57" s="631"/>
      <c r="H57" s="642"/>
      <c r="I57" s="631"/>
      <c r="J57" s="617"/>
    </row>
    <row r="58" spans="2:10" x14ac:dyDescent="0.25">
      <c r="B58" s="614"/>
      <c r="C58" s="614"/>
      <c r="D58" s="614"/>
      <c r="E58" s="614"/>
      <c r="F58" s="614"/>
      <c r="G58" s="631"/>
      <c r="H58" s="642"/>
      <c r="I58" s="630"/>
      <c r="J58" s="617"/>
    </row>
    <row r="59" spans="2:10" x14ac:dyDescent="0.25">
      <c r="B59" s="614"/>
      <c r="C59" s="614"/>
      <c r="D59" s="614"/>
      <c r="E59" s="614"/>
      <c r="F59" s="614"/>
      <c r="G59" s="631"/>
      <c r="H59" s="642"/>
      <c r="I59" s="630"/>
      <c r="J59" s="617"/>
    </row>
    <row r="60" spans="2:10" x14ac:dyDescent="0.25">
      <c r="B60" s="614"/>
      <c r="C60" s="614"/>
      <c r="D60" s="614"/>
      <c r="E60" s="614"/>
      <c r="F60" s="614"/>
      <c r="G60" s="631"/>
      <c r="H60" s="642"/>
      <c r="I60" s="630"/>
      <c r="J60" s="617"/>
    </row>
    <row r="61" spans="2:10" x14ac:dyDescent="0.25">
      <c r="B61" s="614"/>
      <c r="C61" s="614"/>
      <c r="D61" s="614"/>
      <c r="E61" s="614"/>
      <c r="F61" s="614"/>
      <c r="G61" s="631"/>
      <c r="H61" s="642"/>
      <c r="I61" s="630"/>
      <c r="J61" s="617"/>
    </row>
    <row r="62" spans="2:10" x14ac:dyDescent="0.25">
      <c r="B62" s="614"/>
      <c r="C62" s="614"/>
      <c r="D62" s="614"/>
      <c r="E62" s="614"/>
      <c r="F62" s="614"/>
      <c r="G62" s="642"/>
      <c r="H62" s="642"/>
      <c r="I62" s="630"/>
      <c r="J62" s="617"/>
    </row>
    <row r="63" spans="2:10" x14ac:dyDescent="0.25">
      <c r="B63" s="614"/>
      <c r="C63" s="614"/>
      <c r="D63" s="614"/>
      <c r="E63" s="614"/>
      <c r="F63" s="614"/>
      <c r="G63" s="642"/>
      <c r="H63" s="642"/>
      <c r="I63" s="630"/>
      <c r="J63" s="617"/>
    </row>
    <row r="64" spans="2:10" x14ac:dyDescent="0.25">
      <c r="F64" s="631"/>
      <c r="G64" s="642"/>
      <c r="H64" s="642"/>
      <c r="I64" s="630"/>
      <c r="J64" s="617"/>
    </row>
    <row r="65" spans="6:10" x14ac:dyDescent="0.25">
      <c r="F65" s="631"/>
      <c r="G65" s="642"/>
      <c r="H65" s="642"/>
      <c r="I65" s="630"/>
      <c r="J65" s="617"/>
    </row>
    <row r="66" spans="6:10" x14ac:dyDescent="0.25">
      <c r="F66" s="631"/>
      <c r="G66" s="642"/>
      <c r="H66" s="631"/>
      <c r="I66" s="631"/>
      <c r="J66" s="617"/>
    </row>
    <row r="67" spans="6:10" ht="15.6" x14ac:dyDescent="0.3">
      <c r="F67" s="633"/>
      <c r="G67" s="642"/>
      <c r="H67" s="631"/>
      <c r="I67" s="631"/>
      <c r="J67" s="617"/>
    </row>
    <row r="68" spans="6:10" x14ac:dyDescent="0.25">
      <c r="F68" s="617"/>
      <c r="G68" s="642"/>
      <c r="H68" s="631"/>
      <c r="I68" s="631"/>
      <c r="J68" s="617"/>
    </row>
    <row r="69" spans="6:10" x14ac:dyDescent="0.25">
      <c r="F69" s="614"/>
      <c r="G69" s="642"/>
      <c r="H69" s="631"/>
      <c r="I69" s="631"/>
      <c r="J69" s="617"/>
    </row>
    <row r="70" spans="6:10" x14ac:dyDescent="0.25">
      <c r="F70" s="614"/>
      <c r="G70" s="642"/>
      <c r="H70" s="631"/>
      <c r="I70" s="631"/>
      <c r="J70" s="617"/>
    </row>
    <row r="71" spans="6:10" x14ac:dyDescent="0.25">
      <c r="F71" s="614"/>
      <c r="G71" s="631"/>
      <c r="H71" s="631"/>
      <c r="I71" s="631"/>
      <c r="J71" s="617"/>
    </row>
    <row r="72" spans="6:10" ht="15.6" x14ac:dyDescent="0.3">
      <c r="F72" s="614"/>
      <c r="G72" s="631"/>
      <c r="H72" s="633"/>
      <c r="I72" s="633"/>
      <c r="J72" s="617"/>
    </row>
    <row r="73" spans="6:10" x14ac:dyDescent="0.25">
      <c r="F73" s="614"/>
      <c r="G73" s="631"/>
      <c r="H73" s="617"/>
      <c r="I73" s="617"/>
      <c r="J73" s="617"/>
    </row>
    <row r="74" spans="6:10" x14ac:dyDescent="0.25">
      <c r="F74" s="614"/>
      <c r="G74" s="631"/>
      <c r="H74" s="614"/>
      <c r="I74" s="614"/>
      <c r="J74" s="614"/>
    </row>
    <row r="75" spans="6:10" x14ac:dyDescent="0.25">
      <c r="F75" s="614"/>
      <c r="G75" s="631"/>
      <c r="H75" s="614"/>
      <c r="I75" s="614"/>
      <c r="J75" s="614"/>
    </row>
    <row r="76" spans="6:10" x14ac:dyDescent="0.25">
      <c r="F76" s="614"/>
      <c r="G76" s="631"/>
      <c r="H76" s="614"/>
      <c r="I76" s="614"/>
      <c r="J76" s="614"/>
    </row>
    <row r="77" spans="6:10" ht="15.6" x14ac:dyDescent="0.3">
      <c r="F77" s="614"/>
      <c r="G77" s="633"/>
      <c r="H77" s="614"/>
      <c r="I77" s="614"/>
      <c r="J77" s="614"/>
    </row>
    <row r="78" spans="6:10" x14ac:dyDescent="0.25">
      <c r="F78" s="614"/>
      <c r="G78" s="617"/>
      <c r="H78" s="614"/>
      <c r="I78" s="614"/>
      <c r="J78" s="614"/>
    </row>
    <row r="79" spans="6:10" x14ac:dyDescent="0.25">
      <c r="H79" s="614"/>
      <c r="I79" s="614"/>
      <c r="J79" s="614"/>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21" right="0.24" top="0.41" bottom="0.75" header="0.3" footer="0.3"/>
  <pageSetup paperSize="17" scale="64"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9"/>
  <sheetViews>
    <sheetView workbookViewId="0">
      <selection activeCell="A51" sqref="A51"/>
    </sheetView>
  </sheetViews>
  <sheetFormatPr defaultRowHeight="13.2" x14ac:dyDescent="0.25"/>
  <cols>
    <col min="1" max="1" width="56.109375" bestFit="1" customWidth="1"/>
    <col min="2" max="2" width="20.5546875" customWidth="1"/>
    <col min="3" max="3" width="18.33203125" customWidth="1"/>
    <col min="4" max="4" width="16" customWidth="1"/>
    <col min="5" max="5" width="16.44140625" customWidth="1"/>
    <col min="6" max="6" width="17.88671875" bestFit="1" customWidth="1"/>
    <col min="7" max="7" width="14.5546875" customWidth="1"/>
    <col min="8" max="8" width="19.44140625" customWidth="1"/>
    <col min="9" max="9" width="17.6640625" customWidth="1"/>
    <col min="10" max="10" width="19.5546875" customWidth="1"/>
    <col min="11" max="11" width="14" customWidth="1"/>
    <col min="12" max="12" width="14.33203125" customWidth="1"/>
    <col min="13" max="13" width="20.6640625" customWidth="1"/>
  </cols>
  <sheetData>
    <row r="1" spans="1:13" ht="21" x14ac:dyDescent="0.4">
      <c r="A1" s="684" t="s">
        <v>771</v>
      </c>
      <c r="B1" s="457" t="s">
        <v>773</v>
      </c>
      <c r="C1" s="716"/>
      <c r="D1" s="716"/>
      <c r="E1" s="716"/>
      <c r="F1" s="727"/>
      <c r="G1" s="717"/>
      <c r="H1" s="717"/>
      <c r="I1" s="672"/>
      <c r="J1" s="672"/>
      <c r="K1" s="672"/>
      <c r="L1" s="672"/>
      <c r="M1" s="672"/>
    </row>
    <row r="2" spans="1:13" ht="21" x14ac:dyDescent="0.4">
      <c r="A2" s="684"/>
      <c r="B2" s="716"/>
      <c r="C2" s="716"/>
      <c r="D2" s="716"/>
      <c r="E2" s="716"/>
      <c r="F2" s="727"/>
      <c r="G2" s="717"/>
      <c r="H2" s="717"/>
      <c r="I2" s="672"/>
      <c r="J2" s="672"/>
      <c r="K2" s="672"/>
      <c r="L2" s="672"/>
      <c r="M2" s="672"/>
    </row>
    <row r="3" spans="1:13" ht="39.6" x14ac:dyDescent="0.3">
      <c r="A3" s="371" t="s">
        <v>130</v>
      </c>
      <c r="B3" s="678" t="s">
        <v>9</v>
      </c>
      <c r="C3" s="678" t="s">
        <v>10</v>
      </c>
      <c r="D3" s="678" t="s">
        <v>701</v>
      </c>
      <c r="E3" s="679" t="s">
        <v>12</v>
      </c>
      <c r="F3" s="679" t="s">
        <v>13</v>
      </c>
      <c r="G3" s="679" t="s">
        <v>14</v>
      </c>
      <c r="H3" s="679" t="s">
        <v>15</v>
      </c>
      <c r="I3" s="679" t="s">
        <v>16</v>
      </c>
      <c r="J3" s="679" t="s">
        <v>702</v>
      </c>
      <c r="K3" s="679" t="s">
        <v>18</v>
      </c>
      <c r="L3" s="758" t="s">
        <v>136</v>
      </c>
      <c r="M3" s="680" t="s">
        <v>19</v>
      </c>
    </row>
    <row r="4" spans="1:13" ht="26.4" x14ac:dyDescent="0.25">
      <c r="A4" s="768" t="s">
        <v>703</v>
      </c>
      <c r="B4" s="766"/>
      <c r="C4" s="766"/>
      <c r="D4" s="766"/>
      <c r="E4" s="766"/>
      <c r="F4" s="766"/>
      <c r="G4" s="766"/>
      <c r="H4" s="766"/>
      <c r="I4" s="766"/>
      <c r="J4" s="767"/>
      <c r="K4" s="767">
        <v>25000</v>
      </c>
      <c r="L4" s="767"/>
      <c r="M4" s="769" t="s">
        <v>21</v>
      </c>
    </row>
    <row r="5" spans="1:13" x14ac:dyDescent="0.25">
      <c r="A5" s="757" t="s">
        <v>704</v>
      </c>
      <c r="B5" s="756">
        <v>8308.3000000000011</v>
      </c>
      <c r="C5" s="756">
        <v>0</v>
      </c>
      <c r="D5" s="756">
        <v>5234.2290000000012</v>
      </c>
      <c r="E5" s="756">
        <v>0</v>
      </c>
      <c r="F5" s="756">
        <v>0</v>
      </c>
      <c r="G5" s="756">
        <v>0</v>
      </c>
      <c r="H5" s="756">
        <v>0</v>
      </c>
      <c r="I5" s="756">
        <v>0</v>
      </c>
      <c r="J5" s="765">
        <v>20000</v>
      </c>
      <c r="K5" s="764">
        <v>33542.529000000002</v>
      </c>
      <c r="L5" s="763">
        <v>500000</v>
      </c>
      <c r="M5" s="770">
        <v>0.34170116000000011</v>
      </c>
    </row>
    <row r="6" spans="1:13" x14ac:dyDescent="0.25">
      <c r="A6" s="675">
        <v>2012</v>
      </c>
      <c r="B6" s="738">
        <v>0</v>
      </c>
      <c r="C6" s="739">
        <v>0</v>
      </c>
      <c r="D6" s="739">
        <v>0</v>
      </c>
      <c r="E6" s="739">
        <v>0</v>
      </c>
      <c r="F6" s="739">
        <v>0</v>
      </c>
      <c r="G6" s="739">
        <v>0</v>
      </c>
      <c r="H6" s="739">
        <v>0</v>
      </c>
      <c r="I6" s="739">
        <v>0</v>
      </c>
      <c r="J6" s="740">
        <v>0</v>
      </c>
      <c r="K6" s="740">
        <v>0</v>
      </c>
      <c r="L6" s="759">
        <v>0</v>
      </c>
      <c r="M6" s="770">
        <v>-1</v>
      </c>
    </row>
    <row r="7" spans="1:13" ht="13.8" thickBot="1" x14ac:dyDescent="0.3">
      <c r="A7" s="751">
        <v>2013</v>
      </c>
      <c r="B7" s="738">
        <v>0</v>
      </c>
      <c r="C7" s="739">
        <v>0</v>
      </c>
      <c r="D7" s="739">
        <v>0</v>
      </c>
      <c r="E7" s="739">
        <v>0</v>
      </c>
      <c r="F7" s="739">
        <v>0</v>
      </c>
      <c r="G7" s="739">
        <v>0</v>
      </c>
      <c r="H7" s="736">
        <v>0</v>
      </c>
      <c r="I7" s="736">
        <v>0</v>
      </c>
      <c r="J7" s="754">
        <v>0</v>
      </c>
      <c r="K7" s="740">
        <v>0</v>
      </c>
      <c r="L7" s="759">
        <v>0</v>
      </c>
      <c r="M7" s="770" t="e">
        <v>#DIV/0!</v>
      </c>
    </row>
    <row r="8" spans="1:13" ht="13.8" thickBot="1" x14ac:dyDescent="0.3">
      <c r="A8" s="709" t="s">
        <v>178</v>
      </c>
      <c r="B8" s="752">
        <v>0</v>
      </c>
      <c r="C8" s="753">
        <v>0</v>
      </c>
      <c r="D8" s="753">
        <v>0</v>
      </c>
      <c r="E8" s="753">
        <v>0</v>
      </c>
      <c r="F8" s="753">
        <v>0</v>
      </c>
      <c r="G8" s="753">
        <v>0</v>
      </c>
      <c r="H8" s="753">
        <v>0</v>
      </c>
      <c r="I8" s="753">
        <v>0</v>
      </c>
      <c r="J8" s="755">
        <v>0</v>
      </c>
      <c r="K8" s="755">
        <v>0</v>
      </c>
      <c r="L8" s="762">
        <v>0</v>
      </c>
      <c r="M8" s="672"/>
    </row>
    <row r="9" spans="1:13" ht="21" x14ac:dyDescent="0.4">
      <c r="A9" s="684"/>
      <c r="B9" s="716"/>
      <c r="C9" s="716"/>
      <c r="D9" s="716"/>
      <c r="E9" s="716"/>
      <c r="F9" s="727"/>
      <c r="G9" s="717"/>
      <c r="H9" s="717"/>
      <c r="I9" s="672"/>
      <c r="J9" s="672"/>
      <c r="K9" s="672"/>
      <c r="L9" s="672"/>
      <c r="M9" s="689"/>
    </row>
    <row r="10" spans="1:13" ht="17.399999999999999" x14ac:dyDescent="0.3">
      <c r="A10" s="685" t="s">
        <v>772</v>
      </c>
      <c r="B10" s="727"/>
      <c r="C10" s="727"/>
      <c r="D10" s="727"/>
      <c r="E10" s="715"/>
      <c r="F10" s="715"/>
      <c r="G10" s="715"/>
      <c r="H10" s="715"/>
      <c r="I10" s="672"/>
      <c r="J10" s="672"/>
      <c r="K10" s="672"/>
      <c r="L10" s="672"/>
      <c r="M10" s="672"/>
    </row>
    <row r="11" spans="1:13" ht="17.399999999999999" x14ac:dyDescent="0.3">
      <c r="A11" s="686"/>
      <c r="B11" s="747">
        <v>2012</v>
      </c>
      <c r="C11" s="748">
        <v>2013</v>
      </c>
      <c r="D11" s="749" t="s">
        <v>29</v>
      </c>
      <c r="E11" s="693"/>
      <c r="F11" s="693"/>
      <c r="G11" s="693"/>
      <c r="H11" s="712" t="s">
        <v>706</v>
      </c>
      <c r="I11" s="689"/>
      <c r="J11" s="689"/>
      <c r="K11" s="689"/>
      <c r="L11" s="760"/>
      <c r="M11" s="672"/>
    </row>
    <row r="12" spans="1:13" x14ac:dyDescent="0.25">
      <c r="A12" s="683" t="s">
        <v>755</v>
      </c>
      <c r="B12" s="777">
        <v>0</v>
      </c>
      <c r="C12" s="774">
        <v>0</v>
      </c>
      <c r="D12" s="775">
        <v>0</v>
      </c>
      <c r="E12" s="693"/>
      <c r="F12" s="693"/>
      <c r="G12" s="693"/>
      <c r="H12" s="693" t="s">
        <v>755</v>
      </c>
      <c r="I12" s="705">
        <v>0</v>
      </c>
      <c r="J12" s="689"/>
      <c r="K12" s="672"/>
      <c r="L12" s="672"/>
      <c r="M12" s="672"/>
    </row>
    <row r="13" spans="1:13" ht="17.399999999999999" x14ac:dyDescent="0.3">
      <c r="A13" s="686"/>
      <c r="B13" s="729"/>
      <c r="C13" s="674"/>
      <c r="D13" s="730"/>
      <c r="E13" s="693"/>
      <c r="F13" s="693"/>
      <c r="G13" s="693"/>
      <c r="H13" s="693" t="s">
        <v>709</v>
      </c>
      <c r="I13" s="706">
        <v>0</v>
      </c>
      <c r="J13" s="689"/>
      <c r="K13" s="672"/>
      <c r="L13" s="672"/>
      <c r="M13" s="672"/>
    </row>
    <row r="14" spans="1:13" x14ac:dyDescent="0.25">
      <c r="A14" s="683" t="s">
        <v>713</v>
      </c>
      <c r="B14" s="731"/>
      <c r="C14" s="674"/>
      <c r="D14" s="730"/>
      <c r="E14" s="690"/>
      <c r="F14" s="690"/>
      <c r="G14" s="690"/>
      <c r="H14" s="693" t="s">
        <v>711</v>
      </c>
      <c r="I14" s="706">
        <v>0</v>
      </c>
      <c r="J14" s="672"/>
      <c r="K14" s="672"/>
      <c r="L14" s="672"/>
      <c r="M14" s="672"/>
    </row>
    <row r="15" spans="1:13" x14ac:dyDescent="0.25">
      <c r="A15" s="692" t="s">
        <v>715</v>
      </c>
      <c r="B15" s="732">
        <v>0</v>
      </c>
      <c r="C15" s="771">
        <v>0</v>
      </c>
      <c r="D15" s="750">
        <v>0</v>
      </c>
      <c r="E15" s="713">
        <v>0</v>
      </c>
      <c r="F15" s="694" t="s">
        <v>716</v>
      </c>
      <c r="G15" s="691"/>
      <c r="H15" s="693" t="s">
        <v>712</v>
      </c>
      <c r="I15" s="706">
        <v>0</v>
      </c>
      <c r="J15" s="672"/>
      <c r="K15" s="672"/>
      <c r="L15" s="672"/>
      <c r="M15" s="672"/>
    </row>
    <row r="16" spans="1:13" x14ac:dyDescent="0.25">
      <c r="A16" s="692" t="s">
        <v>718</v>
      </c>
      <c r="B16" s="732">
        <v>0</v>
      </c>
      <c r="C16" s="771">
        <v>0</v>
      </c>
      <c r="D16" s="750">
        <v>0</v>
      </c>
      <c r="E16" s="713">
        <v>0</v>
      </c>
      <c r="F16" s="694" t="s">
        <v>716</v>
      </c>
      <c r="G16" s="691"/>
      <c r="H16" s="693" t="s">
        <v>526</v>
      </c>
      <c r="I16" s="682">
        <v>0</v>
      </c>
      <c r="J16" s="672"/>
      <c r="K16" s="672"/>
      <c r="L16" s="672"/>
      <c r="M16" s="672"/>
    </row>
    <row r="17" spans="1:12" x14ac:dyDescent="0.25">
      <c r="A17" s="692" t="s">
        <v>720</v>
      </c>
      <c r="B17" s="732">
        <v>0</v>
      </c>
      <c r="C17" s="771">
        <v>0</v>
      </c>
      <c r="D17" s="750">
        <v>0</v>
      </c>
      <c r="E17" s="713">
        <v>0</v>
      </c>
      <c r="F17" s="694" t="s">
        <v>716</v>
      </c>
      <c r="G17" s="691"/>
      <c r="H17" s="693" t="s">
        <v>714</v>
      </c>
      <c r="I17" s="682">
        <v>0</v>
      </c>
      <c r="J17" s="672"/>
      <c r="K17" s="672"/>
      <c r="L17" s="761"/>
    </row>
    <row r="18" spans="1:12" x14ac:dyDescent="0.25">
      <c r="A18" s="692"/>
      <c r="B18" s="733"/>
      <c r="C18" s="674"/>
      <c r="D18" s="730"/>
      <c r="E18" s="691"/>
      <c r="F18" s="691"/>
      <c r="G18" s="691"/>
      <c r="H18" s="693" t="s">
        <v>717</v>
      </c>
      <c r="I18" s="682">
        <v>0</v>
      </c>
      <c r="J18" s="672"/>
      <c r="K18" s="672"/>
      <c r="L18" s="672"/>
    </row>
    <row r="19" spans="1:12" x14ac:dyDescent="0.25">
      <c r="A19" s="683" t="s">
        <v>526</v>
      </c>
      <c r="B19" s="731"/>
      <c r="C19" s="674"/>
      <c r="D19" s="730"/>
      <c r="E19" s="690"/>
      <c r="F19" s="690"/>
      <c r="G19" s="690"/>
      <c r="H19" s="693" t="s">
        <v>719</v>
      </c>
      <c r="I19" s="682">
        <v>0</v>
      </c>
      <c r="J19" s="672"/>
      <c r="K19" s="672"/>
      <c r="L19" s="672"/>
    </row>
    <row r="20" spans="1:12" x14ac:dyDescent="0.25">
      <c r="A20" s="672" t="s">
        <v>721</v>
      </c>
      <c r="B20" s="741">
        <v>0</v>
      </c>
      <c r="C20" s="771">
        <v>0</v>
      </c>
      <c r="D20" s="750">
        <v>0</v>
      </c>
      <c r="E20" s="718"/>
      <c r="F20" s="718"/>
      <c r="G20" s="718"/>
      <c r="H20" s="693" t="s">
        <v>11</v>
      </c>
      <c r="I20" s="682">
        <v>0</v>
      </c>
      <c r="J20" s="672"/>
      <c r="K20" s="672"/>
      <c r="L20" s="672"/>
    </row>
    <row r="21" spans="1:12" x14ac:dyDescent="0.25">
      <c r="A21" s="692" t="s">
        <v>722</v>
      </c>
      <c r="B21" s="741">
        <v>0</v>
      </c>
      <c r="C21" s="771">
        <v>0</v>
      </c>
      <c r="D21" s="750">
        <v>0</v>
      </c>
      <c r="E21" s="672"/>
      <c r="F21" s="690"/>
      <c r="G21" s="690"/>
      <c r="H21" s="693" t="s">
        <v>14</v>
      </c>
      <c r="I21" s="711">
        <v>0</v>
      </c>
      <c r="J21" s="672"/>
      <c r="K21" s="672"/>
      <c r="L21" s="672"/>
    </row>
    <row r="22" spans="1:12" x14ac:dyDescent="0.25">
      <c r="A22" s="692" t="s">
        <v>725</v>
      </c>
      <c r="B22" s="741">
        <v>0</v>
      </c>
      <c r="C22" s="771">
        <v>0</v>
      </c>
      <c r="D22" s="750">
        <v>0</v>
      </c>
      <c r="E22" s="690"/>
      <c r="F22" s="690"/>
      <c r="G22" s="719"/>
      <c r="H22" s="672"/>
      <c r="I22" s="681">
        <v>0</v>
      </c>
      <c r="J22" s="672"/>
      <c r="K22" s="672"/>
      <c r="L22" s="672"/>
    </row>
    <row r="23" spans="1:12" x14ac:dyDescent="0.25">
      <c r="A23" s="692" t="s">
        <v>728</v>
      </c>
      <c r="B23" s="741">
        <v>0</v>
      </c>
      <c r="C23" s="771">
        <v>0</v>
      </c>
      <c r="D23" s="750">
        <v>0</v>
      </c>
      <c r="E23" s="690"/>
      <c r="F23" s="690"/>
      <c r="G23" s="719"/>
      <c r="H23" s="693"/>
      <c r="I23" s="725"/>
      <c r="J23" s="672"/>
      <c r="K23" s="672"/>
      <c r="L23" s="672"/>
    </row>
    <row r="24" spans="1:12" x14ac:dyDescent="0.25">
      <c r="A24" s="672"/>
      <c r="B24" s="734">
        <v>0</v>
      </c>
      <c r="C24" s="703">
        <v>0</v>
      </c>
      <c r="D24" s="776">
        <v>0</v>
      </c>
      <c r="E24" s="690"/>
      <c r="F24" s="690"/>
      <c r="G24" s="719"/>
      <c r="H24" s="709" t="s">
        <v>723</v>
      </c>
      <c r="I24" s="723">
        <v>0</v>
      </c>
      <c r="J24" s="707" t="s">
        <v>724</v>
      </c>
      <c r="K24" s="672"/>
      <c r="L24" s="672"/>
    </row>
    <row r="25" spans="1:12" x14ac:dyDescent="0.25">
      <c r="A25" s="674"/>
      <c r="B25" s="743"/>
      <c r="C25" s="674"/>
      <c r="D25" s="730"/>
      <c r="E25" s="690"/>
      <c r="F25" s="690"/>
      <c r="G25" s="719"/>
      <c r="H25" s="709" t="s">
        <v>726</v>
      </c>
      <c r="I25" s="714" t="e">
        <v>#DIV/0!</v>
      </c>
      <c r="J25" s="710" t="s">
        <v>727</v>
      </c>
      <c r="K25" s="672"/>
      <c r="L25" s="672"/>
    </row>
    <row r="26" spans="1:12" x14ac:dyDescent="0.25">
      <c r="A26" s="683" t="s">
        <v>714</v>
      </c>
      <c r="B26" s="734">
        <v>0</v>
      </c>
      <c r="C26" s="728">
        <v>0</v>
      </c>
      <c r="D26" s="776">
        <v>0</v>
      </c>
      <c r="E26" s="690"/>
      <c r="F26" s="690"/>
      <c r="G26" s="719"/>
      <c r="H26" s="709" t="s">
        <v>729</v>
      </c>
      <c r="I26" s="714" t="e">
        <v>#DIV/0!</v>
      </c>
      <c r="J26" s="710" t="s">
        <v>727</v>
      </c>
      <c r="K26" s="672"/>
      <c r="L26" s="672"/>
    </row>
    <row r="27" spans="1:12" x14ac:dyDescent="0.25">
      <c r="A27" s="674"/>
      <c r="B27" s="743"/>
      <c r="C27" s="674"/>
      <c r="D27" s="730"/>
      <c r="E27" s="690"/>
      <c r="F27" s="690"/>
      <c r="G27" s="719"/>
      <c r="H27" s="708" t="s">
        <v>730</v>
      </c>
      <c r="I27" s="724" t="e">
        <v>#DIV/0!</v>
      </c>
      <c r="J27" s="672"/>
      <c r="K27" s="672"/>
      <c r="L27" s="672"/>
    </row>
    <row r="28" spans="1:12" x14ac:dyDescent="0.25">
      <c r="A28" s="677" t="s">
        <v>717</v>
      </c>
      <c r="B28" s="743"/>
      <c r="C28" s="674"/>
      <c r="D28" s="730"/>
      <c r="E28" s="719"/>
      <c r="F28" s="719"/>
      <c r="G28" s="719"/>
      <c r="H28" s="693"/>
      <c r="I28" s="672"/>
      <c r="J28" s="672"/>
      <c r="K28" s="672"/>
      <c r="L28" s="672"/>
    </row>
    <row r="29" spans="1:12" x14ac:dyDescent="0.25">
      <c r="A29" s="672" t="s">
        <v>731</v>
      </c>
      <c r="B29" s="743">
        <v>0</v>
      </c>
      <c r="C29" s="771">
        <v>0</v>
      </c>
      <c r="D29" s="750">
        <v>0</v>
      </c>
      <c r="E29" s="719"/>
      <c r="F29" s="719"/>
      <c r="G29" s="719"/>
      <c r="H29" s="693"/>
      <c r="I29" s="672"/>
      <c r="J29" s="672"/>
      <c r="K29" s="672"/>
      <c r="L29" s="672"/>
    </row>
    <row r="30" spans="1:12" x14ac:dyDescent="0.25">
      <c r="A30" s="672" t="s">
        <v>732</v>
      </c>
      <c r="B30" s="743">
        <v>0</v>
      </c>
      <c r="C30" s="771">
        <v>0</v>
      </c>
      <c r="D30" s="750">
        <v>0</v>
      </c>
      <c r="E30" s="719"/>
      <c r="F30" s="719"/>
      <c r="G30" s="719"/>
      <c r="H30" s="693"/>
      <c r="I30" s="672"/>
      <c r="J30" s="672"/>
      <c r="K30" s="672"/>
      <c r="L30" s="672"/>
    </row>
    <row r="31" spans="1:12" x14ac:dyDescent="0.25">
      <c r="A31" s="674" t="s">
        <v>733</v>
      </c>
      <c r="B31" s="743">
        <v>0</v>
      </c>
      <c r="C31" s="771">
        <v>0</v>
      </c>
      <c r="D31" s="750">
        <v>0</v>
      </c>
      <c r="E31" s="719"/>
      <c r="F31" s="719"/>
      <c r="G31" s="719"/>
      <c r="H31" s="693"/>
      <c r="I31" s="672"/>
      <c r="J31" s="672"/>
      <c r="K31" s="672"/>
      <c r="L31" s="672"/>
    </row>
    <row r="32" spans="1:12" x14ac:dyDescent="0.25">
      <c r="A32" s="677" t="s">
        <v>734</v>
      </c>
      <c r="B32" s="735">
        <v>0</v>
      </c>
      <c r="C32" s="695">
        <v>0</v>
      </c>
      <c r="D32" s="776">
        <v>0</v>
      </c>
      <c r="E32" s="719"/>
      <c r="F32" s="719"/>
      <c r="G32" s="719"/>
      <c r="H32" s="693"/>
      <c r="I32" s="672"/>
      <c r="J32" s="672"/>
      <c r="K32" s="672"/>
      <c r="L32" s="672"/>
    </row>
    <row r="33" spans="1:8" x14ac:dyDescent="0.25">
      <c r="A33" s="674"/>
      <c r="B33" s="743"/>
      <c r="C33" s="674"/>
      <c r="D33" s="730"/>
      <c r="E33" s="719"/>
      <c r="F33" s="719"/>
      <c r="G33" s="719"/>
      <c r="H33" s="693"/>
    </row>
    <row r="34" spans="1:8" x14ac:dyDescent="0.25">
      <c r="A34" s="677" t="s">
        <v>719</v>
      </c>
      <c r="B34" s="735">
        <v>0</v>
      </c>
      <c r="C34" s="772">
        <v>0</v>
      </c>
      <c r="D34" s="776">
        <v>0</v>
      </c>
      <c r="E34" s="719"/>
      <c r="F34" s="719"/>
      <c r="G34" s="719"/>
      <c r="H34" s="693"/>
    </row>
    <row r="35" spans="1:8" x14ac:dyDescent="0.25">
      <c r="A35" s="674"/>
      <c r="B35" s="743"/>
      <c r="C35" s="674"/>
      <c r="D35" s="730"/>
      <c r="E35" s="719"/>
      <c r="F35" s="720"/>
      <c r="G35" s="719"/>
      <c r="H35" s="693"/>
    </row>
    <row r="36" spans="1:8" x14ac:dyDescent="0.25">
      <c r="A36" s="677" t="s">
        <v>11</v>
      </c>
      <c r="B36" s="735">
        <v>0</v>
      </c>
      <c r="C36" s="695">
        <v>0</v>
      </c>
      <c r="D36" s="776">
        <v>0</v>
      </c>
      <c r="E36" s="719"/>
      <c r="F36" s="720"/>
      <c r="G36" s="719"/>
      <c r="H36" s="693"/>
    </row>
    <row r="37" spans="1:8" x14ac:dyDescent="0.25">
      <c r="A37" s="674"/>
      <c r="B37" s="743"/>
      <c r="C37" s="720"/>
      <c r="D37" s="744"/>
      <c r="E37" s="719"/>
      <c r="F37" s="673"/>
      <c r="G37" s="719"/>
      <c r="H37" s="687"/>
    </row>
    <row r="38" spans="1:8" x14ac:dyDescent="0.25">
      <c r="A38" s="675" t="s">
        <v>14</v>
      </c>
      <c r="B38" s="743"/>
      <c r="C38" s="720"/>
      <c r="D38" s="744"/>
      <c r="E38" s="719"/>
      <c r="F38" s="673"/>
      <c r="G38" s="719"/>
      <c r="H38" s="687"/>
    </row>
    <row r="39" spans="1:8" x14ac:dyDescent="0.25">
      <c r="A39" s="702" t="s">
        <v>770</v>
      </c>
      <c r="B39" s="741">
        <v>0</v>
      </c>
      <c r="C39" s="721"/>
      <c r="D39" s="742">
        <v>0</v>
      </c>
      <c r="E39" s="719"/>
      <c r="F39" s="673"/>
      <c r="G39" s="719"/>
      <c r="H39" s="687"/>
    </row>
    <row r="40" spans="1:8" x14ac:dyDescent="0.25">
      <c r="A40" s="698" t="s">
        <v>743</v>
      </c>
      <c r="B40" s="734">
        <v>0</v>
      </c>
      <c r="C40" s="703"/>
      <c r="D40" s="742">
        <v>0</v>
      </c>
      <c r="E40" s="719"/>
      <c r="F40" s="673"/>
      <c r="G40" s="719"/>
      <c r="H40" s="687"/>
    </row>
    <row r="41" spans="1:8" ht="13.8" thickBot="1" x14ac:dyDescent="0.3">
      <c r="A41" s="688"/>
      <c r="B41" s="741"/>
      <c r="C41" s="721"/>
      <c r="D41" s="742"/>
      <c r="E41" s="719"/>
      <c r="F41" s="673"/>
      <c r="G41" s="719"/>
      <c r="H41" s="687"/>
    </row>
    <row r="42" spans="1:8" ht="13.8" thickBot="1" x14ac:dyDescent="0.3">
      <c r="A42" s="698" t="s">
        <v>744</v>
      </c>
      <c r="B42" s="737">
        <v>0</v>
      </c>
      <c r="C42" s="745">
        <v>0</v>
      </c>
      <c r="D42" s="746">
        <v>0</v>
      </c>
      <c r="E42" s="719"/>
      <c r="F42" s="673"/>
      <c r="G42" s="719"/>
      <c r="H42" s="687"/>
    </row>
    <row r="43" spans="1:8" x14ac:dyDescent="0.25">
      <c r="A43" s="676"/>
      <c r="B43" s="721"/>
      <c r="C43" s="721"/>
      <c r="D43" s="721"/>
      <c r="E43" s="719"/>
      <c r="F43" s="673"/>
      <c r="G43" s="719"/>
      <c r="H43" s="687"/>
    </row>
    <row r="44" spans="1:8" x14ac:dyDescent="0.25">
      <c r="A44" s="672"/>
      <c r="B44" s="726">
        <v>2012</v>
      </c>
      <c r="C44" s="726">
        <v>2013</v>
      </c>
      <c r="D44" s="726" t="s">
        <v>29</v>
      </c>
      <c r="E44" s="672"/>
      <c r="F44" s="673"/>
      <c r="G44" s="719"/>
      <c r="H44" s="687"/>
    </row>
    <row r="45" spans="1:8" x14ac:dyDescent="0.25">
      <c r="A45" s="677" t="s">
        <v>745</v>
      </c>
      <c r="B45" s="704">
        <v>0</v>
      </c>
      <c r="C45" s="704">
        <v>0</v>
      </c>
      <c r="D45" s="704">
        <v>0</v>
      </c>
      <c r="E45" s="703" t="s">
        <v>746</v>
      </c>
      <c r="F45" s="720"/>
      <c r="G45" s="719"/>
      <c r="H45" s="687"/>
    </row>
    <row r="46" spans="1:8" x14ac:dyDescent="0.25">
      <c r="A46" s="672"/>
      <c r="B46" s="722"/>
      <c r="C46" s="722"/>
      <c r="D46" s="722"/>
      <c r="E46" s="696"/>
      <c r="F46" s="720"/>
      <c r="G46" s="719"/>
      <c r="H46" s="687"/>
    </row>
    <row r="47" spans="1:8" x14ac:dyDescent="0.25">
      <c r="A47" s="725" t="s">
        <v>751</v>
      </c>
      <c r="B47" s="773" t="e">
        <v>#DIV/0!</v>
      </c>
      <c r="C47" s="773" t="e">
        <v>#DIV/0!</v>
      </c>
      <c r="D47" s="722"/>
      <c r="E47" s="696"/>
      <c r="F47" s="720"/>
      <c r="G47" s="719"/>
      <c r="H47" s="687"/>
    </row>
    <row r="48" spans="1:8" x14ac:dyDescent="0.25">
      <c r="A48" s="672"/>
      <c r="B48" s="722"/>
      <c r="C48" s="722"/>
      <c r="D48" s="722"/>
      <c r="E48" s="696"/>
      <c r="F48" s="720"/>
      <c r="G48" s="719"/>
      <c r="H48" s="687"/>
    </row>
    <row r="49" spans="1:9" x14ac:dyDescent="0.25">
      <c r="A49" s="672"/>
      <c r="B49" s="722"/>
      <c r="C49" s="722"/>
      <c r="D49" s="722"/>
      <c r="E49" s="696"/>
      <c r="F49" s="720"/>
      <c r="G49" s="719"/>
      <c r="H49" s="687"/>
      <c r="I49" s="672"/>
    </row>
    <row r="50" spans="1:9" x14ac:dyDescent="0.25">
      <c r="A50" s="675"/>
      <c r="B50" s="672"/>
      <c r="C50" s="672"/>
      <c r="D50" s="672"/>
      <c r="E50" s="672"/>
      <c r="F50" s="720"/>
      <c r="G50" s="721"/>
      <c r="H50" s="697"/>
      <c r="I50" s="676"/>
    </row>
    <row r="51" spans="1:9" ht="21" x14ac:dyDescent="0.4">
      <c r="A51" s="684"/>
      <c r="B51" s="721"/>
      <c r="C51" s="721"/>
      <c r="D51" s="721"/>
      <c r="E51" s="699"/>
      <c r="F51" s="720"/>
      <c r="G51" s="699"/>
      <c r="H51" s="699"/>
      <c r="I51" s="676"/>
    </row>
    <row r="52" spans="1:9" x14ac:dyDescent="0.25">
      <c r="A52" s="672"/>
      <c r="B52" s="699"/>
      <c r="C52" s="699"/>
      <c r="D52" s="699"/>
      <c r="E52" s="699"/>
      <c r="F52" s="719"/>
      <c r="G52" s="699"/>
      <c r="H52" s="699"/>
      <c r="I52" s="676"/>
    </row>
    <row r="53" spans="1:9" x14ac:dyDescent="0.25">
      <c r="A53" s="672"/>
      <c r="B53" s="699"/>
      <c r="C53" s="699"/>
      <c r="D53" s="699"/>
      <c r="E53" s="721"/>
      <c r="F53" s="719"/>
      <c r="G53" s="699"/>
      <c r="H53" s="699"/>
      <c r="I53" s="676"/>
    </row>
    <row r="54" spans="1:9" ht="15.6" x14ac:dyDescent="0.3">
      <c r="A54" s="700"/>
      <c r="B54" s="701"/>
      <c r="C54" s="701"/>
      <c r="D54" s="701"/>
      <c r="E54" s="721"/>
      <c r="F54" s="719"/>
      <c r="G54" s="699"/>
      <c r="H54" s="699"/>
      <c r="I54" s="676"/>
    </row>
    <row r="55" spans="1:9" x14ac:dyDescent="0.25">
      <c r="A55" s="676"/>
      <c r="B55" s="676"/>
      <c r="C55" s="676"/>
      <c r="D55" s="676"/>
      <c r="E55" s="721"/>
      <c r="F55" s="719"/>
      <c r="G55" s="699"/>
      <c r="H55" s="699"/>
      <c r="I55" s="676"/>
    </row>
    <row r="56" spans="1:9" x14ac:dyDescent="0.25">
      <c r="A56" s="672"/>
      <c r="B56" s="672"/>
      <c r="C56" s="672"/>
      <c r="D56" s="672"/>
      <c r="E56" s="721"/>
      <c r="F56" s="721"/>
      <c r="G56" s="699"/>
      <c r="H56" s="699"/>
      <c r="I56" s="676"/>
    </row>
    <row r="57" spans="1:9" x14ac:dyDescent="0.25">
      <c r="A57" s="672"/>
      <c r="B57" s="672"/>
      <c r="C57" s="672"/>
      <c r="D57" s="672"/>
      <c r="E57" s="721"/>
      <c r="F57" s="699"/>
      <c r="G57" s="721"/>
      <c r="H57" s="699"/>
      <c r="I57" s="676"/>
    </row>
    <row r="58" spans="1:9" x14ac:dyDescent="0.25">
      <c r="A58" s="672"/>
      <c r="B58" s="672"/>
      <c r="C58" s="672"/>
      <c r="D58" s="672"/>
      <c r="E58" s="721"/>
      <c r="F58" s="699"/>
      <c r="G58" s="721"/>
      <c r="H58" s="697"/>
      <c r="I58" s="676"/>
    </row>
    <row r="59" spans="1:9" x14ac:dyDescent="0.25">
      <c r="A59" s="672"/>
      <c r="B59" s="672"/>
      <c r="C59" s="672"/>
      <c r="D59" s="672"/>
      <c r="E59" s="672"/>
      <c r="F59" s="699"/>
      <c r="G59" s="721"/>
      <c r="H59" s="697"/>
      <c r="I59" s="676"/>
    </row>
    <row r="60" spans="1:9" x14ac:dyDescent="0.25">
      <c r="A60" s="672"/>
      <c r="B60" s="672"/>
      <c r="C60" s="672"/>
      <c r="D60" s="672"/>
      <c r="E60" s="672"/>
      <c r="F60" s="699"/>
      <c r="G60" s="721"/>
      <c r="H60" s="697"/>
      <c r="I60" s="676"/>
    </row>
    <row r="61" spans="1:9" x14ac:dyDescent="0.25">
      <c r="A61" s="672"/>
      <c r="B61" s="672"/>
      <c r="C61" s="672"/>
      <c r="D61" s="672"/>
      <c r="E61" s="672"/>
      <c r="F61" s="699"/>
      <c r="G61" s="721"/>
      <c r="H61" s="697"/>
      <c r="I61" s="676"/>
    </row>
    <row r="62" spans="1:9" x14ac:dyDescent="0.25">
      <c r="A62" s="672"/>
      <c r="B62" s="672"/>
      <c r="C62" s="672"/>
      <c r="D62" s="672"/>
      <c r="E62" s="672"/>
      <c r="F62" s="699"/>
      <c r="G62" s="721"/>
      <c r="H62" s="697"/>
      <c r="I62" s="676"/>
    </row>
    <row r="63" spans="1:9" x14ac:dyDescent="0.25">
      <c r="A63" s="672"/>
      <c r="B63" s="672"/>
      <c r="C63" s="672"/>
      <c r="D63" s="672"/>
      <c r="E63" s="672"/>
      <c r="F63" s="721"/>
      <c r="G63" s="721"/>
      <c r="H63" s="697"/>
      <c r="I63" s="676"/>
    </row>
    <row r="64" spans="1:9" x14ac:dyDescent="0.25">
      <c r="A64" s="672"/>
      <c r="B64" s="672"/>
      <c r="C64" s="672"/>
      <c r="D64" s="672"/>
      <c r="E64" s="672"/>
      <c r="F64" s="721"/>
      <c r="G64" s="721"/>
      <c r="H64" s="697"/>
      <c r="I64" s="676"/>
    </row>
    <row r="65" spans="5:9" x14ac:dyDescent="0.25">
      <c r="E65" s="699"/>
      <c r="F65" s="721"/>
      <c r="G65" s="721"/>
      <c r="H65" s="697"/>
      <c r="I65" s="676"/>
    </row>
    <row r="66" spans="5:9" x14ac:dyDescent="0.25">
      <c r="E66" s="699"/>
      <c r="F66" s="721"/>
      <c r="G66" s="699"/>
      <c r="H66" s="699"/>
      <c r="I66" s="676"/>
    </row>
    <row r="67" spans="5:9" x14ac:dyDescent="0.25">
      <c r="E67" s="699"/>
      <c r="F67" s="721"/>
      <c r="G67" s="699"/>
      <c r="H67" s="699"/>
      <c r="I67" s="676"/>
    </row>
    <row r="68" spans="5:9" ht="15.6" x14ac:dyDescent="0.3">
      <c r="E68" s="701"/>
      <c r="F68" s="721"/>
      <c r="G68" s="699"/>
      <c r="H68" s="699"/>
      <c r="I68" s="676"/>
    </row>
    <row r="69" spans="5:9" x14ac:dyDescent="0.25">
      <c r="E69" s="676"/>
      <c r="F69" s="721"/>
      <c r="G69" s="699"/>
      <c r="H69" s="699"/>
      <c r="I69" s="676"/>
    </row>
    <row r="70" spans="5:9" x14ac:dyDescent="0.25">
      <c r="E70" s="672"/>
      <c r="F70" s="721"/>
      <c r="G70" s="699"/>
      <c r="H70" s="699"/>
      <c r="I70" s="676"/>
    </row>
    <row r="71" spans="5:9" x14ac:dyDescent="0.25">
      <c r="E71" s="672"/>
      <c r="F71" s="721"/>
      <c r="G71" s="699"/>
      <c r="H71" s="699"/>
      <c r="I71" s="676"/>
    </row>
    <row r="72" spans="5:9" ht="15.6" x14ac:dyDescent="0.3">
      <c r="E72" s="672"/>
      <c r="F72" s="699"/>
      <c r="G72" s="701"/>
      <c r="H72" s="701"/>
      <c r="I72" s="676"/>
    </row>
    <row r="73" spans="5:9" x14ac:dyDescent="0.25">
      <c r="E73" s="672"/>
      <c r="F73" s="699"/>
      <c r="G73" s="676"/>
      <c r="H73" s="676"/>
      <c r="I73" s="676"/>
    </row>
    <row r="74" spans="5:9" x14ac:dyDescent="0.25">
      <c r="E74" s="672"/>
      <c r="F74" s="699"/>
      <c r="G74" s="672"/>
      <c r="H74" s="672"/>
      <c r="I74" s="672"/>
    </row>
    <row r="75" spans="5:9" x14ac:dyDescent="0.25">
      <c r="E75" s="672"/>
      <c r="F75" s="699"/>
      <c r="G75" s="672"/>
      <c r="H75" s="672"/>
      <c r="I75" s="672"/>
    </row>
    <row r="76" spans="5:9" x14ac:dyDescent="0.25">
      <c r="E76" s="672"/>
      <c r="F76" s="699"/>
      <c r="G76" s="672"/>
      <c r="H76" s="672"/>
      <c r="I76" s="672"/>
    </row>
    <row r="77" spans="5:9" x14ac:dyDescent="0.25">
      <c r="E77" s="672"/>
      <c r="F77" s="699"/>
      <c r="G77" s="672"/>
      <c r="H77" s="672"/>
      <c r="I77" s="672"/>
    </row>
    <row r="78" spans="5:9" ht="15.6" x14ac:dyDescent="0.3">
      <c r="E78" s="672"/>
      <c r="F78" s="701"/>
      <c r="G78" s="672"/>
      <c r="H78" s="672"/>
      <c r="I78" s="672"/>
    </row>
    <row r="79" spans="5:9" x14ac:dyDescent="0.25">
      <c r="E79" s="672"/>
      <c r="F79" s="676"/>
      <c r="G79" s="672"/>
      <c r="H79" s="672"/>
      <c r="I79" s="672"/>
    </row>
  </sheetData>
  <customSheetViews>
    <customSheetView guid="{074EB09C-6289-46D7-9513-012B68BCA7BF}" showPageBreaks="1">
      <selection activeCell="A3" sqref="A3"/>
      <pageMargins left="0.7" right="0.7" top="0.75" bottom="0.75" header="0.3" footer="0.3"/>
      <pageSetup orientation="portrait" r:id="rId1"/>
    </customSheetView>
  </customSheetViews>
  <hyperlinks>
    <hyperlink ref="A3" location="'2) Sector View Electric'!A1" display="Back to Rollup"/>
  </hyperlinks>
  <pageMargins left="0.25" right="0.35" top="0.32" bottom="0.75" header="0.3" footer="0.3"/>
  <pageSetup paperSize="17" scale="8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1"/>
  <sheetViews>
    <sheetView workbookViewId="0">
      <pane xSplit="1" ySplit="1" topLeftCell="B26" activePane="bottomRight" state="frozen"/>
      <selection pane="topRight" activeCell="B1" sqref="B1"/>
      <selection pane="bottomLeft" activeCell="A2" sqref="A2"/>
      <selection pane="bottomRight" activeCell="C49" sqref="C49"/>
    </sheetView>
  </sheetViews>
  <sheetFormatPr defaultColWidth="98" defaultRowHeight="13.2" x14ac:dyDescent="0.25"/>
  <cols>
    <col min="1" max="1" width="15.33203125" style="3369" customWidth="1"/>
    <col min="2" max="2" width="59.5546875" customWidth="1"/>
    <col min="3" max="3" width="19.44140625" customWidth="1"/>
    <col min="4" max="4" width="18.88671875" customWidth="1"/>
    <col min="5" max="5" width="22" customWidth="1"/>
    <col min="6" max="6" width="23" customWidth="1"/>
    <col min="7" max="7" width="20.5546875" customWidth="1"/>
    <col min="8" max="8" width="21.88671875" customWidth="1"/>
    <col min="9" max="9" width="23.109375" customWidth="1"/>
    <col min="10" max="10" width="24.109375" customWidth="1"/>
    <col min="11" max="11" width="23.5546875" customWidth="1"/>
    <col min="12" max="12" width="21.5546875" customWidth="1"/>
    <col min="13" max="13" width="19.5546875" customWidth="1"/>
    <col min="14" max="14" width="24.6640625" customWidth="1"/>
  </cols>
  <sheetData>
    <row r="1" spans="2:14" ht="45" customHeight="1" x14ac:dyDescent="0.4">
      <c r="B1" s="784" t="s">
        <v>774</v>
      </c>
      <c r="C1" s="799"/>
      <c r="D1" s="799"/>
      <c r="E1" s="799"/>
      <c r="F1" s="799"/>
      <c r="G1" s="807"/>
      <c r="H1" s="800"/>
      <c r="I1" s="800"/>
      <c r="J1" s="778"/>
      <c r="K1" s="778"/>
      <c r="L1" s="778"/>
      <c r="M1" s="778"/>
      <c r="N1" s="778"/>
    </row>
    <row r="2" spans="2:14" ht="21" x14ac:dyDescent="0.4">
      <c r="B2" s="784"/>
      <c r="C2" s="799"/>
      <c r="D2" s="799"/>
      <c r="E2" s="799"/>
      <c r="F2" s="799"/>
      <c r="G2" s="807"/>
      <c r="H2" s="800"/>
      <c r="I2" s="800"/>
      <c r="J2" s="778"/>
      <c r="K2" s="778"/>
      <c r="L2" s="778"/>
      <c r="M2" s="778"/>
      <c r="N2" s="778"/>
    </row>
    <row r="3" spans="2:14" ht="26.4" x14ac:dyDescent="0.25">
      <c r="B3" s="3884"/>
      <c r="C3" s="782" t="s">
        <v>9</v>
      </c>
      <c r="D3" s="782" t="s">
        <v>10</v>
      </c>
      <c r="E3" s="782" t="s">
        <v>701</v>
      </c>
      <c r="F3" s="782" t="s">
        <v>12</v>
      </c>
      <c r="G3" s="782" t="s">
        <v>13</v>
      </c>
      <c r="H3" s="782" t="s">
        <v>14</v>
      </c>
      <c r="I3" s="782" t="s">
        <v>15</v>
      </c>
      <c r="J3" s="782" t="s">
        <v>16</v>
      </c>
      <c r="K3" s="782" t="s">
        <v>702</v>
      </c>
      <c r="L3" s="782" t="s">
        <v>18</v>
      </c>
      <c r="M3" s="823" t="s">
        <v>136</v>
      </c>
      <c r="N3" s="783" t="s">
        <v>19</v>
      </c>
    </row>
    <row r="4" spans="2:14" ht="26.4" x14ac:dyDescent="0.25">
      <c r="B4" s="833" t="s">
        <v>703</v>
      </c>
      <c r="C4" s="831"/>
      <c r="D4" s="831"/>
      <c r="E4" s="831"/>
      <c r="F4" s="831"/>
      <c r="G4" s="831"/>
      <c r="H4" s="831"/>
      <c r="I4" s="831"/>
      <c r="J4" s="831"/>
      <c r="K4" s="832"/>
      <c r="L4" s="832">
        <v>416667</v>
      </c>
      <c r="M4" s="832"/>
      <c r="N4" s="834" t="s">
        <v>21</v>
      </c>
    </row>
    <row r="5" spans="2:14" x14ac:dyDescent="0.25">
      <c r="B5" s="822" t="s">
        <v>704</v>
      </c>
      <c r="C5" s="821">
        <v>83083</v>
      </c>
      <c r="D5" s="821">
        <v>0</v>
      </c>
      <c r="E5" s="821">
        <v>52342.29</v>
      </c>
      <c r="F5" s="821">
        <v>0</v>
      </c>
      <c r="G5" s="821">
        <v>0</v>
      </c>
      <c r="H5" s="821">
        <v>178300</v>
      </c>
      <c r="I5" s="821">
        <v>0</v>
      </c>
      <c r="J5" s="821">
        <v>0</v>
      </c>
      <c r="K5" s="830">
        <v>6255000</v>
      </c>
      <c r="L5" s="829">
        <v>6568725.29</v>
      </c>
      <c r="M5" s="828">
        <v>13900000</v>
      </c>
      <c r="N5" s="835">
        <v>14.764928084057534</v>
      </c>
    </row>
    <row r="6" spans="2:14" x14ac:dyDescent="0.25">
      <c r="B6" s="780">
        <v>2012</v>
      </c>
      <c r="C6" s="809">
        <f>C16</f>
        <v>336550</v>
      </c>
      <c r="D6" s="810">
        <f>C20</f>
        <v>0</v>
      </c>
      <c r="E6" s="810">
        <f>C38</f>
        <v>212000</v>
      </c>
      <c r="F6" s="810">
        <f>C36</f>
        <v>0</v>
      </c>
      <c r="G6" s="810">
        <f>C26</f>
        <v>0</v>
      </c>
      <c r="H6" s="810">
        <f>C43</f>
        <v>0</v>
      </c>
      <c r="I6" s="810">
        <f>C34</f>
        <v>0</v>
      </c>
      <c r="J6" s="810">
        <f>C28</f>
        <v>0</v>
      </c>
      <c r="K6" s="811">
        <f>C12</f>
        <v>4620000</v>
      </c>
      <c r="L6" s="811">
        <f>SUM(C6:K6)</f>
        <v>5168550</v>
      </c>
      <c r="M6" s="824">
        <f>C51</f>
        <v>16500000</v>
      </c>
      <c r="N6" s="835">
        <v>-0.1853198659187649</v>
      </c>
    </row>
    <row r="7" spans="2:14" ht="13.8" thickBot="1" x14ac:dyDescent="0.3">
      <c r="B7" s="815">
        <v>2013</v>
      </c>
      <c r="C7" s="809">
        <f>D16</f>
        <v>336550</v>
      </c>
      <c r="D7" s="810">
        <f>D20</f>
        <v>0</v>
      </c>
      <c r="E7" s="810">
        <f>D38</f>
        <v>212000</v>
      </c>
      <c r="F7" s="810">
        <f>D36</f>
        <v>0</v>
      </c>
      <c r="G7" s="810">
        <f>D26</f>
        <v>0</v>
      </c>
      <c r="H7" s="810">
        <f>D43</f>
        <v>0</v>
      </c>
      <c r="I7" s="818">
        <f>D34</f>
        <v>0</v>
      </c>
      <c r="J7" s="818">
        <f>D28</f>
        <v>0</v>
      </c>
      <c r="K7" s="819">
        <f>D12</f>
        <v>4620000</v>
      </c>
      <c r="L7" s="811">
        <f>SUM(C7:K7)</f>
        <v>5168550</v>
      </c>
      <c r="M7" s="824">
        <f>D51</f>
        <v>16500000</v>
      </c>
      <c r="N7" s="835">
        <v>0</v>
      </c>
    </row>
    <row r="8" spans="2:14" ht="13.8" thickBot="1" x14ac:dyDescent="0.3">
      <c r="B8" s="797" t="s">
        <v>178</v>
      </c>
      <c r="C8" s="816">
        <f t="shared" ref="C8:M8" si="0">SUM(C6:C7)</f>
        <v>673100</v>
      </c>
      <c r="D8" s="817">
        <f t="shared" si="0"/>
        <v>0</v>
      </c>
      <c r="E8" s="817">
        <f t="shared" si="0"/>
        <v>424000</v>
      </c>
      <c r="F8" s="817">
        <f t="shared" si="0"/>
        <v>0</v>
      </c>
      <c r="G8" s="817">
        <f t="shared" si="0"/>
        <v>0</v>
      </c>
      <c r="H8" s="817">
        <f t="shared" si="0"/>
        <v>0</v>
      </c>
      <c r="I8" s="817">
        <f t="shared" si="0"/>
        <v>0</v>
      </c>
      <c r="J8" s="817">
        <f t="shared" si="0"/>
        <v>0</v>
      </c>
      <c r="K8" s="820">
        <f t="shared" si="0"/>
        <v>9240000</v>
      </c>
      <c r="L8" s="820">
        <f>SUM(L6:L7)</f>
        <v>10337100</v>
      </c>
      <c r="M8" s="827">
        <f t="shared" si="0"/>
        <v>33000000</v>
      </c>
      <c r="N8" s="778"/>
    </row>
    <row r="9" spans="2:14" ht="21" x14ac:dyDescent="0.4">
      <c r="B9" s="784"/>
      <c r="C9" s="799"/>
      <c r="D9" s="799"/>
      <c r="E9" s="799"/>
      <c r="F9" s="799"/>
      <c r="G9" s="807"/>
      <c r="H9" s="800"/>
      <c r="I9" s="800"/>
      <c r="J9" s="778"/>
      <c r="K9" s="778"/>
      <c r="L9" s="778"/>
      <c r="M9" s="778"/>
      <c r="N9" s="788"/>
    </row>
    <row r="10" spans="2:14" ht="17.399999999999999" x14ac:dyDescent="0.3">
      <c r="B10" s="785" t="s">
        <v>775</v>
      </c>
      <c r="C10" s="807"/>
      <c r="D10" s="807"/>
      <c r="E10" s="807"/>
      <c r="F10" s="798"/>
      <c r="G10" s="798"/>
      <c r="H10" s="798"/>
      <c r="I10" s="798"/>
      <c r="J10" s="778"/>
      <c r="K10" s="778"/>
      <c r="L10" s="778"/>
      <c r="M10" s="778"/>
      <c r="N10" s="778"/>
    </row>
    <row r="11" spans="2:14" ht="17.399999999999999" x14ac:dyDescent="0.3">
      <c r="B11" s="786"/>
      <c r="C11" s="812">
        <v>2012</v>
      </c>
      <c r="D11" s="813">
        <v>2013</v>
      </c>
      <c r="E11" s="814" t="s">
        <v>29</v>
      </c>
      <c r="F11" s="791"/>
      <c r="G11" s="791"/>
      <c r="H11" s="4542"/>
      <c r="I11" s="4550" t="s">
        <v>706</v>
      </c>
      <c r="J11" s="4539"/>
      <c r="K11" s="4539"/>
      <c r="L11" s="788"/>
      <c r="M11" s="825"/>
      <c r="N11" s="778"/>
    </row>
    <row r="12" spans="2:14" ht="13.8" x14ac:dyDescent="0.3">
      <c r="B12" s="3903"/>
      <c r="C12" s="3001">
        <v>4620000</v>
      </c>
      <c r="D12" s="2986">
        <v>4620000</v>
      </c>
      <c r="E12" s="3011">
        <v>9240000</v>
      </c>
      <c r="F12" s="2985"/>
      <c r="G12" s="791"/>
      <c r="H12" s="4542"/>
      <c r="I12" s="4542" t="s">
        <v>755</v>
      </c>
      <c r="J12" s="4544">
        <v>9240000</v>
      </c>
      <c r="K12" s="4539"/>
      <c r="L12" s="778"/>
      <c r="M12" s="778"/>
      <c r="N12" s="778"/>
    </row>
    <row r="13" spans="2:14" ht="17.399999999999999" x14ac:dyDescent="0.3">
      <c r="B13" s="2980"/>
      <c r="C13" s="3002"/>
      <c r="D13" s="2985"/>
      <c r="E13" s="3010"/>
      <c r="F13" s="2985"/>
      <c r="G13" s="791"/>
      <c r="H13" s="4542"/>
      <c r="I13" s="4542" t="s">
        <v>709</v>
      </c>
      <c r="J13" s="4545">
        <v>673100</v>
      </c>
      <c r="K13" s="4539"/>
      <c r="L13" s="778"/>
      <c r="M13" s="778"/>
      <c r="N13" s="778"/>
    </row>
    <row r="14" spans="2:14" x14ac:dyDescent="0.25">
      <c r="B14" s="2978" t="s">
        <v>713</v>
      </c>
      <c r="C14" s="3004"/>
      <c r="D14" s="2990"/>
      <c r="E14" s="3012"/>
      <c r="F14" s="2982"/>
      <c r="G14" s="789"/>
      <c r="H14" s="4540"/>
      <c r="I14" s="4542" t="s">
        <v>526</v>
      </c>
      <c r="J14" s="4538">
        <v>0</v>
      </c>
      <c r="K14" s="4535"/>
      <c r="L14" s="778"/>
      <c r="M14" s="778"/>
      <c r="N14" s="778"/>
    </row>
    <row r="15" spans="2:14" x14ac:dyDescent="0.25">
      <c r="B15" s="2984" t="s">
        <v>715</v>
      </c>
      <c r="C15" s="3030">
        <v>0</v>
      </c>
      <c r="D15" s="3026">
        <v>0</v>
      </c>
      <c r="E15" s="3031">
        <v>0</v>
      </c>
      <c r="F15" s="2994"/>
      <c r="G15" s="792"/>
      <c r="H15" s="4541"/>
      <c r="I15" s="4542" t="s">
        <v>714</v>
      </c>
      <c r="J15" s="4538">
        <v>0</v>
      </c>
      <c r="K15" s="4535"/>
      <c r="L15" s="778"/>
      <c r="M15" s="778"/>
      <c r="N15" s="778"/>
    </row>
    <row r="16" spans="2:14" x14ac:dyDescent="0.25">
      <c r="B16" s="3795" t="s">
        <v>1188</v>
      </c>
      <c r="C16" s="3793">
        <v>336550</v>
      </c>
      <c r="D16" s="3792">
        <v>336550</v>
      </c>
      <c r="E16" s="3794">
        <f>SUM(C16:D16)</f>
        <v>673100</v>
      </c>
      <c r="F16" s="3318"/>
      <c r="G16" s="1291"/>
      <c r="H16" s="4541"/>
      <c r="I16" s="4542" t="s">
        <v>717</v>
      </c>
      <c r="J16" s="4538">
        <v>0</v>
      </c>
      <c r="K16" s="4535"/>
      <c r="L16" s="778"/>
      <c r="M16" s="778"/>
      <c r="N16" s="778"/>
    </row>
    <row r="17" spans="2:13" x14ac:dyDescent="0.25">
      <c r="B17" s="3000" t="s">
        <v>777</v>
      </c>
      <c r="C17" s="3005"/>
      <c r="D17" s="3027"/>
      <c r="E17" s="3014"/>
      <c r="F17" s="2983"/>
      <c r="G17" s="790"/>
      <c r="H17" s="4541"/>
      <c r="I17" s="4542" t="s">
        <v>719</v>
      </c>
      <c r="J17" s="4538">
        <v>0</v>
      </c>
      <c r="K17" s="4535"/>
      <c r="L17" s="778"/>
      <c r="M17" s="826"/>
    </row>
    <row r="18" spans="2:13" x14ac:dyDescent="0.25">
      <c r="B18" s="3000" t="s">
        <v>776</v>
      </c>
      <c r="C18" s="3022"/>
      <c r="D18" s="3028"/>
      <c r="E18" s="3003"/>
      <c r="F18" s="2974"/>
      <c r="G18" s="778"/>
      <c r="H18" s="4541"/>
      <c r="I18" s="4542" t="s">
        <v>1189</v>
      </c>
      <c r="J18" s="4558">
        <v>424000</v>
      </c>
      <c r="K18" s="4535"/>
      <c r="L18" s="778"/>
      <c r="M18" s="778"/>
    </row>
    <row r="19" spans="2:13" x14ac:dyDescent="0.25">
      <c r="B19" s="3000" t="s">
        <v>778</v>
      </c>
      <c r="C19" s="3022"/>
      <c r="D19" s="3028"/>
      <c r="E19" s="3003"/>
      <c r="F19" s="2974"/>
      <c r="G19" s="778"/>
      <c r="H19" s="4540"/>
      <c r="I19" s="4542" t="s">
        <v>14</v>
      </c>
      <c r="J19" s="4538">
        <v>0</v>
      </c>
      <c r="K19" s="4535"/>
      <c r="L19" s="778"/>
      <c r="M19" s="778"/>
    </row>
    <row r="20" spans="2:13" x14ac:dyDescent="0.25">
      <c r="B20" s="2984" t="s">
        <v>720</v>
      </c>
      <c r="C20" s="3030">
        <v>0</v>
      </c>
      <c r="D20" s="3026">
        <v>0</v>
      </c>
      <c r="E20" s="3031">
        <v>0</v>
      </c>
      <c r="F20" s="2994"/>
      <c r="G20" s="792"/>
      <c r="H20" s="4540"/>
      <c r="I20" s="4535"/>
      <c r="J20" s="4537">
        <v>10337100</v>
      </c>
      <c r="K20" s="4535"/>
      <c r="L20" s="778"/>
      <c r="M20" s="778"/>
    </row>
    <row r="21" spans="2:13" x14ac:dyDescent="0.25">
      <c r="B21" s="2978" t="s">
        <v>526</v>
      </c>
      <c r="C21" s="3004"/>
      <c r="D21" s="2988"/>
      <c r="E21" s="3012"/>
      <c r="F21" s="2982"/>
      <c r="G21" s="789"/>
      <c r="H21" s="4552"/>
      <c r="I21" s="4542"/>
      <c r="J21" s="4556"/>
      <c r="K21" s="4535"/>
      <c r="L21" s="778"/>
      <c r="M21" s="778"/>
    </row>
    <row r="22" spans="2:13" x14ac:dyDescent="0.25">
      <c r="B22" s="2974" t="s">
        <v>721</v>
      </c>
      <c r="C22" s="3015">
        <v>0</v>
      </c>
      <c r="D22" s="3026">
        <v>0</v>
      </c>
      <c r="E22" s="3016">
        <v>0</v>
      </c>
      <c r="F22" s="2995"/>
      <c r="G22" s="801"/>
      <c r="H22" s="4540"/>
      <c r="I22" s="4548" t="s">
        <v>723</v>
      </c>
      <c r="J22" s="4554">
        <v>33000000</v>
      </c>
      <c r="K22" s="4546" t="s">
        <v>724</v>
      </c>
      <c r="L22" s="778"/>
      <c r="M22" s="778"/>
    </row>
    <row r="23" spans="2:13" x14ac:dyDescent="0.25">
      <c r="B23" s="2984" t="s">
        <v>722</v>
      </c>
      <c r="C23" s="3015">
        <v>0</v>
      </c>
      <c r="D23" s="3026">
        <v>0</v>
      </c>
      <c r="E23" s="3016">
        <v>0</v>
      </c>
      <c r="F23" s="2974"/>
      <c r="G23" s="789"/>
      <c r="H23" s="4553"/>
      <c r="I23" s="4548" t="s">
        <v>726</v>
      </c>
      <c r="J23" s="4551">
        <v>0.28000000000000003</v>
      </c>
      <c r="K23" s="4549" t="s">
        <v>727</v>
      </c>
      <c r="L23" s="778"/>
      <c r="M23" s="778"/>
    </row>
    <row r="24" spans="2:13" x14ac:dyDescent="0.25">
      <c r="B24" s="2984" t="s">
        <v>725</v>
      </c>
      <c r="C24" s="3015">
        <v>0</v>
      </c>
      <c r="D24" s="3026">
        <v>0</v>
      </c>
      <c r="E24" s="3016">
        <v>0</v>
      </c>
      <c r="F24" s="2982"/>
      <c r="G24" s="789"/>
      <c r="H24" s="4553"/>
      <c r="I24" s="4548" t="s">
        <v>729</v>
      </c>
      <c r="J24" s="4551">
        <v>0.31324545454545455</v>
      </c>
      <c r="K24" s="4549" t="s">
        <v>727</v>
      </c>
      <c r="L24" s="778"/>
      <c r="M24" s="778"/>
    </row>
    <row r="25" spans="2:13" x14ac:dyDescent="0.25">
      <c r="B25" s="2984" t="s">
        <v>728</v>
      </c>
      <c r="C25" s="3006">
        <v>0</v>
      </c>
      <c r="D25" s="3026">
        <v>0</v>
      </c>
      <c r="E25" s="3029">
        <v>0</v>
      </c>
      <c r="F25" s="2982"/>
      <c r="G25" s="789"/>
      <c r="H25" s="4553"/>
      <c r="I25" s="4547" t="s">
        <v>730</v>
      </c>
      <c r="J25" s="4555">
        <v>0.89386771918623209</v>
      </c>
      <c r="K25" s="4535"/>
      <c r="L25" s="778"/>
      <c r="M25" s="778"/>
    </row>
    <row r="26" spans="2:13" x14ac:dyDescent="0.25">
      <c r="B26" s="2974"/>
      <c r="C26" s="3007">
        <v>0</v>
      </c>
      <c r="D26" s="3013">
        <v>0</v>
      </c>
      <c r="E26" s="3020">
        <v>0</v>
      </c>
      <c r="F26" s="2982"/>
      <c r="G26" s="789"/>
      <c r="H26" s="4553"/>
      <c r="I26" s="4535"/>
      <c r="J26" s="4535"/>
      <c r="K26" s="4535"/>
      <c r="L26" s="778"/>
      <c r="M26" s="778"/>
    </row>
    <row r="27" spans="2:13" x14ac:dyDescent="0.25">
      <c r="B27" s="2975"/>
      <c r="C27" s="3018"/>
      <c r="D27" s="2979"/>
      <c r="E27" s="3019"/>
      <c r="F27" s="2982"/>
      <c r="G27" s="789"/>
      <c r="H27" s="4553"/>
      <c r="I27" s="4535"/>
      <c r="J27" s="4535"/>
      <c r="K27" s="4535"/>
      <c r="L27" s="778"/>
      <c r="M27" s="778"/>
    </row>
    <row r="28" spans="2:13" x14ac:dyDescent="0.25">
      <c r="B28" s="2978" t="s">
        <v>714</v>
      </c>
      <c r="C28" s="3007">
        <v>0</v>
      </c>
      <c r="D28" s="3013">
        <v>0</v>
      </c>
      <c r="E28" s="3017">
        <v>0</v>
      </c>
      <c r="F28" s="2982"/>
      <c r="G28" s="789"/>
      <c r="H28" s="4553"/>
      <c r="I28" s="4535"/>
      <c r="J28" s="4535"/>
      <c r="K28" s="4535"/>
      <c r="L28" s="778"/>
      <c r="M28" s="778"/>
    </row>
    <row r="29" spans="2:13" x14ac:dyDescent="0.25">
      <c r="B29" s="2975"/>
      <c r="C29" s="3018"/>
      <c r="D29" s="2979"/>
      <c r="E29" s="3019"/>
      <c r="F29" s="2982"/>
      <c r="G29" s="789"/>
      <c r="H29" s="4553"/>
      <c r="I29" s="4535"/>
      <c r="J29" s="4535"/>
      <c r="K29" s="4535"/>
      <c r="L29" s="778"/>
      <c r="M29" s="778"/>
    </row>
    <row r="30" spans="2:13" x14ac:dyDescent="0.25">
      <c r="B30" s="2977" t="s">
        <v>717</v>
      </c>
      <c r="C30" s="3018"/>
      <c r="D30" s="2979"/>
      <c r="E30" s="3019"/>
      <c r="F30" s="2996"/>
      <c r="G30" s="802"/>
      <c r="H30" s="4543" t="s">
        <v>1190</v>
      </c>
      <c r="I30" s="4536"/>
      <c r="J30" s="4536"/>
      <c r="K30" s="4536"/>
      <c r="L30" s="778"/>
      <c r="M30" s="778"/>
    </row>
    <row r="31" spans="2:13" x14ac:dyDescent="0.25">
      <c r="B31" s="2974" t="s">
        <v>731</v>
      </c>
      <c r="C31" s="3018">
        <v>0</v>
      </c>
      <c r="D31" s="3026">
        <v>0</v>
      </c>
      <c r="E31" s="3019">
        <v>0</v>
      </c>
      <c r="F31" s="2996"/>
      <c r="G31" s="802"/>
      <c r="H31" s="4559"/>
      <c r="I31" s="4565" t="s">
        <v>1214</v>
      </c>
      <c r="J31" s="4560">
        <v>14628000</v>
      </c>
      <c r="K31" s="4536"/>
      <c r="L31" s="778"/>
      <c r="M31" s="778"/>
    </row>
    <row r="32" spans="2:13" x14ac:dyDescent="0.25">
      <c r="B32" s="2974" t="s">
        <v>732</v>
      </c>
      <c r="C32" s="3018">
        <v>0</v>
      </c>
      <c r="D32" s="3026">
        <v>0</v>
      </c>
      <c r="E32" s="3019">
        <v>0</v>
      </c>
      <c r="F32" s="2996"/>
      <c r="G32" s="802"/>
      <c r="H32" s="4557"/>
      <c r="I32" s="4564" t="s">
        <v>1302</v>
      </c>
      <c r="J32" s="4561">
        <v>1097100</v>
      </c>
      <c r="K32" s="4536"/>
      <c r="L32" s="778"/>
      <c r="M32" s="778"/>
    </row>
    <row r="33" spans="2:11" x14ac:dyDescent="0.25">
      <c r="B33" s="2975" t="s">
        <v>733</v>
      </c>
      <c r="C33" s="3018">
        <v>0</v>
      </c>
      <c r="D33" s="3026">
        <v>0</v>
      </c>
      <c r="E33" s="3019">
        <v>0</v>
      </c>
      <c r="F33" s="2996"/>
      <c r="G33" s="802"/>
      <c r="H33" s="4557"/>
      <c r="I33" s="4564" t="s">
        <v>1186</v>
      </c>
      <c r="J33" s="4561">
        <v>673100</v>
      </c>
      <c r="K33" s="4536"/>
    </row>
    <row r="34" spans="2:11" x14ac:dyDescent="0.25">
      <c r="B34" s="2977" t="s">
        <v>734</v>
      </c>
      <c r="C34" s="3008">
        <v>0</v>
      </c>
      <c r="D34" s="3026">
        <v>0</v>
      </c>
      <c r="E34" s="3025">
        <v>0</v>
      </c>
      <c r="F34" s="2996"/>
      <c r="G34" s="802"/>
      <c r="H34" s="4563"/>
      <c r="I34" s="4566" t="s">
        <v>1187</v>
      </c>
      <c r="J34" s="4562">
        <v>424000</v>
      </c>
      <c r="K34" s="4536"/>
    </row>
    <row r="35" spans="2:11" x14ac:dyDescent="0.25">
      <c r="B35" s="2975"/>
      <c r="C35" s="3018"/>
      <c r="D35" s="2979"/>
      <c r="E35" s="3019"/>
      <c r="F35" s="2996"/>
      <c r="G35" s="802"/>
      <c r="H35" s="4553"/>
      <c r="I35" s="4542"/>
      <c r="J35" s="4535"/>
      <c r="K35" s="4535"/>
    </row>
    <row r="36" spans="2:11" x14ac:dyDescent="0.25">
      <c r="B36" s="2977" t="s">
        <v>719</v>
      </c>
      <c r="C36" s="3009">
        <v>0</v>
      </c>
      <c r="D36" s="3013">
        <v>0</v>
      </c>
      <c r="E36" s="3020">
        <v>0</v>
      </c>
      <c r="F36" s="2996"/>
      <c r="G36" s="802"/>
      <c r="H36" s="4543" t="s">
        <v>1303</v>
      </c>
      <c r="I36" s="4536"/>
      <c r="J36" s="4536"/>
      <c r="K36" s="4535"/>
    </row>
    <row r="37" spans="2:11" x14ac:dyDescent="0.25">
      <c r="B37" s="2975"/>
      <c r="C37" s="3018"/>
      <c r="D37" s="2979"/>
      <c r="E37" s="3019"/>
      <c r="F37" s="2996"/>
      <c r="G37" s="803"/>
      <c r="H37" s="4559"/>
      <c r="I37" s="4565" t="s">
        <v>1214</v>
      </c>
      <c r="J37" s="4560">
        <v>14628000</v>
      </c>
      <c r="K37" s="4535"/>
    </row>
    <row r="38" spans="2:11" x14ac:dyDescent="0.25">
      <c r="B38" s="3796" t="s">
        <v>1189</v>
      </c>
      <c r="C38" s="3798">
        <v>212000</v>
      </c>
      <c r="D38" s="3797">
        <v>212000</v>
      </c>
      <c r="E38" s="3799">
        <f>SUM(C38:D38)</f>
        <v>424000</v>
      </c>
      <c r="F38" s="2996"/>
      <c r="G38" s="803"/>
      <c r="H38" s="4563"/>
      <c r="I38" s="4566" t="s">
        <v>1215</v>
      </c>
      <c r="J38" s="4562">
        <v>1462800</v>
      </c>
      <c r="K38" s="4535"/>
    </row>
    <row r="39" spans="2:11" x14ac:dyDescent="0.25">
      <c r="B39" s="2975"/>
      <c r="C39" s="3018"/>
      <c r="D39" s="2979"/>
      <c r="E39" s="3019"/>
      <c r="F39" s="2996"/>
      <c r="G39" s="779"/>
      <c r="H39" s="802"/>
      <c r="I39" s="787"/>
    </row>
    <row r="40" spans="2:11" x14ac:dyDescent="0.25">
      <c r="B40" s="4529" t="s">
        <v>1299</v>
      </c>
      <c r="C40" s="3018"/>
      <c r="D40" s="2979"/>
      <c r="E40" s="3019"/>
      <c r="F40" s="2996"/>
      <c r="G40" s="779"/>
      <c r="H40" s="802"/>
      <c r="I40" s="787"/>
    </row>
    <row r="41" spans="2:11" x14ac:dyDescent="0.25">
      <c r="B41" s="4531" t="s">
        <v>1300</v>
      </c>
      <c r="C41" s="4534">
        <v>-731400</v>
      </c>
      <c r="D41" s="4533">
        <v>-731400</v>
      </c>
      <c r="E41" s="3016">
        <f>SUM(C41:D41)</f>
        <v>-1462800</v>
      </c>
      <c r="F41" s="4532" t="s">
        <v>1301</v>
      </c>
      <c r="G41" s="779"/>
      <c r="H41" s="802"/>
      <c r="I41" s="787"/>
    </row>
    <row r="42" spans="2:11" x14ac:dyDescent="0.25">
      <c r="B42" s="4530" t="s">
        <v>779</v>
      </c>
      <c r="C42" s="4534">
        <v>731400</v>
      </c>
      <c r="D42" s="4533">
        <v>731400</v>
      </c>
      <c r="E42" s="3473">
        <f>SUM(C42:D42)</f>
        <v>1462800</v>
      </c>
      <c r="F42" s="3465"/>
      <c r="G42" s="779"/>
      <c r="H42" s="802"/>
      <c r="I42" s="787"/>
    </row>
    <row r="43" spans="2:11" x14ac:dyDescent="0.25">
      <c r="B43" s="2989" t="s">
        <v>743</v>
      </c>
      <c r="C43" s="3007">
        <f>SUM(C41:C42)</f>
        <v>0</v>
      </c>
      <c r="D43" s="3013">
        <f>SUM(D41:D42)</f>
        <v>0</v>
      </c>
      <c r="E43" s="3017">
        <f>SUM(E41:E42)</f>
        <v>0</v>
      </c>
      <c r="F43" s="2996"/>
      <c r="G43" s="779"/>
      <c r="H43" s="802"/>
      <c r="I43" s="787"/>
    </row>
    <row r="44" spans="2:11" x14ac:dyDescent="0.25">
      <c r="B44" s="2974"/>
      <c r="C44" s="3022"/>
      <c r="D44" s="2975"/>
      <c r="E44" s="3003"/>
      <c r="F44" s="2996"/>
      <c r="G44" s="779"/>
      <c r="H44" s="802"/>
      <c r="I44" s="787"/>
    </row>
    <row r="45" spans="2:11" x14ac:dyDescent="0.25">
      <c r="B45" s="2991"/>
      <c r="C45" s="3015"/>
      <c r="D45" s="2997"/>
      <c r="E45" s="3016"/>
      <c r="F45" s="2996"/>
      <c r="G45" s="779"/>
      <c r="H45" s="802"/>
      <c r="I45" s="787"/>
    </row>
    <row r="46" spans="2:11" x14ac:dyDescent="0.25">
      <c r="B46" s="2974"/>
      <c r="C46" s="3022"/>
      <c r="D46" s="2975"/>
      <c r="E46" s="3003"/>
      <c r="F46" s="2996"/>
      <c r="G46" s="779"/>
      <c r="H46" s="802"/>
      <c r="I46" s="787"/>
    </row>
    <row r="47" spans="2:11" ht="13.8" thickBot="1" x14ac:dyDescent="0.3">
      <c r="B47" s="2981"/>
      <c r="C47" s="3015"/>
      <c r="D47" s="2997"/>
      <c r="E47" s="3016"/>
      <c r="F47" s="2996"/>
      <c r="G47" s="803"/>
      <c r="H47" s="802"/>
      <c r="I47" s="787"/>
    </row>
    <row r="48" spans="2:11" ht="13.8" thickBot="1" x14ac:dyDescent="0.3">
      <c r="B48" s="2989" t="s">
        <v>744</v>
      </c>
      <c r="C48" s="3333">
        <f>C12+C16+C38+C43</f>
        <v>5168550</v>
      </c>
      <c r="D48" s="3333">
        <f>D12+D16+D38+D43</f>
        <v>5168550</v>
      </c>
      <c r="E48" s="3333">
        <f>E12+E16+E38+E43</f>
        <v>10337100</v>
      </c>
      <c r="F48" s="2996"/>
      <c r="G48" s="803"/>
      <c r="H48" s="802"/>
      <c r="I48" s="787"/>
    </row>
    <row r="49" spans="2:10" x14ac:dyDescent="0.25">
      <c r="B49" s="2976"/>
      <c r="C49" s="2997"/>
      <c r="D49" s="2997"/>
      <c r="E49" s="2997"/>
      <c r="F49" s="2996"/>
      <c r="G49" s="803"/>
      <c r="H49" s="802"/>
      <c r="I49" s="787"/>
      <c r="J49" s="778"/>
    </row>
    <row r="50" spans="2:10" x14ac:dyDescent="0.25">
      <c r="B50" s="2974"/>
      <c r="C50" s="3023">
        <v>2012</v>
      </c>
      <c r="D50" s="3023">
        <v>2013</v>
      </c>
      <c r="E50" s="3023" t="s">
        <v>29</v>
      </c>
      <c r="F50" s="2974"/>
      <c r="G50" s="803"/>
      <c r="H50" s="804"/>
      <c r="I50" s="794"/>
      <c r="J50" s="781"/>
    </row>
    <row r="51" spans="2:10" ht="13.8" x14ac:dyDescent="0.3">
      <c r="B51" s="3904"/>
      <c r="C51" s="2800">
        <v>16500000</v>
      </c>
      <c r="D51" s="2805">
        <v>16500000</v>
      </c>
      <c r="E51" s="2805">
        <f>SUM(C51:D51)</f>
        <v>33000000</v>
      </c>
      <c r="F51" s="2802" t="s">
        <v>746</v>
      </c>
      <c r="G51" s="803"/>
      <c r="H51" s="804"/>
      <c r="I51" s="794"/>
      <c r="J51" s="781"/>
    </row>
    <row r="52" spans="2:10" x14ac:dyDescent="0.25">
      <c r="B52" s="2977"/>
      <c r="C52" s="2993"/>
      <c r="D52" s="2993"/>
      <c r="E52" s="2993"/>
      <c r="F52" s="2992"/>
      <c r="G52" s="803"/>
      <c r="H52" s="795"/>
      <c r="I52" s="795"/>
      <c r="J52" s="781"/>
    </row>
    <row r="53" spans="2:10" x14ac:dyDescent="0.25">
      <c r="B53" s="2999" t="s">
        <v>751</v>
      </c>
      <c r="C53" s="3024">
        <v>0.5</v>
      </c>
      <c r="D53" s="3024">
        <v>0.5</v>
      </c>
      <c r="E53" s="2998"/>
      <c r="F53" s="2987"/>
      <c r="G53" s="803"/>
      <c r="H53" s="795"/>
      <c r="I53" s="795"/>
      <c r="J53" s="781"/>
    </row>
    <row r="54" spans="2:10" x14ac:dyDescent="0.25">
      <c r="B54" s="778"/>
      <c r="C54" s="805"/>
      <c r="D54" s="805"/>
      <c r="E54" s="805"/>
      <c r="F54" s="793"/>
      <c r="G54" s="803"/>
      <c r="H54" s="795"/>
      <c r="I54" s="795"/>
      <c r="J54" s="781"/>
    </row>
    <row r="55" spans="2:10" x14ac:dyDescent="0.25">
      <c r="B55" s="778"/>
      <c r="C55" s="778"/>
      <c r="D55" s="778"/>
      <c r="E55" s="778"/>
      <c r="F55" s="778"/>
      <c r="G55" s="802"/>
      <c r="H55" s="795"/>
      <c r="I55" s="795"/>
      <c r="J55" s="781"/>
    </row>
    <row r="56" spans="2:10" x14ac:dyDescent="0.25">
      <c r="B56" s="778"/>
      <c r="C56" s="808"/>
      <c r="D56" s="808"/>
      <c r="E56" s="808"/>
      <c r="F56" s="795"/>
      <c r="G56" s="802"/>
      <c r="H56" s="795"/>
      <c r="I56" s="795"/>
      <c r="J56" s="781"/>
    </row>
    <row r="57" spans="2:10" ht="21" x14ac:dyDescent="0.4">
      <c r="B57" s="784"/>
      <c r="C57" s="808"/>
      <c r="D57" s="808"/>
      <c r="E57" s="808"/>
      <c r="F57" s="795"/>
      <c r="G57" s="804"/>
      <c r="H57" s="795"/>
      <c r="I57" s="795"/>
      <c r="J57" s="781"/>
    </row>
    <row r="58" spans="2:10" x14ac:dyDescent="0.25">
      <c r="B58" s="778"/>
      <c r="C58" s="808"/>
      <c r="D58" s="808"/>
      <c r="E58" s="808"/>
      <c r="F58" s="804"/>
      <c r="G58" s="795"/>
      <c r="H58" s="804"/>
      <c r="I58" s="795"/>
      <c r="J58" s="781"/>
    </row>
    <row r="59" spans="2:10" x14ac:dyDescent="0.25">
      <c r="B59" s="806"/>
      <c r="C59" s="808"/>
      <c r="D59" s="808"/>
      <c r="E59" s="808"/>
      <c r="F59" s="804"/>
      <c r="G59" s="795"/>
      <c r="H59" s="804"/>
      <c r="I59" s="794"/>
      <c r="J59" s="781"/>
    </row>
    <row r="60" spans="2:10" x14ac:dyDescent="0.25">
      <c r="B60" s="836"/>
      <c r="C60" s="808"/>
      <c r="D60" s="808"/>
      <c r="E60" s="808"/>
      <c r="F60" s="804"/>
      <c r="G60" s="795"/>
      <c r="H60" s="804"/>
      <c r="I60" s="794"/>
      <c r="J60" s="781"/>
    </row>
    <row r="61" spans="2:10" x14ac:dyDescent="0.25">
      <c r="B61" s="808"/>
      <c r="C61" s="778"/>
      <c r="D61" s="778"/>
      <c r="E61" s="778"/>
      <c r="F61" s="804"/>
      <c r="G61" s="795"/>
      <c r="H61" s="804"/>
      <c r="I61" s="794"/>
      <c r="J61" s="781"/>
    </row>
    <row r="62" spans="2:10" x14ac:dyDescent="0.25">
      <c r="B62" s="778"/>
      <c r="C62" s="778"/>
      <c r="D62" s="778"/>
      <c r="E62" s="778"/>
      <c r="F62" s="804"/>
      <c r="G62" s="795"/>
      <c r="H62" s="804"/>
      <c r="I62" s="794"/>
      <c r="J62" s="781"/>
    </row>
    <row r="63" spans="2:10" x14ac:dyDescent="0.25">
      <c r="B63" s="778"/>
      <c r="C63" s="778"/>
      <c r="D63" s="778"/>
      <c r="E63" s="778"/>
      <c r="F63" s="804"/>
      <c r="G63" s="795"/>
      <c r="H63" s="804"/>
      <c r="I63" s="794"/>
      <c r="J63" s="781"/>
    </row>
    <row r="64" spans="2:10" x14ac:dyDescent="0.25">
      <c r="B64" s="778"/>
      <c r="C64" s="778"/>
      <c r="D64" s="778"/>
      <c r="E64" s="778"/>
      <c r="F64" s="778"/>
      <c r="G64" s="804"/>
      <c r="H64" s="804"/>
      <c r="I64" s="794"/>
      <c r="J64" s="781"/>
    </row>
    <row r="65" spans="2:10" x14ac:dyDescent="0.25">
      <c r="B65" s="778"/>
      <c r="C65" s="778"/>
      <c r="D65" s="778"/>
      <c r="E65" s="778"/>
      <c r="F65" s="778"/>
      <c r="G65" s="804"/>
      <c r="H65" s="804"/>
      <c r="I65" s="794"/>
      <c r="J65" s="781"/>
    </row>
    <row r="66" spans="2:10" x14ac:dyDescent="0.25">
      <c r="F66" s="778"/>
      <c r="G66" s="804"/>
      <c r="H66" s="804"/>
      <c r="I66" s="794"/>
      <c r="J66" s="781"/>
    </row>
    <row r="67" spans="2:10" x14ac:dyDescent="0.25">
      <c r="F67" s="778"/>
      <c r="G67" s="804"/>
      <c r="H67" s="795"/>
      <c r="I67" s="795"/>
      <c r="J67" s="781"/>
    </row>
    <row r="68" spans="2:10" x14ac:dyDescent="0.25">
      <c r="F68" s="778"/>
      <c r="G68" s="804"/>
      <c r="H68" s="795"/>
      <c r="I68" s="795"/>
      <c r="J68" s="781"/>
    </row>
    <row r="69" spans="2:10" x14ac:dyDescent="0.25">
      <c r="F69" s="778"/>
      <c r="G69" s="804"/>
      <c r="H69" s="795"/>
      <c r="I69" s="795"/>
      <c r="J69" s="781"/>
    </row>
    <row r="70" spans="2:10" x14ac:dyDescent="0.25">
      <c r="F70" s="795"/>
      <c r="G70" s="804"/>
      <c r="H70" s="795"/>
      <c r="I70" s="795"/>
      <c r="J70" s="781"/>
    </row>
    <row r="71" spans="2:10" x14ac:dyDescent="0.25">
      <c r="F71" s="795"/>
      <c r="G71" s="804"/>
      <c r="H71" s="795"/>
      <c r="I71" s="795"/>
      <c r="J71" s="781"/>
    </row>
    <row r="72" spans="2:10" x14ac:dyDescent="0.25">
      <c r="F72" s="795"/>
      <c r="G72" s="804"/>
      <c r="H72" s="795"/>
      <c r="I72" s="795"/>
      <c r="J72" s="781"/>
    </row>
    <row r="73" spans="2:10" ht="15.6" x14ac:dyDescent="0.3">
      <c r="F73" s="796"/>
      <c r="G73" s="795"/>
      <c r="H73" s="796"/>
      <c r="I73" s="796"/>
      <c r="J73" s="781"/>
    </row>
    <row r="74" spans="2:10" x14ac:dyDescent="0.25">
      <c r="F74" s="781"/>
      <c r="G74" s="795"/>
      <c r="H74" s="781"/>
      <c r="I74" s="781"/>
      <c r="J74" s="781"/>
    </row>
    <row r="75" spans="2:10" x14ac:dyDescent="0.25">
      <c r="F75" s="778"/>
      <c r="G75" s="795"/>
      <c r="H75" s="778"/>
      <c r="I75" s="778"/>
      <c r="J75" s="778"/>
    </row>
    <row r="76" spans="2:10" x14ac:dyDescent="0.25">
      <c r="F76" s="778"/>
      <c r="G76" s="795"/>
      <c r="H76" s="778"/>
      <c r="I76" s="778"/>
      <c r="J76" s="778"/>
    </row>
    <row r="77" spans="2:10" x14ac:dyDescent="0.25">
      <c r="F77" s="778"/>
      <c r="G77" s="795"/>
      <c r="H77" s="778"/>
      <c r="I77" s="778"/>
      <c r="J77" s="778"/>
    </row>
    <row r="78" spans="2:10" x14ac:dyDescent="0.25">
      <c r="F78" s="778"/>
      <c r="G78" s="795"/>
      <c r="H78" s="778"/>
      <c r="I78" s="778"/>
      <c r="J78" s="778"/>
    </row>
    <row r="79" spans="2:10" ht="15.6" x14ac:dyDescent="0.3">
      <c r="F79" s="778"/>
      <c r="G79" s="796"/>
      <c r="H79" s="778"/>
      <c r="I79" s="778"/>
      <c r="J79" s="778"/>
    </row>
    <row r="80" spans="2:10" x14ac:dyDescent="0.25">
      <c r="F80" s="778"/>
      <c r="G80" s="781"/>
      <c r="H80" s="778"/>
      <c r="I80" s="778"/>
      <c r="J80" s="778"/>
    </row>
    <row r="81" spans="6:6" x14ac:dyDescent="0.25">
      <c r="F81" s="778"/>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27" right="0.3" top="0.48" bottom="0.75" header="0.3" footer="0.3"/>
  <pageSetup paperSize="17" scale="63"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workbookViewId="0">
      <pane xSplit="1" ySplit="1" topLeftCell="B14" activePane="bottomRight" state="frozen"/>
      <selection pane="topRight" activeCell="B1" sqref="B1"/>
      <selection pane="bottomLeft" activeCell="A2" sqref="A2"/>
      <selection pane="bottomRight" activeCell="E12" sqref="E12"/>
    </sheetView>
  </sheetViews>
  <sheetFormatPr defaultRowHeight="13.2" x14ac:dyDescent="0.25"/>
  <cols>
    <col min="1" max="1" width="15.88671875" style="3369" customWidth="1"/>
    <col min="2" max="2" width="57.109375" customWidth="1"/>
    <col min="3" max="5" width="18" customWidth="1"/>
    <col min="6" max="6" width="14.109375" customWidth="1"/>
    <col min="7" max="7" width="17.88671875" bestFit="1" customWidth="1"/>
    <col min="8" max="8" width="16.33203125" customWidth="1"/>
    <col min="9" max="9" width="21.44140625" customWidth="1"/>
    <col min="10" max="10" width="18.109375" customWidth="1"/>
    <col min="11" max="11" width="19.88671875" customWidth="1"/>
    <col min="12" max="12" width="15.5546875" customWidth="1"/>
    <col min="13" max="13" width="14.5546875" customWidth="1"/>
    <col min="14" max="14" width="22.88671875" customWidth="1"/>
  </cols>
  <sheetData>
    <row r="1" spans="2:14" ht="42.75" customHeight="1" x14ac:dyDescent="0.4">
      <c r="B1" s="849" t="s">
        <v>780</v>
      </c>
      <c r="C1" s="874"/>
      <c r="D1" s="874"/>
      <c r="E1" s="874"/>
      <c r="F1" s="874"/>
      <c r="G1" s="882"/>
      <c r="H1" s="875"/>
      <c r="I1" s="875"/>
      <c r="J1" s="840"/>
      <c r="K1" s="840"/>
      <c r="L1" s="840"/>
      <c r="M1" s="840"/>
      <c r="N1" s="840"/>
    </row>
    <row r="2" spans="2:14" ht="21" x14ac:dyDescent="0.4">
      <c r="B2" s="849"/>
      <c r="C2" s="874"/>
      <c r="D2" s="874"/>
      <c r="E2" s="874"/>
      <c r="F2" s="874"/>
      <c r="G2" s="882"/>
      <c r="H2" s="875"/>
      <c r="I2" s="875"/>
      <c r="J2" s="840"/>
      <c r="K2" s="840"/>
      <c r="L2" s="840"/>
      <c r="M2" s="840"/>
      <c r="N2" s="840"/>
    </row>
    <row r="3" spans="2:14" ht="39.6" x14ac:dyDescent="0.25">
      <c r="B3" s="3884"/>
      <c r="C3" s="846" t="s">
        <v>9</v>
      </c>
      <c r="D3" s="846" t="s">
        <v>10</v>
      </c>
      <c r="E3" s="846" t="s">
        <v>701</v>
      </c>
      <c r="F3" s="846" t="s">
        <v>12</v>
      </c>
      <c r="G3" s="846" t="s">
        <v>13</v>
      </c>
      <c r="H3" s="846" t="s">
        <v>14</v>
      </c>
      <c r="I3" s="846" t="s">
        <v>15</v>
      </c>
      <c r="J3" s="846" t="s">
        <v>16</v>
      </c>
      <c r="K3" s="846" t="s">
        <v>702</v>
      </c>
      <c r="L3" s="846" t="s">
        <v>18</v>
      </c>
      <c r="M3" s="846" t="s">
        <v>136</v>
      </c>
      <c r="N3" s="847" t="s">
        <v>19</v>
      </c>
    </row>
    <row r="4" spans="2:14" ht="26.4" x14ac:dyDescent="0.25">
      <c r="B4" s="919" t="s">
        <v>703</v>
      </c>
      <c r="C4" s="920"/>
      <c r="D4" s="920"/>
      <c r="E4" s="920"/>
      <c r="F4" s="920"/>
      <c r="G4" s="920"/>
      <c r="H4" s="920"/>
      <c r="I4" s="920"/>
      <c r="J4" s="920"/>
      <c r="K4" s="921"/>
      <c r="L4" s="922">
        <v>110000</v>
      </c>
      <c r="M4" s="921"/>
      <c r="N4" s="923" t="s">
        <v>21</v>
      </c>
    </row>
    <row r="5" spans="2:14" x14ac:dyDescent="0.25">
      <c r="B5" s="915" t="s">
        <v>704</v>
      </c>
      <c r="C5" s="914">
        <v>4154.1500000000005</v>
      </c>
      <c r="D5" s="914">
        <v>0</v>
      </c>
      <c r="E5" s="914">
        <v>2617.1145000000006</v>
      </c>
      <c r="F5" s="914">
        <v>0</v>
      </c>
      <c r="G5" s="914">
        <v>0</v>
      </c>
      <c r="H5" s="914">
        <v>0</v>
      </c>
      <c r="I5" s="914">
        <v>0</v>
      </c>
      <c r="J5" s="914">
        <v>12006</v>
      </c>
      <c r="K5" s="918">
        <v>0</v>
      </c>
      <c r="L5" s="917">
        <v>18777.264500000001</v>
      </c>
      <c r="M5" s="916"/>
      <c r="N5" s="924">
        <v>-0.8292975954545454</v>
      </c>
    </row>
    <row r="6" spans="2:14" x14ac:dyDescent="0.25">
      <c r="B6" s="843">
        <v>2012</v>
      </c>
      <c r="C6" s="892">
        <f>C15</f>
        <v>4500</v>
      </c>
      <c r="D6" s="893">
        <f>C16</f>
        <v>0</v>
      </c>
      <c r="E6" s="893">
        <f>C35</f>
        <v>2800</v>
      </c>
      <c r="F6" s="893">
        <f>C33</f>
        <v>0</v>
      </c>
      <c r="G6" s="893">
        <f>C23</f>
        <v>0</v>
      </c>
      <c r="H6" s="893">
        <f>C39</f>
        <v>0</v>
      </c>
      <c r="I6" s="893">
        <f>C31</f>
        <v>20000</v>
      </c>
      <c r="J6" s="893">
        <f>C25</f>
        <v>2900</v>
      </c>
      <c r="K6" s="894">
        <f>C12</f>
        <v>0</v>
      </c>
      <c r="L6" s="894">
        <f>SUM(C6:K6)</f>
        <v>30200</v>
      </c>
      <c r="M6" s="894">
        <v>0</v>
      </c>
      <c r="N6" s="924">
        <v>0.6047108459275311</v>
      </c>
    </row>
    <row r="7" spans="2:14" ht="13.8" thickBot="1" x14ac:dyDescent="0.3">
      <c r="B7" s="907">
        <v>2013</v>
      </c>
      <c r="C7" s="892">
        <f>D15</f>
        <v>4500</v>
      </c>
      <c r="D7" s="893">
        <f>D16</f>
        <v>0</v>
      </c>
      <c r="E7" s="893">
        <f>D35</f>
        <v>2800</v>
      </c>
      <c r="F7" s="893">
        <f>D33</f>
        <v>0</v>
      </c>
      <c r="G7" s="893">
        <f>D23</f>
        <v>0</v>
      </c>
      <c r="H7" s="905">
        <f>D39</f>
        <v>0</v>
      </c>
      <c r="I7" s="910">
        <f>D31</f>
        <v>20000</v>
      </c>
      <c r="J7" s="910">
        <f>D25</f>
        <v>2900</v>
      </c>
      <c r="K7" s="912">
        <f>D12</f>
        <v>0</v>
      </c>
      <c r="L7" s="894">
        <f>SUM(C7:K7)</f>
        <v>30200</v>
      </c>
      <c r="M7" s="894">
        <v>0</v>
      </c>
      <c r="N7" s="924">
        <v>0</v>
      </c>
    </row>
    <row r="8" spans="2:14" ht="13.8" thickBot="1" x14ac:dyDescent="0.3">
      <c r="B8" s="869" t="s">
        <v>178</v>
      </c>
      <c r="C8" s="908">
        <f t="shared" ref="C8:L8" si="0">SUM(C6:C7)</f>
        <v>9000</v>
      </c>
      <c r="D8" s="909">
        <f t="shared" si="0"/>
        <v>0</v>
      </c>
      <c r="E8" s="909">
        <f t="shared" si="0"/>
        <v>5600</v>
      </c>
      <c r="F8" s="909">
        <f t="shared" si="0"/>
        <v>0</v>
      </c>
      <c r="G8" s="909">
        <f t="shared" si="0"/>
        <v>0</v>
      </c>
      <c r="H8" s="909">
        <f t="shared" si="0"/>
        <v>0</v>
      </c>
      <c r="I8" s="909">
        <f t="shared" si="0"/>
        <v>40000</v>
      </c>
      <c r="J8" s="909">
        <f t="shared" si="0"/>
        <v>5800</v>
      </c>
      <c r="K8" s="913">
        <f t="shared" si="0"/>
        <v>0</v>
      </c>
      <c r="L8" s="913">
        <f t="shared" si="0"/>
        <v>60400</v>
      </c>
      <c r="M8" s="913">
        <v>0</v>
      </c>
      <c r="N8" s="840"/>
    </row>
    <row r="9" spans="2:14" ht="21" x14ac:dyDescent="0.4">
      <c r="B9" s="849"/>
      <c r="C9" s="874"/>
      <c r="D9" s="874"/>
      <c r="E9" s="874"/>
      <c r="F9" s="874"/>
      <c r="G9" s="882"/>
      <c r="H9" s="875"/>
      <c r="I9" s="875"/>
      <c r="J9" s="840"/>
      <c r="K9" s="840"/>
      <c r="L9" s="840"/>
      <c r="M9" s="840"/>
      <c r="N9" s="853"/>
    </row>
    <row r="10" spans="2:14" ht="17.399999999999999" x14ac:dyDescent="0.3">
      <c r="B10" s="850" t="s">
        <v>781</v>
      </c>
      <c r="C10" s="882"/>
      <c r="D10" s="882"/>
      <c r="E10" s="882"/>
      <c r="F10" s="873"/>
      <c r="G10" s="873"/>
      <c r="H10" s="873"/>
      <c r="I10" s="873"/>
      <c r="J10" s="840"/>
      <c r="K10" s="840"/>
      <c r="L10" s="840"/>
      <c r="M10" s="840"/>
      <c r="N10" s="840"/>
    </row>
    <row r="11" spans="2:14" ht="17.399999999999999" x14ac:dyDescent="0.3">
      <c r="B11" s="851"/>
      <c r="C11" s="902">
        <v>2012</v>
      </c>
      <c r="D11" s="903">
        <v>2013</v>
      </c>
      <c r="E11" s="904" t="s">
        <v>29</v>
      </c>
      <c r="F11" s="857"/>
      <c r="G11" s="857"/>
      <c r="H11" s="857"/>
      <c r="I11" s="3043" t="s">
        <v>706</v>
      </c>
      <c r="J11" s="3036"/>
      <c r="K11" s="853"/>
      <c r="L11" s="853"/>
      <c r="M11" s="853"/>
      <c r="N11" s="840"/>
    </row>
    <row r="12" spans="2:14" x14ac:dyDescent="0.25">
      <c r="B12" s="848" t="s">
        <v>707</v>
      </c>
      <c r="C12" s="884">
        <v>0</v>
      </c>
      <c r="D12" s="928">
        <v>0</v>
      </c>
      <c r="E12" s="929">
        <v>0</v>
      </c>
      <c r="F12" s="857"/>
      <c r="G12" s="857"/>
      <c r="H12" s="857"/>
      <c r="I12" s="3037" t="s">
        <v>707</v>
      </c>
      <c r="J12" s="3038">
        <v>0</v>
      </c>
      <c r="K12" s="853"/>
      <c r="L12" s="840"/>
      <c r="M12" s="840"/>
      <c r="N12" s="840"/>
    </row>
    <row r="13" spans="2:14" ht="17.399999999999999" x14ac:dyDescent="0.3">
      <c r="B13" s="851"/>
      <c r="C13" s="885"/>
      <c r="D13" s="842"/>
      <c r="E13" s="886"/>
      <c r="F13" s="857"/>
      <c r="G13" s="857"/>
      <c r="H13" s="857"/>
      <c r="I13" s="3037" t="s">
        <v>709</v>
      </c>
      <c r="J13" s="3039">
        <v>8800</v>
      </c>
      <c r="K13" s="853"/>
      <c r="L13" s="840"/>
      <c r="M13" s="840"/>
      <c r="N13" s="840"/>
    </row>
    <row r="14" spans="2:14" x14ac:dyDescent="0.25">
      <c r="B14" s="848" t="s">
        <v>713</v>
      </c>
      <c r="C14" s="887"/>
      <c r="D14" s="842"/>
      <c r="E14" s="886"/>
      <c r="F14" s="854"/>
      <c r="G14" s="854"/>
      <c r="H14" s="854"/>
      <c r="I14" s="3037" t="s">
        <v>711</v>
      </c>
      <c r="J14" s="3039">
        <v>0</v>
      </c>
      <c r="K14" s="840"/>
      <c r="L14" s="840"/>
      <c r="M14" s="840"/>
      <c r="N14" s="840"/>
    </row>
    <row r="15" spans="2:14" x14ac:dyDescent="0.25">
      <c r="B15" s="856" t="s">
        <v>715</v>
      </c>
      <c r="C15" s="888">
        <v>4500</v>
      </c>
      <c r="D15" s="925">
        <v>4500</v>
      </c>
      <c r="E15" s="906">
        <f>SUM(C15:D15)</f>
        <v>9000</v>
      </c>
      <c r="F15" s="872">
        <v>0.05</v>
      </c>
      <c r="G15" s="858" t="s">
        <v>716</v>
      </c>
      <c r="H15" s="855"/>
      <c r="I15" s="3037" t="s">
        <v>712</v>
      </c>
      <c r="J15" s="3039">
        <v>0</v>
      </c>
      <c r="K15" s="840"/>
      <c r="L15" s="840"/>
      <c r="M15" s="840"/>
      <c r="N15" s="840"/>
    </row>
    <row r="16" spans="2:14" x14ac:dyDescent="0.25">
      <c r="B16" s="856" t="s">
        <v>720</v>
      </c>
      <c r="C16" s="888">
        <v>0</v>
      </c>
      <c r="D16" s="925">
        <v>0</v>
      </c>
      <c r="E16" s="3021">
        <f>SUM(C16:D16)</f>
        <v>0</v>
      </c>
      <c r="F16" s="872">
        <v>0</v>
      </c>
      <c r="G16" s="858" t="s">
        <v>716</v>
      </c>
      <c r="H16" s="855"/>
      <c r="I16" s="3037" t="s">
        <v>526</v>
      </c>
      <c r="J16" s="3035">
        <v>0</v>
      </c>
      <c r="K16" s="840"/>
      <c r="L16" s="840"/>
      <c r="M16" s="840"/>
      <c r="N16" s="840"/>
    </row>
    <row r="17" spans="2:13" x14ac:dyDescent="0.25">
      <c r="B17" s="856"/>
      <c r="C17" s="889"/>
      <c r="D17" s="842"/>
      <c r="E17" s="886"/>
      <c r="F17" s="855"/>
      <c r="G17" s="855"/>
      <c r="H17" s="855"/>
      <c r="I17" s="3037" t="s">
        <v>714</v>
      </c>
      <c r="J17" s="3035">
        <v>5800</v>
      </c>
      <c r="K17" s="840"/>
      <c r="L17" s="840"/>
      <c r="M17" s="871"/>
    </row>
    <row r="18" spans="2:13" x14ac:dyDescent="0.25">
      <c r="B18" s="848" t="s">
        <v>526</v>
      </c>
      <c r="C18" s="887"/>
      <c r="D18" s="842"/>
      <c r="E18" s="886"/>
      <c r="F18" s="854"/>
      <c r="G18" s="854"/>
      <c r="H18" s="855"/>
      <c r="I18" s="3037" t="s">
        <v>717</v>
      </c>
      <c r="J18" s="3035">
        <v>40000</v>
      </c>
      <c r="K18" s="840"/>
      <c r="L18" s="840"/>
      <c r="M18" s="840"/>
    </row>
    <row r="19" spans="2:13" x14ac:dyDescent="0.25">
      <c r="B19" s="840" t="s">
        <v>721</v>
      </c>
      <c r="C19" s="895">
        <v>0</v>
      </c>
      <c r="D19" s="925">
        <v>0</v>
      </c>
      <c r="E19" s="3021">
        <f>SUM(C19:D19)</f>
        <v>0</v>
      </c>
      <c r="F19" s="876"/>
      <c r="G19" s="876"/>
      <c r="H19" s="854"/>
      <c r="I19" s="3037" t="s">
        <v>719</v>
      </c>
      <c r="J19" s="3035">
        <v>0</v>
      </c>
      <c r="K19" s="840"/>
      <c r="L19" s="840"/>
      <c r="M19" s="840"/>
    </row>
    <row r="20" spans="2:13" x14ac:dyDescent="0.25">
      <c r="B20" s="856" t="s">
        <v>722</v>
      </c>
      <c r="C20" s="895">
        <v>0</v>
      </c>
      <c r="D20" s="925">
        <v>0</v>
      </c>
      <c r="E20" s="3021">
        <f>SUM(C20:D20)</f>
        <v>0</v>
      </c>
      <c r="F20" s="840"/>
      <c r="G20" s="854"/>
      <c r="H20" s="876"/>
      <c r="I20" s="3037" t="s">
        <v>11</v>
      </c>
      <c r="J20" s="3035">
        <v>5600</v>
      </c>
      <c r="K20" s="840"/>
      <c r="L20" s="840"/>
      <c r="M20" s="840"/>
    </row>
    <row r="21" spans="2:13" x14ac:dyDescent="0.25">
      <c r="B21" s="856" t="s">
        <v>725</v>
      </c>
      <c r="C21" s="895">
        <v>0</v>
      </c>
      <c r="D21" s="925">
        <v>0</v>
      </c>
      <c r="E21" s="3021">
        <f>SUM(C21:D21)</f>
        <v>0</v>
      </c>
      <c r="F21" s="854"/>
      <c r="G21" s="854"/>
      <c r="H21" s="854"/>
      <c r="I21" s="3037" t="s">
        <v>14</v>
      </c>
      <c r="J21" s="3042">
        <v>0</v>
      </c>
      <c r="K21" s="840"/>
      <c r="L21" s="840"/>
      <c r="M21" s="840"/>
    </row>
    <row r="22" spans="2:13" x14ac:dyDescent="0.25">
      <c r="B22" s="856" t="s">
        <v>728</v>
      </c>
      <c r="C22" s="895">
        <v>0</v>
      </c>
      <c r="D22" s="925">
        <v>0</v>
      </c>
      <c r="E22" s="3021">
        <f>SUM(C22:D22)</f>
        <v>0</v>
      </c>
      <c r="F22" s="854"/>
      <c r="G22" s="854"/>
      <c r="H22" s="877"/>
      <c r="I22" s="3033"/>
      <c r="J22" s="3034">
        <v>60200</v>
      </c>
      <c r="K22" s="840"/>
      <c r="L22" s="840"/>
      <c r="M22" s="840"/>
    </row>
    <row r="23" spans="2:13" x14ac:dyDescent="0.25">
      <c r="B23" s="840"/>
      <c r="C23" s="890">
        <v>0</v>
      </c>
      <c r="D23" s="867">
        <v>0</v>
      </c>
      <c r="E23" s="3021">
        <f>SUM(C23:D23)</f>
        <v>0</v>
      </c>
      <c r="F23" s="854"/>
      <c r="G23" s="854"/>
      <c r="H23" s="877"/>
      <c r="I23" s="3037"/>
      <c r="J23" s="3047"/>
      <c r="K23" s="840"/>
      <c r="L23" s="840"/>
      <c r="M23" s="840"/>
    </row>
    <row r="24" spans="2:13" x14ac:dyDescent="0.25">
      <c r="B24" s="842"/>
      <c r="C24" s="897"/>
      <c r="D24" s="842"/>
      <c r="E24" s="886"/>
      <c r="F24" s="854"/>
      <c r="G24" s="854"/>
      <c r="H24" s="877"/>
      <c r="I24" s="3041" t="s">
        <v>723</v>
      </c>
      <c r="J24" s="3045">
        <v>0</v>
      </c>
      <c r="K24" s="868" t="s">
        <v>724</v>
      </c>
      <c r="L24" s="840"/>
      <c r="M24" s="840"/>
    </row>
    <row r="25" spans="2:13" x14ac:dyDescent="0.25">
      <c r="B25" s="848" t="s">
        <v>714</v>
      </c>
      <c r="C25" s="890">
        <v>2900</v>
      </c>
      <c r="D25" s="883">
        <v>2900</v>
      </c>
      <c r="E25" s="930">
        <f>SUM(C25:D25)</f>
        <v>5800</v>
      </c>
      <c r="F25" s="854"/>
      <c r="G25" s="854"/>
      <c r="H25" s="877"/>
      <c r="I25" s="3041" t="s">
        <v>726</v>
      </c>
      <c r="J25" s="3044"/>
      <c r="K25" s="870"/>
      <c r="L25" s="840"/>
      <c r="M25" s="840"/>
    </row>
    <row r="26" spans="2:13" x14ac:dyDescent="0.25">
      <c r="B26" s="842"/>
      <c r="C26" s="897"/>
      <c r="D26" s="842"/>
      <c r="E26" s="886"/>
      <c r="F26" s="854"/>
      <c r="G26" s="854"/>
      <c r="H26" s="877"/>
      <c r="I26" s="3041" t="s">
        <v>729</v>
      </c>
      <c r="J26" s="3044"/>
      <c r="K26" s="870"/>
      <c r="L26" s="840"/>
      <c r="M26" s="840"/>
    </row>
    <row r="27" spans="2:13" x14ac:dyDescent="0.25">
      <c r="B27" s="845" t="s">
        <v>717</v>
      </c>
      <c r="C27" s="897"/>
      <c r="D27" s="842"/>
      <c r="E27" s="886"/>
      <c r="F27" s="877"/>
      <c r="G27" s="877"/>
      <c r="H27" s="877"/>
      <c r="I27" s="3040" t="s">
        <v>730</v>
      </c>
      <c r="J27" s="3046"/>
      <c r="K27" s="840"/>
      <c r="L27" s="840"/>
      <c r="M27" s="840"/>
    </row>
    <row r="28" spans="2:13" x14ac:dyDescent="0.25">
      <c r="B28" s="840" t="s">
        <v>731</v>
      </c>
      <c r="C28" s="897">
        <v>18000</v>
      </c>
      <c r="D28" s="925">
        <v>18000</v>
      </c>
      <c r="E28" s="906">
        <f>SUM(C28:D28)</f>
        <v>36000</v>
      </c>
      <c r="F28" s="877"/>
      <c r="G28" s="877"/>
      <c r="H28" s="877"/>
      <c r="I28" s="857"/>
      <c r="J28" s="840"/>
      <c r="K28" s="840"/>
      <c r="L28" s="840"/>
      <c r="M28" s="840"/>
    </row>
    <row r="29" spans="2:13" x14ac:dyDescent="0.25">
      <c r="B29" s="840" t="s">
        <v>732</v>
      </c>
      <c r="C29" s="897">
        <v>1000</v>
      </c>
      <c r="D29" s="925">
        <v>1000</v>
      </c>
      <c r="E29" s="3021">
        <f>SUM(C29:D29)</f>
        <v>2000</v>
      </c>
      <c r="F29" s="877"/>
      <c r="G29" s="877"/>
      <c r="H29" s="877"/>
      <c r="I29" s="857"/>
      <c r="J29" s="840"/>
      <c r="K29" s="840"/>
      <c r="L29" s="840"/>
      <c r="M29" s="840"/>
    </row>
    <row r="30" spans="2:13" x14ac:dyDescent="0.25">
      <c r="B30" s="842" t="s">
        <v>733</v>
      </c>
      <c r="C30" s="897">
        <v>1000</v>
      </c>
      <c r="D30" s="925">
        <v>1000</v>
      </c>
      <c r="E30" s="3021">
        <f>SUM(C30:D30)</f>
        <v>2000</v>
      </c>
      <c r="F30" s="877"/>
      <c r="G30" s="877"/>
      <c r="H30" s="877"/>
      <c r="I30" s="857"/>
      <c r="J30" s="840"/>
      <c r="K30" s="840"/>
      <c r="L30" s="840"/>
      <c r="M30" s="840"/>
    </row>
    <row r="31" spans="2:13" x14ac:dyDescent="0.25">
      <c r="B31" s="845" t="s">
        <v>734</v>
      </c>
      <c r="C31" s="891">
        <f>SUM(C28:C30)</f>
        <v>20000</v>
      </c>
      <c r="D31" s="859">
        <f>SUM(D28:D30)</f>
        <v>20000</v>
      </c>
      <c r="E31" s="930">
        <f>SUM(E28:E30)</f>
        <v>40000</v>
      </c>
      <c r="F31" s="877"/>
      <c r="G31" s="877"/>
      <c r="H31" s="877"/>
      <c r="I31" s="857"/>
      <c r="J31" s="840"/>
      <c r="K31" s="840"/>
      <c r="L31" s="840"/>
      <c r="M31" s="840"/>
    </row>
    <row r="32" spans="2:13" x14ac:dyDescent="0.25">
      <c r="B32" s="842"/>
      <c r="C32" s="897"/>
      <c r="D32" s="842"/>
      <c r="E32" s="886"/>
      <c r="F32" s="877"/>
      <c r="G32" s="877"/>
      <c r="H32" s="877"/>
      <c r="I32" s="857"/>
      <c r="J32" s="840"/>
      <c r="K32" s="840"/>
      <c r="L32" s="840"/>
      <c r="M32" s="840"/>
    </row>
    <row r="33" spans="2:9" x14ac:dyDescent="0.25">
      <c r="B33" s="845" t="s">
        <v>719</v>
      </c>
      <c r="C33" s="891">
        <v>0</v>
      </c>
      <c r="D33" s="926">
        <v>0</v>
      </c>
      <c r="E33" s="930">
        <f>SUM(C33:D33)</f>
        <v>0</v>
      </c>
      <c r="F33" s="877"/>
      <c r="G33" s="877"/>
      <c r="H33" s="877"/>
      <c r="I33" s="857"/>
    </row>
    <row r="34" spans="2:9" x14ac:dyDescent="0.25">
      <c r="B34" s="842"/>
      <c r="C34" s="897"/>
      <c r="D34" s="842"/>
      <c r="E34" s="886"/>
      <c r="F34" s="877"/>
      <c r="G34" s="878"/>
      <c r="H34" s="877"/>
      <c r="I34" s="857"/>
    </row>
    <row r="35" spans="2:9" x14ac:dyDescent="0.25">
      <c r="B35" s="845" t="s">
        <v>11</v>
      </c>
      <c r="C35" s="891">
        <v>2800</v>
      </c>
      <c r="D35" s="859">
        <v>2800</v>
      </c>
      <c r="E35" s="930">
        <f>SUM(C35:D35)</f>
        <v>5600</v>
      </c>
      <c r="F35" s="877"/>
      <c r="G35" s="878"/>
      <c r="H35" s="877"/>
      <c r="I35" s="857"/>
    </row>
    <row r="36" spans="2:9" x14ac:dyDescent="0.25">
      <c r="B36" s="842"/>
      <c r="C36" s="897"/>
      <c r="D36" s="878"/>
      <c r="E36" s="898"/>
      <c r="F36" s="877"/>
      <c r="G36" s="841"/>
      <c r="H36" s="877"/>
      <c r="I36" s="857"/>
    </row>
    <row r="37" spans="2:9" x14ac:dyDescent="0.25">
      <c r="B37" s="843" t="s">
        <v>14</v>
      </c>
      <c r="C37" s="897"/>
      <c r="D37" s="878"/>
      <c r="E37" s="898"/>
      <c r="F37" s="877"/>
      <c r="G37" s="841"/>
      <c r="H37" s="877"/>
      <c r="I37" s="852"/>
    </row>
    <row r="38" spans="2:9" x14ac:dyDescent="0.25">
      <c r="B38" s="866" t="s">
        <v>770</v>
      </c>
      <c r="C38" s="895">
        <v>0</v>
      </c>
      <c r="D38" s="879"/>
      <c r="E38" s="896">
        <f>SUM(C38:D38)</f>
        <v>0</v>
      </c>
      <c r="F38" s="877"/>
      <c r="G38" s="841"/>
      <c r="H38" s="877"/>
      <c r="I38" s="852"/>
    </row>
    <row r="39" spans="2:9" x14ac:dyDescent="0.25">
      <c r="B39" s="862" t="s">
        <v>743</v>
      </c>
      <c r="C39" s="890">
        <v>0</v>
      </c>
      <c r="D39" s="867"/>
      <c r="E39" s="1316">
        <f>SUM(C39:D39)</f>
        <v>0</v>
      </c>
      <c r="F39" s="877"/>
      <c r="G39" s="841"/>
      <c r="H39" s="877"/>
      <c r="I39" s="852"/>
    </row>
    <row r="40" spans="2:9" x14ac:dyDescent="0.25">
      <c r="B40" s="866"/>
      <c r="C40" s="895"/>
      <c r="D40" s="879"/>
      <c r="E40" s="896"/>
      <c r="F40" s="877"/>
      <c r="G40" s="841"/>
      <c r="H40" s="877"/>
      <c r="I40" s="852"/>
    </row>
    <row r="41" spans="2:9" ht="13.8" thickBot="1" x14ac:dyDescent="0.3">
      <c r="B41" s="866"/>
      <c r="C41" s="895"/>
      <c r="D41" s="879"/>
      <c r="E41" s="896"/>
      <c r="F41" s="877"/>
      <c r="G41" s="841"/>
      <c r="H41" s="877"/>
      <c r="I41" s="852"/>
    </row>
    <row r="42" spans="2:9" ht="13.8" thickBot="1" x14ac:dyDescent="0.3">
      <c r="B42" s="862" t="s">
        <v>744</v>
      </c>
      <c r="C42" s="1312">
        <f>C15+C16+C23+C25+C31+C33+C35+C39</f>
        <v>30200</v>
      </c>
      <c r="D42" s="3635">
        <f>D15+D16+D23+D25+D31+D33+D35+D39</f>
        <v>30200</v>
      </c>
      <c r="E42" s="3635">
        <f>SUM(C42:D42)</f>
        <v>60400</v>
      </c>
      <c r="F42" s="877"/>
      <c r="G42" s="878"/>
      <c r="H42" s="877"/>
      <c r="I42" s="852"/>
    </row>
    <row r="43" spans="2:9" x14ac:dyDescent="0.25">
      <c r="B43" s="844"/>
      <c r="C43" s="879"/>
      <c r="D43" s="879"/>
      <c r="E43" s="879"/>
      <c r="F43" s="877"/>
      <c r="G43" s="878"/>
      <c r="H43" s="877"/>
      <c r="I43" s="852"/>
    </row>
    <row r="44" spans="2:9" x14ac:dyDescent="0.25">
      <c r="B44" s="840"/>
      <c r="C44" s="911">
        <v>2012</v>
      </c>
      <c r="D44" s="911">
        <v>2013</v>
      </c>
      <c r="E44" s="911" t="s">
        <v>29</v>
      </c>
      <c r="F44" s="840"/>
      <c r="G44" s="878"/>
      <c r="H44" s="877"/>
      <c r="I44" s="852"/>
    </row>
    <row r="45" spans="2:9" x14ac:dyDescent="0.25">
      <c r="B45" s="845" t="s">
        <v>745</v>
      </c>
      <c r="C45" s="899">
        <v>0</v>
      </c>
      <c r="D45" s="900">
        <v>0</v>
      </c>
      <c r="E45" s="901">
        <v>0</v>
      </c>
      <c r="F45" s="867" t="s">
        <v>746</v>
      </c>
      <c r="G45" s="878"/>
      <c r="H45" s="877"/>
      <c r="I45" s="852"/>
    </row>
    <row r="46" spans="2:9" x14ac:dyDescent="0.25">
      <c r="B46" s="840"/>
      <c r="C46" s="840"/>
      <c r="D46" s="840"/>
      <c r="E46" s="840"/>
      <c r="F46" s="840"/>
      <c r="G46" s="878"/>
      <c r="H46" s="877"/>
      <c r="I46" s="852"/>
    </row>
    <row r="47" spans="2:9" x14ac:dyDescent="0.25">
      <c r="B47" s="881"/>
      <c r="C47" s="927"/>
      <c r="D47" s="927"/>
      <c r="E47" s="840"/>
      <c r="F47" s="840"/>
      <c r="G47" s="878"/>
      <c r="H47" s="877"/>
      <c r="I47" s="852"/>
    </row>
    <row r="48" spans="2:9" x14ac:dyDescent="0.25">
      <c r="B48" s="840"/>
      <c r="C48" s="840"/>
      <c r="D48" s="840"/>
      <c r="E48" s="840"/>
      <c r="F48" s="840"/>
      <c r="G48" s="878"/>
      <c r="H48" s="877"/>
      <c r="I48" s="852"/>
    </row>
    <row r="49" spans="2:10" x14ac:dyDescent="0.25">
      <c r="B49" s="840"/>
      <c r="C49" s="880"/>
      <c r="D49" s="880"/>
      <c r="E49" s="880"/>
      <c r="F49" s="860"/>
      <c r="G49" s="877"/>
      <c r="H49" s="877"/>
      <c r="I49" s="852"/>
      <c r="J49" s="840"/>
    </row>
    <row r="50" spans="2:10" x14ac:dyDescent="0.25">
      <c r="B50" s="840"/>
      <c r="C50" s="880"/>
      <c r="D50" s="880"/>
      <c r="E50" s="880"/>
      <c r="F50" s="860"/>
      <c r="G50" s="877"/>
      <c r="H50" s="879"/>
      <c r="I50" s="861"/>
      <c r="J50" s="844"/>
    </row>
    <row r="51" spans="2:10" x14ac:dyDescent="0.25">
      <c r="B51" s="840"/>
      <c r="C51" s="880"/>
      <c r="D51" s="880"/>
      <c r="E51" s="880"/>
      <c r="F51" s="860"/>
      <c r="G51" s="877"/>
      <c r="H51" s="863"/>
      <c r="I51" s="863"/>
      <c r="J51" s="844"/>
    </row>
    <row r="52" spans="2:10" x14ac:dyDescent="0.25">
      <c r="B52" s="840"/>
      <c r="C52" s="880"/>
      <c r="D52" s="880"/>
      <c r="E52" s="880"/>
      <c r="F52" s="860"/>
      <c r="G52" s="877"/>
      <c r="H52" s="863"/>
      <c r="I52" s="863"/>
      <c r="J52" s="844"/>
    </row>
    <row r="53" spans="2:10" ht="21" x14ac:dyDescent="0.4">
      <c r="B53" s="849" t="s">
        <v>752</v>
      </c>
      <c r="C53" s="880"/>
      <c r="D53" s="880"/>
      <c r="E53" s="880"/>
      <c r="F53" s="860"/>
      <c r="G53" s="879"/>
      <c r="H53" s="863"/>
      <c r="I53" s="863"/>
      <c r="J53" s="844"/>
    </row>
    <row r="54" spans="2:10" x14ac:dyDescent="0.25">
      <c r="B54" s="843"/>
      <c r="C54" s="840"/>
      <c r="D54" s="840"/>
      <c r="E54" s="840"/>
      <c r="F54" s="840"/>
      <c r="G54" s="863"/>
      <c r="H54" s="863"/>
      <c r="I54" s="863"/>
      <c r="J54" s="844"/>
    </row>
    <row r="55" spans="2:10" x14ac:dyDescent="0.25">
      <c r="B55" s="840"/>
      <c r="C55" s="879"/>
      <c r="D55" s="879"/>
      <c r="E55" s="879"/>
      <c r="F55" s="863"/>
      <c r="G55" s="863"/>
      <c r="H55" s="863"/>
      <c r="I55" s="863"/>
      <c r="J55" s="844"/>
    </row>
    <row r="56" spans="2:10" x14ac:dyDescent="0.25">
      <c r="B56" s="840"/>
      <c r="C56" s="863"/>
      <c r="D56" s="863"/>
      <c r="E56" s="863"/>
      <c r="F56" s="863"/>
      <c r="G56" s="863"/>
      <c r="H56" s="863"/>
      <c r="I56" s="863"/>
      <c r="J56" s="844"/>
    </row>
    <row r="57" spans="2:10" x14ac:dyDescent="0.25">
      <c r="B57" s="840"/>
      <c r="C57" s="863"/>
      <c r="D57" s="863"/>
      <c r="E57" s="863"/>
      <c r="F57" s="879"/>
      <c r="G57" s="863"/>
      <c r="H57" s="879"/>
      <c r="I57" s="863"/>
      <c r="J57" s="844"/>
    </row>
    <row r="58" spans="2:10" ht="15.6" x14ac:dyDescent="0.3">
      <c r="B58" s="864"/>
      <c r="C58" s="865"/>
      <c r="D58" s="865"/>
      <c r="E58" s="865"/>
      <c r="F58" s="879"/>
      <c r="G58" s="863"/>
      <c r="H58" s="879"/>
      <c r="I58" s="861"/>
      <c r="J58" s="844"/>
    </row>
    <row r="59" spans="2:10" x14ac:dyDescent="0.25">
      <c r="B59" s="844"/>
      <c r="C59" s="844"/>
      <c r="D59" s="844"/>
      <c r="E59" s="844"/>
      <c r="F59" s="879"/>
      <c r="G59" s="863"/>
      <c r="H59" s="879"/>
      <c r="I59" s="861"/>
      <c r="J59" s="844"/>
    </row>
    <row r="60" spans="2:10" x14ac:dyDescent="0.25">
      <c r="B60" s="840"/>
      <c r="C60" s="840"/>
      <c r="D60" s="840"/>
      <c r="E60" s="840"/>
      <c r="F60" s="879"/>
      <c r="G60" s="879"/>
      <c r="H60" s="879"/>
      <c r="I60" s="861"/>
      <c r="J60" s="844"/>
    </row>
    <row r="61" spans="2:10" x14ac:dyDescent="0.25">
      <c r="B61" s="840"/>
      <c r="C61" s="840"/>
      <c r="D61" s="840"/>
      <c r="E61" s="840"/>
      <c r="F61" s="879"/>
      <c r="G61" s="879"/>
      <c r="H61" s="879"/>
      <c r="I61" s="861"/>
      <c r="J61" s="844"/>
    </row>
    <row r="62" spans="2:10" x14ac:dyDescent="0.25">
      <c r="B62" s="840"/>
      <c r="C62" s="840"/>
      <c r="D62" s="840"/>
      <c r="E62" s="840"/>
      <c r="F62" s="879"/>
      <c r="G62" s="879"/>
      <c r="H62" s="879"/>
      <c r="I62" s="861"/>
      <c r="J62" s="844"/>
    </row>
    <row r="63" spans="2:10" x14ac:dyDescent="0.25">
      <c r="B63" s="840"/>
      <c r="C63" s="840"/>
      <c r="D63" s="840"/>
      <c r="E63" s="840"/>
      <c r="F63" s="840"/>
      <c r="G63" s="879"/>
      <c r="H63" s="879"/>
      <c r="I63" s="861"/>
      <c r="J63" s="844"/>
    </row>
    <row r="64" spans="2:10" x14ac:dyDescent="0.25">
      <c r="F64" s="840"/>
      <c r="G64" s="879"/>
      <c r="H64" s="879"/>
      <c r="I64" s="861"/>
      <c r="J64" s="844"/>
    </row>
    <row r="65" spans="6:10" x14ac:dyDescent="0.25">
      <c r="F65" s="840"/>
      <c r="G65" s="879"/>
      <c r="H65" s="879"/>
      <c r="I65" s="861"/>
      <c r="J65" s="844"/>
    </row>
    <row r="66" spans="6:10" x14ac:dyDescent="0.25">
      <c r="F66" s="840"/>
      <c r="G66" s="879"/>
      <c r="H66" s="863"/>
      <c r="I66" s="863"/>
      <c r="J66" s="844"/>
    </row>
    <row r="67" spans="6:10" x14ac:dyDescent="0.25">
      <c r="F67" s="840"/>
      <c r="G67" s="879"/>
      <c r="H67" s="863"/>
      <c r="I67" s="863"/>
      <c r="J67" s="844"/>
    </row>
    <row r="68" spans="6:10" x14ac:dyDescent="0.25">
      <c r="F68" s="840"/>
      <c r="G68" s="879"/>
      <c r="H68" s="863"/>
      <c r="I68" s="863"/>
      <c r="J68" s="844"/>
    </row>
    <row r="69" spans="6:10" x14ac:dyDescent="0.25">
      <c r="F69" s="863"/>
      <c r="G69" s="863"/>
      <c r="H69" s="863"/>
      <c r="I69" s="863"/>
      <c r="J69" s="844"/>
    </row>
    <row r="70" spans="6:10" x14ac:dyDescent="0.25">
      <c r="F70" s="863"/>
      <c r="G70" s="863"/>
      <c r="H70" s="863"/>
      <c r="I70" s="863"/>
      <c r="J70" s="844"/>
    </row>
    <row r="71" spans="6:10" x14ac:dyDescent="0.25">
      <c r="F71" s="863"/>
      <c r="G71" s="863"/>
      <c r="H71" s="863"/>
      <c r="I71" s="863"/>
      <c r="J71" s="844"/>
    </row>
    <row r="72" spans="6:10" ht="15.6" x14ac:dyDescent="0.3">
      <c r="F72" s="865"/>
      <c r="G72" s="863"/>
      <c r="H72" s="865"/>
      <c r="I72" s="865"/>
      <c r="J72" s="844"/>
    </row>
    <row r="73" spans="6:10" x14ac:dyDescent="0.25">
      <c r="F73" s="844"/>
      <c r="G73" s="863"/>
      <c r="H73" s="844"/>
      <c r="I73" s="844"/>
      <c r="J73" s="844"/>
    </row>
    <row r="74" spans="6:10" x14ac:dyDescent="0.25">
      <c r="F74" s="840"/>
      <c r="G74" s="863"/>
      <c r="H74" s="840"/>
      <c r="I74" s="840"/>
      <c r="J74" s="840"/>
    </row>
    <row r="75" spans="6:10" ht="15.6" x14ac:dyDescent="0.3">
      <c r="F75" s="840"/>
      <c r="G75" s="865"/>
      <c r="H75" s="840"/>
      <c r="I75" s="840"/>
      <c r="J75" s="840"/>
    </row>
    <row r="76" spans="6:10" x14ac:dyDescent="0.25">
      <c r="F76" s="840"/>
      <c r="G76" s="844"/>
      <c r="H76" s="840"/>
      <c r="I76" s="840"/>
      <c r="J76" s="840"/>
    </row>
    <row r="77" spans="6:10" x14ac:dyDescent="0.25">
      <c r="H77" s="840"/>
      <c r="I77" s="840"/>
      <c r="J77" s="840"/>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25" top="0.38" bottom="0.75" header="0.3" footer="0.3"/>
  <pageSetup paperSize="17" scale="74"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
  <sheetViews>
    <sheetView workbookViewId="0">
      <pane xSplit="1" ySplit="1" topLeftCell="H2" activePane="bottomRight" state="frozen"/>
      <selection pane="topRight" activeCell="B1" sqref="B1"/>
      <selection pane="bottomLeft" activeCell="A2" sqref="A2"/>
      <selection pane="bottomRight" activeCell="E77" sqref="E77"/>
    </sheetView>
  </sheetViews>
  <sheetFormatPr defaultRowHeight="13.2" x14ac:dyDescent="0.25"/>
  <cols>
    <col min="1" max="1" width="15.33203125" style="3369" customWidth="1"/>
    <col min="2" max="2" width="55" customWidth="1"/>
    <col min="3" max="5" width="20.88671875" customWidth="1"/>
    <col min="6" max="8" width="21" customWidth="1"/>
    <col min="9" max="9" width="22.88671875" customWidth="1"/>
    <col min="10" max="10" width="17.44140625" customWidth="1"/>
    <col min="11" max="11" width="21.33203125" customWidth="1"/>
    <col min="12" max="12" width="18.6640625" customWidth="1"/>
    <col min="13" max="13" width="13.88671875" customWidth="1"/>
    <col min="14" max="14" width="20.109375" customWidth="1"/>
  </cols>
  <sheetData>
    <row r="1" spans="2:14" ht="42" customHeight="1" x14ac:dyDescent="0.4">
      <c r="B1" s="3119" t="s">
        <v>782</v>
      </c>
      <c r="C1" s="961"/>
      <c r="D1" s="961"/>
      <c r="E1" s="961"/>
      <c r="F1" s="961"/>
      <c r="G1" s="970"/>
      <c r="H1" s="962"/>
      <c r="I1" s="962"/>
      <c r="J1" s="931"/>
      <c r="K1" s="931"/>
      <c r="L1" s="931"/>
      <c r="M1" s="931"/>
      <c r="N1" s="931"/>
    </row>
    <row r="2" spans="2:14" ht="21" x14ac:dyDescent="0.4">
      <c r="B2" s="939"/>
      <c r="C2" s="961"/>
      <c r="D2" s="961"/>
      <c r="E2" s="961"/>
      <c r="F2" s="961"/>
      <c r="G2" s="970"/>
      <c r="H2" s="962"/>
      <c r="I2" s="962"/>
      <c r="J2" s="931"/>
      <c r="K2" s="931"/>
      <c r="L2" s="931"/>
      <c r="M2" s="931"/>
      <c r="N2" s="931"/>
    </row>
    <row r="3" spans="2:14" ht="39.6" x14ac:dyDescent="0.25">
      <c r="B3" s="3883"/>
      <c r="C3" s="935" t="s">
        <v>9</v>
      </c>
      <c r="D3" s="935" t="s">
        <v>10</v>
      </c>
      <c r="E3" s="935" t="s">
        <v>701</v>
      </c>
      <c r="F3" s="935" t="s">
        <v>12</v>
      </c>
      <c r="G3" s="935" t="s">
        <v>13</v>
      </c>
      <c r="H3" s="935" t="s">
        <v>14</v>
      </c>
      <c r="I3" s="935" t="s">
        <v>15</v>
      </c>
      <c r="J3" s="935" t="s">
        <v>16</v>
      </c>
      <c r="K3" s="935" t="s">
        <v>702</v>
      </c>
      <c r="L3" s="935" t="s">
        <v>18</v>
      </c>
      <c r="M3" s="986" t="s">
        <v>136</v>
      </c>
      <c r="N3" s="936" t="s">
        <v>19</v>
      </c>
    </row>
    <row r="4" spans="2:14" ht="26.4" x14ac:dyDescent="0.25">
      <c r="B4" s="994" t="s">
        <v>703</v>
      </c>
      <c r="C4" s="995"/>
      <c r="D4" s="995"/>
      <c r="E4" s="995"/>
      <c r="F4" s="995"/>
      <c r="G4" s="995"/>
      <c r="H4" s="995"/>
      <c r="I4" s="995"/>
      <c r="J4" s="995"/>
      <c r="K4" s="996"/>
      <c r="L4" s="998">
        <v>2555556</v>
      </c>
      <c r="M4" s="997"/>
      <c r="N4" s="999" t="s">
        <v>21</v>
      </c>
    </row>
    <row r="5" spans="2:14" x14ac:dyDescent="0.25">
      <c r="B5" s="985" t="s">
        <v>704</v>
      </c>
      <c r="C5" s="984">
        <v>381978.5500000001</v>
      </c>
      <c r="D5" s="984">
        <v>11043</v>
      </c>
      <c r="E5" s="984">
        <v>247603.57650000005</v>
      </c>
      <c r="F5" s="984">
        <v>54000</v>
      </c>
      <c r="G5" s="984">
        <v>9350</v>
      </c>
      <c r="H5" s="984">
        <v>183260.1</v>
      </c>
      <c r="I5" s="984">
        <v>1800</v>
      </c>
      <c r="J5" s="984">
        <v>0</v>
      </c>
      <c r="K5" s="993">
        <v>1751732.9</v>
      </c>
      <c r="L5" s="992">
        <v>2640768.1265000002</v>
      </c>
      <c r="M5" s="991">
        <v>14319000</v>
      </c>
      <c r="N5" s="1000">
        <v>3.3343869788022742E-2</v>
      </c>
    </row>
    <row r="6" spans="2:14" x14ac:dyDescent="0.25">
      <c r="B6" s="933">
        <v>2012</v>
      </c>
      <c r="C6" s="971">
        <f>C19</f>
        <v>481100</v>
      </c>
      <c r="D6" s="972">
        <f>C20</f>
        <v>40100</v>
      </c>
      <c r="E6" s="972">
        <f>C39</f>
        <v>328400</v>
      </c>
      <c r="F6" s="972">
        <f>C37</f>
        <v>54000</v>
      </c>
      <c r="G6" s="972">
        <f>C27</f>
        <v>11400</v>
      </c>
      <c r="H6" s="972">
        <f>C52</f>
        <v>511800</v>
      </c>
      <c r="I6" s="972">
        <f>C35</f>
        <v>8680</v>
      </c>
      <c r="J6" s="972">
        <f>C29</f>
        <v>1500</v>
      </c>
      <c r="K6" s="973">
        <f>C15</f>
        <v>3395300</v>
      </c>
      <c r="L6" s="973">
        <f>SUM(C6:K6)</f>
        <v>4832280</v>
      </c>
      <c r="M6" s="987">
        <f>C76</f>
        <v>27154000</v>
      </c>
      <c r="N6" s="1000">
        <v>0.98690701290543592</v>
      </c>
    </row>
    <row r="7" spans="2:14" ht="13.8" thickBot="1" x14ac:dyDescent="0.3">
      <c r="B7" s="978">
        <v>2013</v>
      </c>
      <c r="C7" s="971">
        <f>D19</f>
        <v>481100</v>
      </c>
      <c r="D7" s="972">
        <f>D20</f>
        <v>40100</v>
      </c>
      <c r="E7" s="972">
        <f>D39</f>
        <v>328400</v>
      </c>
      <c r="F7" s="972">
        <f>D37</f>
        <v>54000</v>
      </c>
      <c r="G7" s="977">
        <f>D27</f>
        <v>11400</v>
      </c>
      <c r="H7" s="977">
        <f>D52</f>
        <v>511800</v>
      </c>
      <c r="I7" s="981">
        <f>D35</f>
        <v>8680</v>
      </c>
      <c r="J7" s="981">
        <f>D29</f>
        <v>1500</v>
      </c>
      <c r="K7" s="982">
        <f>D15</f>
        <v>3490700</v>
      </c>
      <c r="L7" s="973">
        <f>SUM(C7:K7)</f>
        <v>4927680</v>
      </c>
      <c r="M7" s="987">
        <f>D76</f>
        <v>27706000</v>
      </c>
      <c r="N7" s="1000">
        <v>0</v>
      </c>
    </row>
    <row r="8" spans="2:14" ht="13.8" thickBot="1" x14ac:dyDescent="0.3">
      <c r="B8" s="955" t="s">
        <v>178</v>
      </c>
      <c r="C8" s="979">
        <f t="shared" ref="C8:M8" si="0">SUM(C6:C7)</f>
        <v>962200</v>
      </c>
      <c r="D8" s="980">
        <f t="shared" si="0"/>
        <v>80200</v>
      </c>
      <c r="E8" s="980">
        <f t="shared" si="0"/>
        <v>656800</v>
      </c>
      <c r="F8" s="980">
        <f t="shared" si="0"/>
        <v>108000</v>
      </c>
      <c r="G8" s="980">
        <f t="shared" si="0"/>
        <v>22800</v>
      </c>
      <c r="H8" s="980">
        <f t="shared" si="0"/>
        <v>1023600</v>
      </c>
      <c r="I8" s="980">
        <f t="shared" si="0"/>
        <v>17360</v>
      </c>
      <c r="J8" s="980">
        <f t="shared" si="0"/>
        <v>3000</v>
      </c>
      <c r="K8" s="983">
        <f t="shared" si="0"/>
        <v>6886000</v>
      </c>
      <c r="L8" s="980">
        <f t="shared" si="0"/>
        <v>9759960</v>
      </c>
      <c r="M8" s="988">
        <f t="shared" si="0"/>
        <v>54860000</v>
      </c>
      <c r="N8" s="931"/>
    </row>
    <row r="9" spans="2:14" ht="21" x14ac:dyDescent="0.4">
      <c r="B9" s="939"/>
      <c r="C9" s="961"/>
      <c r="D9" s="961"/>
      <c r="E9" s="961"/>
      <c r="F9" s="961"/>
      <c r="G9" s="970"/>
      <c r="H9" s="962"/>
      <c r="I9" s="962"/>
      <c r="J9" s="931"/>
      <c r="K9" s="931"/>
      <c r="L9" s="931"/>
      <c r="M9" s="931"/>
      <c r="N9" s="943"/>
    </row>
    <row r="10" spans="2:14" ht="17.399999999999999" x14ac:dyDescent="0.3">
      <c r="B10" s="940" t="s">
        <v>783</v>
      </c>
      <c r="C10" s="970"/>
      <c r="D10" s="970"/>
      <c r="E10" s="970"/>
      <c r="F10" s="960"/>
      <c r="G10" s="960"/>
      <c r="H10" s="960"/>
      <c r="I10" s="960"/>
      <c r="J10" s="931"/>
      <c r="K10" s="931"/>
      <c r="L10" s="931"/>
      <c r="M10" s="931"/>
      <c r="N10" s="931"/>
    </row>
    <row r="11" spans="2:14" ht="17.399999999999999" x14ac:dyDescent="0.3">
      <c r="B11" s="941"/>
      <c r="C11" s="974">
        <v>2012</v>
      </c>
      <c r="D11" s="975">
        <v>2013</v>
      </c>
      <c r="E11" s="976" t="s">
        <v>29</v>
      </c>
      <c r="F11" s="946"/>
      <c r="G11" s="946"/>
      <c r="H11" s="946"/>
      <c r="I11" s="958" t="s">
        <v>706</v>
      </c>
      <c r="J11" s="943"/>
      <c r="K11" s="943"/>
      <c r="L11" s="943"/>
      <c r="M11" s="989"/>
      <c r="N11" s="931"/>
    </row>
    <row r="12" spans="2:14" x14ac:dyDescent="0.25">
      <c r="B12" s="3388" t="s">
        <v>707</v>
      </c>
      <c r="C12" s="3426"/>
      <c r="D12" s="3384"/>
      <c r="E12" s="3412"/>
      <c r="F12" s="3394"/>
      <c r="G12" s="946"/>
      <c r="H12" s="946"/>
      <c r="I12" s="946" t="s">
        <v>707</v>
      </c>
      <c r="J12" s="951">
        <v>7632280</v>
      </c>
      <c r="K12" s="943"/>
      <c r="L12" s="931"/>
      <c r="M12" s="931"/>
      <c r="N12" s="931"/>
    </row>
    <row r="13" spans="2:14" ht="13.8" x14ac:dyDescent="0.3">
      <c r="B13" s="3903"/>
      <c r="C13" s="3419">
        <v>1533000</v>
      </c>
      <c r="D13" s="3406">
        <v>1430100</v>
      </c>
      <c r="E13" s="3438">
        <f>SUM(C13:D13)</f>
        <v>2963100</v>
      </c>
      <c r="F13" s="3394"/>
      <c r="G13" s="946"/>
      <c r="H13" s="946"/>
      <c r="I13" s="946" t="s">
        <v>709</v>
      </c>
      <c r="J13" s="952">
        <v>983734</v>
      </c>
      <c r="K13" s="943"/>
      <c r="L13" s="931"/>
      <c r="M13" s="931"/>
      <c r="N13" s="931"/>
    </row>
    <row r="14" spans="2:14" ht="13.8" x14ac:dyDescent="0.3">
      <c r="B14" s="3903"/>
      <c r="C14" s="3419">
        <v>1862300</v>
      </c>
      <c r="D14" s="3406">
        <v>2060600</v>
      </c>
      <c r="E14" s="3438">
        <f>SUM(C14:D14)</f>
        <v>3922900</v>
      </c>
      <c r="F14" s="3394"/>
      <c r="G14" s="946"/>
      <c r="H14" s="946"/>
      <c r="I14" s="946" t="s">
        <v>711</v>
      </c>
      <c r="J14" s="952">
        <v>0</v>
      </c>
      <c r="K14" s="931"/>
      <c r="L14" s="931"/>
      <c r="M14" s="931"/>
      <c r="N14" s="931"/>
    </row>
    <row r="15" spans="2:14" x14ac:dyDescent="0.25">
      <c r="B15" s="3388"/>
      <c r="C15" s="3443">
        <f>SUM(C13:C14)</f>
        <v>3395300</v>
      </c>
      <c r="D15" s="3453">
        <f>SUM(D13:D14)</f>
        <v>3490700</v>
      </c>
      <c r="E15" s="3432">
        <f>SUM(E13:E14)</f>
        <v>6886000</v>
      </c>
      <c r="F15" s="3394"/>
      <c r="G15" s="946"/>
      <c r="H15" s="946"/>
      <c r="I15" s="946" t="s">
        <v>712</v>
      </c>
      <c r="J15" s="952">
        <v>48600</v>
      </c>
      <c r="K15" s="931"/>
      <c r="L15" s="931"/>
      <c r="M15" s="931"/>
      <c r="N15" s="931"/>
    </row>
    <row r="16" spans="2:14" x14ac:dyDescent="0.25">
      <c r="B16" s="3388"/>
      <c r="C16" s="3410"/>
      <c r="D16" s="3431"/>
      <c r="E16" s="3432"/>
      <c r="F16" s="3394"/>
      <c r="G16" s="946"/>
      <c r="H16" s="946"/>
      <c r="I16" s="946" t="s">
        <v>526</v>
      </c>
      <c r="J16" s="938">
        <v>22627.000000000004</v>
      </c>
      <c r="K16" s="931"/>
      <c r="L16" s="931"/>
      <c r="M16" s="931"/>
      <c r="N16" s="931"/>
    </row>
    <row r="17" spans="2:13" ht="17.399999999999999" x14ac:dyDescent="0.3">
      <c r="B17" s="3389"/>
      <c r="C17" s="3411"/>
      <c r="D17" s="3384"/>
      <c r="E17" s="3412"/>
      <c r="F17" s="3394"/>
      <c r="G17" s="946"/>
      <c r="H17" s="946"/>
      <c r="I17" s="946" t="s">
        <v>714</v>
      </c>
      <c r="J17" s="938">
        <v>2934</v>
      </c>
      <c r="K17" s="931"/>
      <c r="L17" s="931"/>
      <c r="M17" s="931"/>
    </row>
    <row r="18" spans="2:13" x14ac:dyDescent="0.25">
      <c r="B18" s="3388" t="s">
        <v>713</v>
      </c>
      <c r="C18" s="3413"/>
      <c r="D18" s="3384"/>
      <c r="E18" s="3412"/>
      <c r="F18" s="3391"/>
      <c r="G18" s="944"/>
      <c r="H18" s="944"/>
      <c r="I18" s="946" t="s">
        <v>717</v>
      </c>
      <c r="J18" s="938">
        <v>4356</v>
      </c>
      <c r="K18" s="931"/>
      <c r="L18" s="931"/>
      <c r="M18" s="931"/>
    </row>
    <row r="19" spans="2:13" x14ac:dyDescent="0.25">
      <c r="B19" s="3393" t="s">
        <v>715</v>
      </c>
      <c r="C19" s="3454">
        <v>481100</v>
      </c>
      <c r="D19" s="3428">
        <v>481100</v>
      </c>
      <c r="E19" s="3438">
        <f>C19+D19</f>
        <v>962200</v>
      </c>
      <c r="F19" s="3402">
        <v>5.38</v>
      </c>
      <c r="G19" s="947" t="s">
        <v>716</v>
      </c>
      <c r="H19" s="945"/>
      <c r="I19" s="946" t="s">
        <v>719</v>
      </c>
      <c r="J19" s="938">
        <v>108000</v>
      </c>
      <c r="K19" s="931"/>
      <c r="L19" s="931"/>
      <c r="M19" s="931"/>
    </row>
    <row r="20" spans="2:13" x14ac:dyDescent="0.25">
      <c r="B20" s="3393" t="s">
        <v>720</v>
      </c>
      <c r="C20" s="3454">
        <v>40100</v>
      </c>
      <c r="D20" s="3428">
        <v>40100</v>
      </c>
      <c r="E20" s="3438">
        <f>C20+D20</f>
        <v>80200</v>
      </c>
      <c r="F20" s="3402">
        <v>0.33</v>
      </c>
      <c r="G20" s="947" t="s">
        <v>716</v>
      </c>
      <c r="H20" s="945"/>
      <c r="I20" s="946" t="s">
        <v>11</v>
      </c>
      <c r="J20" s="938">
        <v>650370.42000000004</v>
      </c>
      <c r="K20" s="931"/>
      <c r="L20" s="931"/>
      <c r="M20" s="931"/>
    </row>
    <row r="21" spans="2:13" x14ac:dyDescent="0.25">
      <c r="B21" s="3393"/>
      <c r="C21" s="3414"/>
      <c r="D21" s="3384"/>
      <c r="E21" s="3412"/>
      <c r="F21" s="3392"/>
      <c r="G21" s="947" t="s">
        <v>716</v>
      </c>
      <c r="H21" s="945"/>
      <c r="I21" s="946" t="s">
        <v>14</v>
      </c>
      <c r="J21" s="957">
        <v>1041020</v>
      </c>
      <c r="K21" s="931"/>
      <c r="L21" s="931"/>
      <c r="M21" s="990"/>
    </row>
    <row r="22" spans="2:13" x14ac:dyDescent="0.25">
      <c r="B22" s="3388" t="s">
        <v>526</v>
      </c>
      <c r="C22" s="3413"/>
      <c r="D22" s="3384"/>
      <c r="E22" s="3412"/>
      <c r="F22" s="3391"/>
      <c r="G22" s="945"/>
      <c r="H22" s="945"/>
      <c r="I22" s="931"/>
      <c r="J22" s="937">
        <v>10493921.42</v>
      </c>
      <c r="K22" s="931"/>
      <c r="L22" s="931"/>
      <c r="M22" s="931"/>
    </row>
    <row r="23" spans="2:13" x14ac:dyDescent="0.25">
      <c r="B23" s="3383" t="s">
        <v>721</v>
      </c>
      <c r="C23" s="3419">
        <v>2500</v>
      </c>
      <c r="D23" s="3428">
        <v>2500</v>
      </c>
      <c r="E23" s="3425">
        <f>SUM(C23:D23)</f>
        <v>5000</v>
      </c>
      <c r="F23" s="3403"/>
      <c r="G23" s="944"/>
      <c r="H23" s="944"/>
      <c r="I23" s="946"/>
      <c r="J23" s="969"/>
      <c r="K23" s="931"/>
      <c r="L23" s="931"/>
      <c r="M23" s="931"/>
    </row>
    <row r="24" spans="2:13" x14ac:dyDescent="0.25">
      <c r="B24" s="3393" t="s">
        <v>722</v>
      </c>
      <c r="C24" s="3415">
        <v>5200</v>
      </c>
      <c r="D24" s="3428">
        <v>5200</v>
      </c>
      <c r="E24" s="3425">
        <f t="shared" ref="E24:E26" si="1">SUM(C24:D24)</f>
        <v>10400</v>
      </c>
      <c r="F24" s="3383"/>
      <c r="G24" s="963"/>
      <c r="H24" s="963"/>
      <c r="I24" s="955" t="s">
        <v>723</v>
      </c>
      <c r="J24" s="967">
        <v>59709000</v>
      </c>
      <c r="K24" s="953" t="s">
        <v>724</v>
      </c>
      <c r="L24" s="931"/>
      <c r="M24" s="931"/>
    </row>
    <row r="25" spans="2:13" x14ac:dyDescent="0.25">
      <c r="B25" s="3393" t="s">
        <v>725</v>
      </c>
      <c r="C25" s="3419">
        <v>2600</v>
      </c>
      <c r="D25" s="3428">
        <v>2600</v>
      </c>
      <c r="E25" s="3425">
        <f t="shared" si="1"/>
        <v>5200</v>
      </c>
      <c r="F25" s="3391"/>
      <c r="G25" s="944"/>
      <c r="H25" s="944"/>
      <c r="I25" s="955" t="s">
        <v>726</v>
      </c>
      <c r="J25" s="959">
        <v>0.12782461605453113</v>
      </c>
      <c r="K25" s="956" t="s">
        <v>727</v>
      </c>
      <c r="L25" s="931"/>
      <c r="M25" s="931"/>
    </row>
    <row r="26" spans="2:13" x14ac:dyDescent="0.25">
      <c r="B26" s="3393" t="s">
        <v>728</v>
      </c>
      <c r="C26" s="3419">
        <v>1100</v>
      </c>
      <c r="D26" s="3428">
        <v>1100</v>
      </c>
      <c r="E26" s="3425">
        <f t="shared" si="1"/>
        <v>2200</v>
      </c>
      <c r="F26" s="3391"/>
      <c r="G26" s="944"/>
      <c r="H26" s="964"/>
      <c r="I26" s="955" t="s">
        <v>729</v>
      </c>
      <c r="J26" s="959">
        <v>0.17575108308630188</v>
      </c>
      <c r="K26" s="956" t="s">
        <v>727</v>
      </c>
      <c r="L26" s="931"/>
      <c r="M26" s="931"/>
    </row>
    <row r="27" spans="2:13" x14ac:dyDescent="0.25">
      <c r="B27" s="3383"/>
      <c r="C27" s="3416">
        <f>SUM(C23:C26)</f>
        <v>11400</v>
      </c>
      <c r="D27" s="3399">
        <f>SUM(D23:D26)</f>
        <v>11400</v>
      </c>
      <c r="E27" s="3432">
        <f>SUM(E23:E26)</f>
        <v>22800</v>
      </c>
      <c r="F27" s="3391"/>
      <c r="G27" s="944"/>
      <c r="H27" s="964"/>
      <c r="I27" s="954" t="s">
        <v>730</v>
      </c>
      <c r="J27" s="968">
        <v>0.7273048553092748</v>
      </c>
      <c r="K27" s="931"/>
      <c r="L27" s="931"/>
      <c r="M27" s="931"/>
    </row>
    <row r="28" spans="2:13" x14ac:dyDescent="0.25">
      <c r="B28" s="3384"/>
      <c r="C28" s="3421"/>
      <c r="D28" s="3384"/>
      <c r="E28" s="3412"/>
      <c r="F28" s="3391"/>
      <c r="G28" s="944"/>
      <c r="H28" s="964"/>
      <c r="I28" s="931"/>
      <c r="J28" s="931"/>
      <c r="K28" s="931"/>
      <c r="L28" s="931"/>
      <c r="M28" s="931"/>
    </row>
    <row r="29" spans="2:13" x14ac:dyDescent="0.25">
      <c r="B29" s="3388" t="s">
        <v>714</v>
      </c>
      <c r="C29" s="3416">
        <v>1500</v>
      </c>
      <c r="D29" s="3409">
        <v>1500</v>
      </c>
      <c r="E29" s="3432">
        <f>C29+D29</f>
        <v>3000</v>
      </c>
      <c r="F29" s="3391"/>
      <c r="G29" s="944"/>
      <c r="H29" s="964"/>
      <c r="I29" s="931"/>
      <c r="J29" s="931"/>
      <c r="K29" s="931"/>
      <c r="L29" s="931"/>
      <c r="M29" s="931"/>
    </row>
    <row r="30" spans="2:13" x14ac:dyDescent="0.25">
      <c r="B30" s="3384"/>
      <c r="C30" s="3421"/>
      <c r="D30" s="3384"/>
      <c r="E30" s="3412"/>
      <c r="F30" s="3391"/>
      <c r="G30" s="944"/>
      <c r="H30" s="964"/>
      <c r="I30" s="931"/>
      <c r="J30" s="931"/>
      <c r="K30" s="931"/>
      <c r="L30" s="931"/>
      <c r="M30" s="931"/>
    </row>
    <row r="31" spans="2:13" x14ac:dyDescent="0.25">
      <c r="B31" s="3387" t="s">
        <v>717</v>
      </c>
      <c r="C31" s="3421"/>
      <c r="D31" s="3384"/>
      <c r="E31" s="3412"/>
      <c r="F31" s="3404"/>
      <c r="G31" s="944"/>
      <c r="H31" s="964"/>
      <c r="I31" s="931"/>
      <c r="J31" s="931"/>
      <c r="K31" s="931"/>
      <c r="L31" s="931"/>
      <c r="M31" s="931"/>
    </row>
    <row r="32" spans="2:13" x14ac:dyDescent="0.25">
      <c r="B32" s="3383" t="s">
        <v>731</v>
      </c>
      <c r="C32" s="3421">
        <v>7810</v>
      </c>
      <c r="D32" s="3428">
        <v>7810</v>
      </c>
      <c r="E32" s="3425">
        <f>SUM(C32:D32)</f>
        <v>15620</v>
      </c>
      <c r="F32" s="3404"/>
      <c r="G32" s="964"/>
      <c r="H32" s="964"/>
      <c r="I32" s="946"/>
      <c r="J32" s="931"/>
      <c r="K32" s="931"/>
      <c r="L32" s="931"/>
      <c r="M32" s="931"/>
    </row>
    <row r="33" spans="2:9" x14ac:dyDescent="0.25">
      <c r="B33" s="3383" t="s">
        <v>732</v>
      </c>
      <c r="C33" s="3421">
        <v>430</v>
      </c>
      <c r="D33" s="3428">
        <v>430</v>
      </c>
      <c r="E33" s="3425">
        <f t="shared" ref="E33:E34" si="2">SUM(C33:D33)</f>
        <v>860</v>
      </c>
      <c r="F33" s="3404"/>
      <c r="G33" s="964"/>
      <c r="H33" s="964"/>
      <c r="I33" s="946"/>
    </row>
    <row r="34" spans="2:9" x14ac:dyDescent="0.25">
      <c r="B34" s="3384" t="s">
        <v>733</v>
      </c>
      <c r="C34" s="3421">
        <v>440</v>
      </c>
      <c r="D34" s="3428">
        <v>440</v>
      </c>
      <c r="E34" s="3425">
        <f t="shared" si="2"/>
        <v>880</v>
      </c>
      <c r="F34" s="3404"/>
      <c r="G34" s="964"/>
      <c r="H34" s="964"/>
      <c r="I34" s="946"/>
    </row>
    <row r="35" spans="2:9" x14ac:dyDescent="0.25">
      <c r="B35" s="3387" t="s">
        <v>734</v>
      </c>
      <c r="C35" s="3417">
        <f>SUM(C32:C34)</f>
        <v>8680</v>
      </c>
      <c r="D35" s="3395">
        <f>SUM(D32:D34)</f>
        <v>8680</v>
      </c>
      <c r="E35" s="3432">
        <f>SUM(E32:E34)</f>
        <v>17360</v>
      </c>
      <c r="F35" s="3404"/>
      <c r="G35" s="964"/>
      <c r="H35" s="964"/>
      <c r="I35" s="946"/>
    </row>
    <row r="36" spans="2:9" x14ac:dyDescent="0.25">
      <c r="B36" s="3384"/>
      <c r="C36" s="3421"/>
      <c r="D36" s="3384"/>
      <c r="E36" s="3412"/>
      <c r="F36" s="3404"/>
      <c r="G36" s="964"/>
      <c r="H36" s="964"/>
      <c r="I36" s="946"/>
    </row>
    <row r="37" spans="2:9" x14ac:dyDescent="0.25">
      <c r="B37" s="3387" t="s">
        <v>719</v>
      </c>
      <c r="C37" s="3417">
        <v>54000</v>
      </c>
      <c r="D37" s="3429">
        <v>54000</v>
      </c>
      <c r="E37" s="3432">
        <f>C37+D37</f>
        <v>108000</v>
      </c>
      <c r="F37" s="3404"/>
      <c r="G37" s="964"/>
      <c r="H37" s="964"/>
      <c r="I37" s="946"/>
    </row>
    <row r="38" spans="2:9" x14ac:dyDescent="0.25">
      <c r="B38" s="3384"/>
      <c r="C38" s="3421"/>
      <c r="D38" s="3384"/>
      <c r="E38" s="3412"/>
      <c r="F38" s="3404"/>
      <c r="G38" s="964"/>
      <c r="H38" s="964"/>
      <c r="I38" s="946"/>
    </row>
    <row r="39" spans="2:9" x14ac:dyDescent="0.25">
      <c r="B39" s="3387" t="s">
        <v>11</v>
      </c>
      <c r="C39" s="3417">
        <f>ROUND(SUM(C19:C20)*0.63, -2)</f>
        <v>328400</v>
      </c>
      <c r="D39" s="3395">
        <f>ROUND(SUM(D19:D20)*0.63, -2)</f>
        <v>328400</v>
      </c>
      <c r="E39" s="3432">
        <f>C39+D39</f>
        <v>656800</v>
      </c>
      <c r="F39" s="3404"/>
      <c r="G39" s="965"/>
      <c r="H39" s="964"/>
      <c r="I39" s="946"/>
    </row>
    <row r="40" spans="2:9" x14ac:dyDescent="0.25">
      <c r="B40" s="3384"/>
      <c r="C40" s="3421"/>
      <c r="D40" s="3405"/>
      <c r="E40" s="3422"/>
      <c r="F40" s="3404"/>
      <c r="G40" s="965"/>
      <c r="H40" s="964"/>
      <c r="I40" s="946"/>
    </row>
    <row r="41" spans="2:9" x14ac:dyDescent="0.25">
      <c r="B41" s="3385" t="s">
        <v>14</v>
      </c>
      <c r="C41" s="3421"/>
      <c r="D41" s="3405"/>
      <c r="E41" s="3422"/>
      <c r="F41" s="3404"/>
      <c r="G41" s="932"/>
      <c r="H41" s="964"/>
      <c r="I41" s="942"/>
    </row>
    <row r="42" spans="2:9" x14ac:dyDescent="0.25">
      <c r="B42" s="3437" t="s">
        <v>708</v>
      </c>
      <c r="C42" s="3421"/>
      <c r="D42" s="3405"/>
      <c r="E42" s="3422"/>
      <c r="F42" s="3404"/>
      <c r="G42" s="932"/>
      <c r="H42" s="964"/>
      <c r="I42" s="942"/>
    </row>
    <row r="43" spans="2:9" x14ac:dyDescent="0.25">
      <c r="B43" s="3398" t="s">
        <v>784</v>
      </c>
      <c r="C43" s="3419">
        <v>6250</v>
      </c>
      <c r="D43" s="3406">
        <v>6250</v>
      </c>
      <c r="E43" s="3420">
        <f>SUM(C43:D43)</f>
        <v>12500</v>
      </c>
      <c r="F43" s="3404"/>
      <c r="G43" s="932"/>
      <c r="H43" s="964"/>
      <c r="I43" s="942"/>
    </row>
    <row r="44" spans="2:9" x14ac:dyDescent="0.25">
      <c r="B44" s="3398" t="s">
        <v>757</v>
      </c>
      <c r="C44" s="3419">
        <v>29700</v>
      </c>
      <c r="D44" s="3406">
        <v>29700</v>
      </c>
      <c r="E44" s="3420">
        <f t="shared" ref="E44:E51" si="3">SUM(C44:D44)</f>
        <v>59400</v>
      </c>
      <c r="F44" s="3404"/>
      <c r="G44" s="932"/>
      <c r="H44" s="964"/>
      <c r="I44" s="942"/>
    </row>
    <row r="45" spans="2:9" x14ac:dyDescent="0.25">
      <c r="B45" s="3383" t="s">
        <v>785</v>
      </c>
      <c r="C45" s="3419">
        <v>19200</v>
      </c>
      <c r="D45" s="3406">
        <v>19200</v>
      </c>
      <c r="E45" s="3420">
        <f t="shared" si="3"/>
        <v>38400</v>
      </c>
      <c r="F45" s="3404"/>
      <c r="G45" s="932"/>
      <c r="H45" s="964"/>
      <c r="I45" s="942"/>
    </row>
    <row r="46" spans="2:9" x14ac:dyDescent="0.25">
      <c r="B46" s="3433" t="s">
        <v>710</v>
      </c>
      <c r="C46" s="3419"/>
      <c r="D46" s="3406"/>
      <c r="E46" s="3420">
        <f t="shared" si="3"/>
        <v>0</v>
      </c>
      <c r="F46" s="3404"/>
      <c r="G46" s="932"/>
      <c r="H46" s="964"/>
      <c r="I46" s="942"/>
    </row>
    <row r="47" spans="2:9" x14ac:dyDescent="0.25">
      <c r="B47" s="3436" t="s">
        <v>786</v>
      </c>
      <c r="C47" s="3419">
        <v>125000</v>
      </c>
      <c r="D47" s="3406">
        <v>125000</v>
      </c>
      <c r="E47" s="3420">
        <f t="shared" si="3"/>
        <v>250000</v>
      </c>
      <c r="F47" s="3404"/>
      <c r="G47" s="932"/>
      <c r="H47" s="964"/>
      <c r="I47" s="942"/>
    </row>
    <row r="48" spans="2:9" x14ac:dyDescent="0.25">
      <c r="B48" s="3436" t="s">
        <v>787</v>
      </c>
      <c r="C48" s="3419">
        <v>0</v>
      </c>
      <c r="D48" s="3406">
        <v>0</v>
      </c>
      <c r="E48" s="3420">
        <f t="shared" si="3"/>
        <v>0</v>
      </c>
      <c r="F48" s="3404"/>
      <c r="G48" s="932"/>
      <c r="H48" s="964"/>
      <c r="I48" s="942"/>
    </row>
    <row r="49" spans="2:9" x14ac:dyDescent="0.25">
      <c r="B49" s="3436" t="s">
        <v>788</v>
      </c>
      <c r="C49" s="3419">
        <v>1200</v>
      </c>
      <c r="D49" s="3406">
        <v>1200</v>
      </c>
      <c r="E49" s="3420">
        <f t="shared" si="3"/>
        <v>2400</v>
      </c>
      <c r="F49" s="3404"/>
      <c r="G49" s="932"/>
      <c r="H49" s="964"/>
      <c r="I49" s="942"/>
    </row>
    <row r="50" spans="2:9" x14ac:dyDescent="0.25">
      <c r="B50" s="3436" t="s">
        <v>789</v>
      </c>
      <c r="C50" s="3419">
        <v>234450</v>
      </c>
      <c r="D50" s="3406">
        <v>234450</v>
      </c>
      <c r="E50" s="3420">
        <f t="shared" si="3"/>
        <v>468900</v>
      </c>
      <c r="F50" s="3404"/>
      <c r="G50" s="932"/>
      <c r="H50" s="964"/>
      <c r="I50" s="942"/>
    </row>
    <row r="51" spans="2:9" x14ac:dyDescent="0.25">
      <c r="B51" s="3436" t="s">
        <v>790</v>
      </c>
      <c r="C51" s="3419">
        <v>96000</v>
      </c>
      <c r="D51" s="3406">
        <v>96000</v>
      </c>
      <c r="E51" s="3420">
        <f t="shared" si="3"/>
        <v>192000</v>
      </c>
      <c r="F51" s="3404"/>
      <c r="G51" s="932"/>
      <c r="H51" s="964"/>
      <c r="I51" s="942"/>
    </row>
    <row r="52" spans="2:9" x14ac:dyDescent="0.25">
      <c r="B52" s="3397" t="s">
        <v>743</v>
      </c>
      <c r="C52" s="3417">
        <f>SUM(C43:C51)</f>
        <v>511800</v>
      </c>
      <c r="D52" s="3395">
        <f>SUM(D43:D51)</f>
        <v>511800</v>
      </c>
      <c r="E52" s="3432">
        <f>SUM(E43:E51)</f>
        <v>1023600</v>
      </c>
      <c r="F52" s="3404"/>
      <c r="G52" s="932"/>
      <c r="H52" s="964"/>
      <c r="I52" s="942"/>
    </row>
    <row r="53" spans="2:9" x14ac:dyDescent="0.25">
      <c r="B53" s="3390"/>
      <c r="C53" s="3440"/>
      <c r="D53" s="3441"/>
      <c r="E53" s="3442"/>
      <c r="F53" s="3404"/>
      <c r="G53" s="932"/>
      <c r="H53" s="964"/>
      <c r="I53" s="942"/>
    </row>
    <row r="54" spans="2:9" ht="13.8" thickBot="1" x14ac:dyDescent="0.3">
      <c r="B54" s="3397" t="s">
        <v>744</v>
      </c>
      <c r="C54" s="3439">
        <f>C15+C19+C20+C27+C29+C35+C37+C39+C52</f>
        <v>4832280</v>
      </c>
      <c r="D54" s="3439">
        <f>D15+D19+D20+D27+D29+D35+D37+D39+D52</f>
        <v>4927680</v>
      </c>
      <c r="E54" s="3439">
        <f>E15+E19+E20+E27+E29+E35+E37+E39+E52</f>
        <v>9759960</v>
      </c>
      <c r="F54" s="3421"/>
      <c r="G54" s="932"/>
      <c r="H54" s="964"/>
      <c r="I54" s="942"/>
    </row>
    <row r="55" spans="2:9" x14ac:dyDescent="0.25">
      <c r="B55" s="3386"/>
      <c r="C55" s="3406"/>
      <c r="D55" s="3406"/>
      <c r="E55" s="3406"/>
      <c r="F55" s="3404"/>
      <c r="G55" s="965"/>
      <c r="H55" s="964"/>
      <c r="I55" s="942"/>
    </row>
    <row r="56" spans="2:9" x14ac:dyDescent="0.25">
      <c r="B56" s="3383"/>
      <c r="C56" s="3427">
        <v>2012</v>
      </c>
      <c r="D56" s="3427">
        <v>2013</v>
      </c>
      <c r="E56" s="3427" t="s">
        <v>29</v>
      </c>
      <c r="F56" s="3383"/>
      <c r="G56" s="965"/>
      <c r="H56" s="964"/>
      <c r="I56" s="942"/>
    </row>
    <row r="57" spans="2:9" x14ac:dyDescent="0.25">
      <c r="B57" s="3387" t="s">
        <v>745</v>
      </c>
      <c r="C57" s="3445"/>
      <c r="D57" s="3418"/>
      <c r="E57" s="3446"/>
      <c r="F57" s="3383"/>
      <c r="G57" s="965"/>
      <c r="H57" s="964"/>
      <c r="I57" s="942"/>
    </row>
    <row r="58" spans="2:9" ht="23.25" customHeight="1" x14ac:dyDescent="0.3">
      <c r="B58" s="3903"/>
      <c r="C58" s="3447"/>
      <c r="D58" s="3400"/>
      <c r="E58" s="3448"/>
      <c r="F58" s="3399"/>
      <c r="G58" s="965"/>
      <c r="H58" s="964"/>
      <c r="I58" s="942"/>
    </row>
    <row r="59" spans="2:9" x14ac:dyDescent="0.25">
      <c r="B59" s="3444" t="s">
        <v>791</v>
      </c>
      <c r="C59" s="3449">
        <v>1712000</v>
      </c>
      <c r="D59" s="3434">
        <v>888000</v>
      </c>
      <c r="E59" s="3450">
        <f>C59+D59</f>
        <v>2600000</v>
      </c>
      <c r="F59" s="3435" t="s">
        <v>746</v>
      </c>
      <c r="G59" s="965"/>
      <c r="H59" s="964"/>
      <c r="I59" s="942"/>
    </row>
    <row r="60" spans="2:9" x14ac:dyDescent="0.25">
      <c r="B60" s="3444" t="s">
        <v>792</v>
      </c>
      <c r="C60" s="3449">
        <v>400000</v>
      </c>
      <c r="D60" s="3434">
        <v>400000</v>
      </c>
      <c r="E60" s="3450">
        <f t="shared" ref="E60:E69" si="4">C60+D60</f>
        <v>800000</v>
      </c>
      <c r="F60" s="3435" t="s">
        <v>746</v>
      </c>
      <c r="G60" s="965"/>
      <c r="H60" s="964"/>
      <c r="I60" s="942"/>
    </row>
    <row r="61" spans="2:9" x14ac:dyDescent="0.25">
      <c r="B61" s="3444" t="s">
        <v>793</v>
      </c>
      <c r="C61" s="3449">
        <v>50000</v>
      </c>
      <c r="D61" s="3434">
        <v>50000</v>
      </c>
      <c r="E61" s="3450">
        <f t="shared" si="4"/>
        <v>100000</v>
      </c>
      <c r="F61" s="3435" t="s">
        <v>746</v>
      </c>
      <c r="G61" s="965"/>
      <c r="H61" s="964"/>
      <c r="I61" s="942"/>
    </row>
    <row r="62" spans="2:9" x14ac:dyDescent="0.25">
      <c r="B62" s="3444" t="s">
        <v>794</v>
      </c>
      <c r="C62" s="3449">
        <v>50000</v>
      </c>
      <c r="D62" s="3434">
        <v>50000</v>
      </c>
      <c r="E62" s="3450">
        <f t="shared" si="4"/>
        <v>100000</v>
      </c>
      <c r="F62" s="3435" t="s">
        <v>746</v>
      </c>
      <c r="G62" s="965"/>
      <c r="H62" s="964"/>
      <c r="I62" s="942"/>
    </row>
    <row r="63" spans="2:9" x14ac:dyDescent="0.25">
      <c r="B63" s="3444" t="s">
        <v>795</v>
      </c>
      <c r="C63" s="3449">
        <v>3000000</v>
      </c>
      <c r="D63" s="3434">
        <v>3000000</v>
      </c>
      <c r="E63" s="3450">
        <f t="shared" si="4"/>
        <v>6000000</v>
      </c>
      <c r="F63" s="3435" t="s">
        <v>746</v>
      </c>
      <c r="G63" s="965"/>
      <c r="H63" s="964"/>
      <c r="I63" s="942"/>
    </row>
    <row r="64" spans="2:9" x14ac:dyDescent="0.25">
      <c r="B64" s="3444" t="s">
        <v>1084</v>
      </c>
      <c r="C64" s="3449">
        <v>4645000</v>
      </c>
      <c r="D64" s="3434">
        <v>4645000</v>
      </c>
      <c r="E64" s="3450">
        <f t="shared" si="4"/>
        <v>9290000</v>
      </c>
      <c r="F64" s="3435" t="s">
        <v>746</v>
      </c>
      <c r="G64" s="965"/>
      <c r="H64" s="964"/>
      <c r="I64" s="942"/>
    </row>
    <row r="65" spans="2:10" x14ac:dyDescent="0.25">
      <c r="B65" s="3444" t="s">
        <v>796</v>
      </c>
      <c r="C65" s="3449">
        <v>1823000</v>
      </c>
      <c r="D65" s="3434">
        <v>1823000</v>
      </c>
      <c r="E65" s="3450">
        <f t="shared" si="4"/>
        <v>3646000</v>
      </c>
      <c r="F65" s="3435" t="s">
        <v>746</v>
      </c>
      <c r="G65" s="965"/>
      <c r="H65" s="964"/>
      <c r="I65" s="942"/>
      <c r="J65" s="931"/>
    </row>
    <row r="66" spans="2:10" x14ac:dyDescent="0.25">
      <c r="B66" s="3444" t="s">
        <v>797</v>
      </c>
      <c r="C66" s="3449">
        <v>400000</v>
      </c>
      <c r="D66" s="3434">
        <v>500000</v>
      </c>
      <c r="E66" s="3450">
        <f t="shared" si="4"/>
        <v>900000</v>
      </c>
      <c r="F66" s="3435" t="s">
        <v>746</v>
      </c>
      <c r="G66" s="965"/>
      <c r="H66" s="964"/>
      <c r="I66" s="942"/>
      <c r="J66" s="931"/>
    </row>
    <row r="67" spans="2:10" x14ac:dyDescent="0.25">
      <c r="B67" s="3444" t="s">
        <v>798</v>
      </c>
      <c r="C67" s="3449">
        <v>400000</v>
      </c>
      <c r="D67" s="3434">
        <v>110000</v>
      </c>
      <c r="E67" s="3450">
        <f t="shared" si="4"/>
        <v>510000</v>
      </c>
      <c r="F67" s="3435" t="s">
        <v>746</v>
      </c>
      <c r="G67" s="965"/>
      <c r="H67" s="964"/>
      <c r="I67" s="942"/>
      <c r="J67" s="931"/>
    </row>
    <row r="68" spans="2:10" x14ac:dyDescent="0.25">
      <c r="B68" s="3444" t="s">
        <v>799</v>
      </c>
      <c r="C68" s="3449">
        <v>990000</v>
      </c>
      <c r="D68" s="3434">
        <v>1100000</v>
      </c>
      <c r="E68" s="3450">
        <f t="shared" si="4"/>
        <v>2090000</v>
      </c>
      <c r="F68" s="3435" t="s">
        <v>746</v>
      </c>
      <c r="G68" s="965"/>
      <c r="H68" s="964"/>
      <c r="I68" s="942"/>
      <c r="J68" s="931"/>
    </row>
    <row r="69" spans="2:10" x14ac:dyDescent="0.25">
      <c r="B69" s="3444" t="s">
        <v>800</v>
      </c>
      <c r="C69" s="3449">
        <v>7000</v>
      </c>
      <c r="D69" s="3434">
        <v>7000</v>
      </c>
      <c r="E69" s="3450">
        <f t="shared" si="4"/>
        <v>14000</v>
      </c>
      <c r="F69" s="3435" t="s">
        <v>746</v>
      </c>
      <c r="G69" s="965"/>
      <c r="H69" s="964"/>
      <c r="I69" s="942"/>
      <c r="J69" s="931"/>
    </row>
    <row r="70" spans="2:10" ht="23.25" customHeight="1" x14ac:dyDescent="0.3">
      <c r="B70" s="3903"/>
      <c r="C70" s="3449"/>
      <c r="D70" s="3434"/>
      <c r="E70" s="3450"/>
      <c r="F70" s="3435"/>
      <c r="G70" s="965"/>
      <c r="H70" s="964"/>
      <c r="I70" s="942"/>
      <c r="J70" s="931"/>
    </row>
    <row r="71" spans="2:10" x14ac:dyDescent="0.25">
      <c r="B71" s="3436" t="s">
        <v>786</v>
      </c>
      <c r="C71" s="3449">
        <v>3000000</v>
      </c>
      <c r="D71" s="3434">
        <v>3000000</v>
      </c>
      <c r="E71" s="3450">
        <f>C71+D71</f>
        <v>6000000</v>
      </c>
      <c r="F71" s="3435" t="s">
        <v>746</v>
      </c>
      <c r="G71" s="965"/>
      <c r="H71" s="964"/>
      <c r="I71" s="942"/>
      <c r="J71" s="931"/>
    </row>
    <row r="72" spans="2:10" x14ac:dyDescent="0.25">
      <c r="B72" s="3436" t="s">
        <v>787</v>
      </c>
      <c r="C72" s="3449">
        <v>5475000</v>
      </c>
      <c r="D72" s="3434">
        <v>6931000</v>
      </c>
      <c r="E72" s="3450">
        <f t="shared" ref="E72:E75" si="5">C72+D72</f>
        <v>12406000</v>
      </c>
      <c r="F72" s="3435" t="s">
        <v>746</v>
      </c>
      <c r="G72" s="965"/>
      <c r="H72" s="964"/>
      <c r="I72" s="942"/>
      <c r="J72" s="931"/>
    </row>
    <row r="73" spans="2:10" x14ac:dyDescent="0.25">
      <c r="B73" s="3436" t="s">
        <v>788</v>
      </c>
      <c r="C73" s="3449">
        <v>34000</v>
      </c>
      <c r="D73" s="3434">
        <v>34000</v>
      </c>
      <c r="E73" s="3450">
        <f t="shared" si="5"/>
        <v>68000</v>
      </c>
      <c r="F73" s="3435" t="s">
        <v>746</v>
      </c>
      <c r="G73" s="965"/>
      <c r="H73" s="964"/>
      <c r="I73" s="942"/>
      <c r="J73" s="931"/>
    </row>
    <row r="74" spans="2:10" x14ac:dyDescent="0.25">
      <c r="B74" s="3436" t="s">
        <v>789</v>
      </c>
      <c r="C74" s="3449">
        <v>3168000</v>
      </c>
      <c r="D74" s="3434">
        <v>3168000</v>
      </c>
      <c r="E74" s="3450">
        <f t="shared" si="5"/>
        <v>6336000</v>
      </c>
      <c r="F74" s="3435" t="s">
        <v>746</v>
      </c>
      <c r="G74" s="965"/>
      <c r="H74" s="964"/>
      <c r="I74" s="942"/>
      <c r="J74" s="931"/>
    </row>
    <row r="75" spans="2:10" x14ac:dyDescent="0.25">
      <c r="B75" s="3436" t="s">
        <v>790</v>
      </c>
      <c r="C75" s="3451">
        <v>2000000</v>
      </c>
      <c r="D75" s="3452">
        <v>2000000</v>
      </c>
      <c r="E75" s="3450">
        <f t="shared" si="5"/>
        <v>4000000</v>
      </c>
      <c r="F75" s="3435" t="s">
        <v>746</v>
      </c>
      <c r="G75" s="965"/>
      <c r="H75" s="964"/>
      <c r="I75" s="942"/>
      <c r="J75" s="931"/>
    </row>
    <row r="76" spans="2:10" x14ac:dyDescent="0.25">
      <c r="B76" s="3401" t="s">
        <v>801</v>
      </c>
      <c r="C76" s="3423">
        <f>SUM(C59:C75)</f>
        <v>27154000</v>
      </c>
      <c r="D76" s="3423">
        <f>SUM(D59:D75)</f>
        <v>27706000</v>
      </c>
      <c r="E76" s="3424">
        <f>SUM(E59:E75)</f>
        <v>54860000</v>
      </c>
      <c r="F76" s="3399" t="s">
        <v>746</v>
      </c>
      <c r="G76" s="965"/>
      <c r="H76" s="964"/>
      <c r="I76" s="942"/>
      <c r="J76" s="931"/>
    </row>
    <row r="77" spans="2:10" x14ac:dyDescent="0.25">
      <c r="B77" s="3383"/>
      <c r="C77" s="3400"/>
      <c r="D77" s="3400"/>
      <c r="E77" s="3400"/>
      <c r="F77" s="3399"/>
      <c r="G77" s="965"/>
      <c r="H77" s="964"/>
      <c r="I77" s="942"/>
      <c r="J77" s="931"/>
    </row>
    <row r="78" spans="2:10" x14ac:dyDescent="0.25">
      <c r="B78" s="3408" t="s">
        <v>751</v>
      </c>
      <c r="C78" s="3430">
        <v>0.49514014260444589</v>
      </c>
      <c r="D78" s="3430">
        <v>0.50485985739555406</v>
      </c>
      <c r="E78" s="3407"/>
      <c r="F78" s="3396"/>
      <c r="G78" s="965"/>
      <c r="H78" s="964"/>
      <c r="I78" s="942"/>
      <c r="J78" s="931"/>
    </row>
    <row r="79" spans="2:10" x14ac:dyDescent="0.25">
      <c r="B79" s="3050" t="s">
        <v>751</v>
      </c>
      <c r="C79" s="3051">
        <v>0.51023943687656148</v>
      </c>
      <c r="D79" s="3051">
        <v>0.48976056312343857</v>
      </c>
      <c r="E79" s="3049"/>
      <c r="F79" s="3048"/>
      <c r="G79" s="965"/>
      <c r="H79" s="966"/>
      <c r="I79" s="948"/>
      <c r="J79" s="934"/>
    </row>
    <row r="80" spans="2:10" x14ac:dyDescent="0.25">
      <c r="B80" s="931"/>
      <c r="C80" s="950"/>
      <c r="D80" s="950"/>
      <c r="E80" s="950"/>
      <c r="F80" s="949"/>
      <c r="G80" s="965"/>
      <c r="H80" s="966"/>
      <c r="I80" s="948"/>
      <c r="J80" s="934"/>
    </row>
    <row r="81" spans="2:10" x14ac:dyDescent="0.25">
      <c r="B81" s="931"/>
      <c r="C81" s="931"/>
      <c r="D81" s="931"/>
      <c r="E81" s="931"/>
      <c r="F81" s="931"/>
      <c r="G81" s="931"/>
      <c r="H81" s="931"/>
      <c r="I81" s="931"/>
      <c r="J81" s="931"/>
    </row>
    <row r="82" spans="2:10" x14ac:dyDescent="0.25">
      <c r="B82" s="931"/>
      <c r="C82" s="931"/>
      <c r="D82" s="931"/>
      <c r="E82" s="4776"/>
      <c r="F82" s="4776"/>
      <c r="G82" s="4776"/>
      <c r="H82" s="931"/>
      <c r="I82" s="931"/>
      <c r="J82" s="931"/>
    </row>
    <row r="83" spans="2:10" x14ac:dyDescent="0.25">
      <c r="B83" s="931"/>
      <c r="C83" s="931"/>
      <c r="D83" s="931"/>
      <c r="E83" s="4776"/>
      <c r="F83" s="4776"/>
      <c r="G83" s="4776"/>
      <c r="H83" s="931"/>
      <c r="I83" s="931"/>
      <c r="J83" s="931"/>
    </row>
    <row r="85" spans="2:10" x14ac:dyDescent="0.25">
      <c r="B85" s="931"/>
      <c r="C85" s="931"/>
      <c r="D85" s="931"/>
      <c r="E85" s="4776"/>
      <c r="F85" s="4776"/>
      <c r="G85" s="4776"/>
      <c r="H85" s="931"/>
      <c r="I85" s="931"/>
      <c r="J85" s="931"/>
    </row>
    <row r="87" spans="2:10" x14ac:dyDescent="0.25">
      <c r="B87" s="931"/>
      <c r="C87" s="931"/>
      <c r="D87" s="931"/>
      <c r="E87" s="4776"/>
      <c r="F87" s="4776"/>
      <c r="G87" s="4776"/>
      <c r="H87" s="931"/>
      <c r="I87" s="931"/>
      <c r="J87" s="931"/>
    </row>
    <row r="88" spans="2:10" x14ac:dyDescent="0.25">
      <c r="B88" s="931"/>
      <c r="C88" s="931"/>
      <c r="D88" s="931"/>
      <c r="E88" s="4776"/>
      <c r="F88" s="4776"/>
      <c r="G88" s="4776"/>
      <c r="H88" s="931"/>
      <c r="I88" s="931"/>
      <c r="J88" s="931"/>
    </row>
    <row r="89" spans="2:10" x14ac:dyDescent="0.25">
      <c r="B89" s="931"/>
      <c r="C89" s="931"/>
      <c r="D89" s="931"/>
      <c r="E89" s="4776"/>
      <c r="F89" s="4776"/>
      <c r="G89" s="4776"/>
      <c r="H89" s="931"/>
      <c r="I89" s="931"/>
      <c r="J89" s="931"/>
    </row>
    <row r="90" spans="2:10" x14ac:dyDescent="0.25">
      <c r="B90" s="931"/>
      <c r="C90" s="931"/>
      <c r="D90" s="931"/>
      <c r="E90" s="4776"/>
      <c r="F90" s="4776"/>
      <c r="G90" s="4776"/>
      <c r="H90" s="931"/>
      <c r="I90" s="931"/>
      <c r="J90" s="931"/>
    </row>
    <row r="91" spans="2:10" x14ac:dyDescent="0.25">
      <c r="B91" s="931"/>
      <c r="C91" s="931"/>
      <c r="D91" s="931"/>
      <c r="E91" s="4776"/>
      <c r="F91" s="4776"/>
      <c r="G91" s="4776"/>
      <c r="H91" s="931"/>
      <c r="I91" s="931"/>
      <c r="J91" s="931"/>
    </row>
    <row r="92" spans="2:10" x14ac:dyDescent="0.25">
      <c r="B92" s="931"/>
      <c r="C92" s="931"/>
      <c r="D92" s="931"/>
      <c r="E92" s="4776"/>
      <c r="F92" s="4776"/>
      <c r="G92" s="4776"/>
      <c r="H92" s="931"/>
      <c r="I92" s="931"/>
      <c r="J92" s="931"/>
    </row>
    <row r="93" spans="2:10" x14ac:dyDescent="0.25">
      <c r="B93" s="931"/>
      <c r="C93" s="931"/>
      <c r="D93" s="931"/>
      <c r="E93" s="4776"/>
      <c r="F93" s="4776"/>
      <c r="G93" s="4776"/>
      <c r="H93" s="931"/>
      <c r="I93" s="931"/>
      <c r="J93" s="931"/>
    </row>
    <row r="94" spans="2:10" x14ac:dyDescent="0.25">
      <c r="E94" s="4776"/>
      <c r="F94" s="4776"/>
      <c r="G94" s="4776"/>
    </row>
    <row r="95" spans="2:10" x14ac:dyDescent="0.25">
      <c r="E95" s="4776"/>
      <c r="F95" s="4776"/>
      <c r="G95" s="4776"/>
    </row>
    <row r="96" spans="2:10" x14ac:dyDescent="0.25">
      <c r="E96" s="4776"/>
      <c r="F96" s="4776"/>
      <c r="G96" s="4776"/>
    </row>
    <row r="97" spans="5:7" x14ac:dyDescent="0.25">
      <c r="E97" s="4776"/>
      <c r="F97" s="4776"/>
      <c r="G97" s="4776"/>
    </row>
    <row r="98" spans="5:7" x14ac:dyDescent="0.25">
      <c r="E98" s="4776"/>
      <c r="F98" s="4776"/>
      <c r="G98" s="4776"/>
    </row>
    <row r="99" spans="5:7" x14ac:dyDescent="0.25">
      <c r="E99" s="4776"/>
      <c r="F99" s="4776"/>
      <c r="G99" s="4776"/>
    </row>
    <row r="100" spans="5:7" x14ac:dyDescent="0.25">
      <c r="E100" s="4776"/>
      <c r="F100" s="4776"/>
      <c r="G100" s="4776"/>
    </row>
    <row r="101" spans="5:7" x14ac:dyDescent="0.25">
      <c r="E101" s="4776"/>
      <c r="F101" s="4776"/>
      <c r="G101" s="4776"/>
    </row>
    <row r="102" spans="5:7" x14ac:dyDescent="0.25">
      <c r="E102" s="4776"/>
      <c r="F102" s="4776"/>
      <c r="G102" s="4776"/>
    </row>
    <row r="103" spans="5:7" x14ac:dyDescent="0.25">
      <c r="E103" s="4776"/>
      <c r="F103" s="4776"/>
      <c r="G103" s="4776"/>
    </row>
    <row r="104" spans="5:7" x14ac:dyDescent="0.25">
      <c r="E104" s="4776"/>
      <c r="F104" s="4776"/>
      <c r="G104" s="4776"/>
    </row>
    <row r="105" spans="5:7" x14ac:dyDescent="0.25">
      <c r="E105" s="4776"/>
      <c r="F105" s="4776"/>
      <c r="G105" s="4776"/>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22">
    <mergeCell ref="E90:G90"/>
    <mergeCell ref="E91:G91"/>
    <mergeCell ref="E88:G88"/>
    <mergeCell ref="E89:G89"/>
    <mergeCell ref="E82:G82"/>
    <mergeCell ref="E83:G83"/>
    <mergeCell ref="E85:G85"/>
    <mergeCell ref="E87:G87"/>
    <mergeCell ref="E96:G96"/>
    <mergeCell ref="E97:G97"/>
    <mergeCell ref="E92:G92"/>
    <mergeCell ref="E93:G93"/>
    <mergeCell ref="E94:G94"/>
    <mergeCell ref="E95:G95"/>
    <mergeCell ref="E104:G104"/>
    <mergeCell ref="E105:G105"/>
    <mergeCell ref="E98:G98"/>
    <mergeCell ref="E99:G99"/>
    <mergeCell ref="E100:G100"/>
    <mergeCell ref="E101:G101"/>
    <mergeCell ref="E102:G102"/>
    <mergeCell ref="E103:G103"/>
  </mergeCells>
  <pageMargins left="0.23" right="0.7" top="0.32" bottom="0.75" header="0.3" footer="0.3"/>
  <pageSetup paperSize="17" scale="50"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5"/>
  <sheetViews>
    <sheetView workbookViewId="0">
      <pane xSplit="1" ySplit="1" topLeftCell="B32" activePane="bottomRight" state="frozen"/>
      <selection pane="topRight" activeCell="B1" sqref="B1"/>
      <selection pane="bottomLeft" activeCell="A2" sqref="A2"/>
      <selection pane="bottomRight" activeCell="C62" sqref="C62"/>
    </sheetView>
  </sheetViews>
  <sheetFormatPr defaultRowHeight="13.2" x14ac:dyDescent="0.25"/>
  <cols>
    <col min="1" max="1" width="15.5546875" style="3369" customWidth="1"/>
    <col min="2" max="2" width="56" bestFit="1" customWidth="1"/>
    <col min="3" max="5" width="21" customWidth="1"/>
    <col min="6" max="8" width="20.6640625" customWidth="1"/>
    <col min="9" max="9" width="24.109375" customWidth="1"/>
    <col min="10" max="10" width="19.5546875" customWidth="1"/>
    <col min="11" max="11" width="21.109375" customWidth="1"/>
    <col min="12" max="12" width="16" customWidth="1"/>
    <col min="13" max="13" width="16.109375" customWidth="1"/>
    <col min="14" max="14" width="18.6640625" customWidth="1"/>
  </cols>
  <sheetData>
    <row r="1" spans="2:14" ht="44.25" customHeight="1" x14ac:dyDescent="0.4">
      <c r="B1" s="1007" t="s">
        <v>802</v>
      </c>
      <c r="C1" s="1024"/>
      <c r="D1" s="1024"/>
      <c r="E1" s="1024"/>
      <c r="F1" s="1024"/>
      <c r="G1" s="1032"/>
      <c r="H1" s="1025"/>
      <c r="I1" s="1025"/>
      <c r="J1" s="1001"/>
      <c r="K1" s="1001"/>
      <c r="L1" s="1001"/>
      <c r="M1" s="1001"/>
      <c r="N1" s="1001"/>
    </row>
    <row r="2" spans="2:14" ht="21" x14ac:dyDescent="0.4">
      <c r="B2" s="1007"/>
      <c r="C2" s="1024"/>
      <c r="D2" s="1024"/>
      <c r="E2" s="1024"/>
      <c r="F2" s="1024"/>
      <c r="G2" s="1032"/>
      <c r="H2" s="1025"/>
      <c r="I2" s="1025"/>
      <c r="J2" s="1001"/>
      <c r="K2" s="1001"/>
      <c r="L2" s="1001"/>
      <c r="M2" s="1001"/>
      <c r="N2" s="1001"/>
    </row>
    <row r="3" spans="2:14" ht="39.6" x14ac:dyDescent="0.25">
      <c r="B3" s="3883"/>
      <c r="C3" s="1005" t="s">
        <v>9</v>
      </c>
      <c r="D3" s="1005" t="s">
        <v>10</v>
      </c>
      <c r="E3" s="1005" t="s">
        <v>701</v>
      </c>
      <c r="F3" s="1005" t="s">
        <v>12</v>
      </c>
      <c r="G3" s="1005" t="s">
        <v>13</v>
      </c>
      <c r="H3" s="1005" t="s">
        <v>14</v>
      </c>
      <c r="I3" s="1005" t="s">
        <v>15</v>
      </c>
      <c r="J3" s="1005" t="s">
        <v>16</v>
      </c>
      <c r="K3" s="1005" t="s">
        <v>702</v>
      </c>
      <c r="L3" s="1005" t="s">
        <v>18</v>
      </c>
      <c r="M3" s="1005" t="s">
        <v>136</v>
      </c>
      <c r="N3" s="1006" t="s">
        <v>19</v>
      </c>
    </row>
    <row r="4" spans="2:14" ht="26.4" x14ac:dyDescent="0.25">
      <c r="B4" s="1051" t="s">
        <v>703</v>
      </c>
      <c r="C4" s="1049"/>
      <c r="D4" s="1049"/>
      <c r="E4" s="1049"/>
      <c r="F4" s="1049"/>
      <c r="G4" s="1049"/>
      <c r="H4" s="1049"/>
      <c r="I4" s="1049"/>
      <c r="J4" s="1049"/>
      <c r="K4" s="1050"/>
      <c r="L4" s="1050">
        <v>2000000</v>
      </c>
      <c r="M4" s="1050"/>
      <c r="N4" s="1054" t="s">
        <v>21</v>
      </c>
    </row>
    <row r="5" spans="2:14" x14ac:dyDescent="0.25">
      <c r="B5" s="1045" t="s">
        <v>704</v>
      </c>
      <c r="C5" s="1044">
        <v>402041.8</v>
      </c>
      <c r="D5" s="1044">
        <v>5521.5</v>
      </c>
      <c r="E5" s="1044">
        <v>256764.87899999999</v>
      </c>
      <c r="F5" s="1044">
        <v>5100</v>
      </c>
      <c r="G5" s="1044">
        <v>7040</v>
      </c>
      <c r="H5" s="1044">
        <v>136000</v>
      </c>
      <c r="I5" s="1044">
        <v>2375</v>
      </c>
      <c r="J5" s="1044">
        <v>560</v>
      </c>
      <c r="K5" s="1048">
        <v>3268000</v>
      </c>
      <c r="L5" s="1047">
        <v>4083403.179</v>
      </c>
      <c r="M5" s="1046">
        <v>781000</v>
      </c>
      <c r="N5" s="1052">
        <v>1.0417015894999999</v>
      </c>
    </row>
    <row r="6" spans="2:14" x14ac:dyDescent="0.25">
      <c r="B6" s="1003">
        <v>2012</v>
      </c>
      <c r="C6" s="1033">
        <f>C18</f>
        <v>448700</v>
      </c>
      <c r="D6" s="1034">
        <f>C19</f>
        <v>17000</v>
      </c>
      <c r="E6" s="1034">
        <f>C38</f>
        <v>293400</v>
      </c>
      <c r="F6" s="1034">
        <f>C36</f>
        <v>9000</v>
      </c>
      <c r="G6" s="1034">
        <f>C26</f>
        <v>8700</v>
      </c>
      <c r="H6" s="1034">
        <f>C49</f>
        <v>110750</v>
      </c>
      <c r="I6" s="1034">
        <f>C34</f>
        <v>2870</v>
      </c>
      <c r="J6" s="1034">
        <f>C28</f>
        <v>2200</v>
      </c>
      <c r="K6" s="1035">
        <f>C15</f>
        <v>2002700</v>
      </c>
      <c r="L6" s="1035">
        <f>SUM(C6:K6)</f>
        <v>2895320</v>
      </c>
      <c r="M6" s="3232">
        <f>C61</f>
        <v>478000</v>
      </c>
      <c r="N6" s="1052">
        <v>-0.12588510280924189</v>
      </c>
    </row>
    <row r="7" spans="2:14" ht="13.8" thickBot="1" x14ac:dyDescent="0.3">
      <c r="B7" s="1040">
        <v>2013</v>
      </c>
      <c r="C7" s="1033">
        <f>D18</f>
        <v>448700</v>
      </c>
      <c r="D7" s="1034">
        <f>D19</f>
        <v>17000</v>
      </c>
      <c r="E7" s="1034">
        <f>D38</f>
        <v>293400</v>
      </c>
      <c r="F7" s="1034">
        <f>D36</f>
        <v>9000</v>
      </c>
      <c r="G7" s="1039">
        <f>D26</f>
        <v>8700</v>
      </c>
      <c r="H7" s="1039">
        <f>D49</f>
        <v>110750</v>
      </c>
      <c r="I7" s="1042">
        <f>D34</f>
        <v>2870</v>
      </c>
      <c r="J7" s="1042">
        <f>D28</f>
        <v>2200</v>
      </c>
      <c r="K7" s="1043">
        <f>D15</f>
        <v>2056800</v>
      </c>
      <c r="L7" s="1035">
        <f>SUM(C7:K7)</f>
        <v>2949420</v>
      </c>
      <c r="M7" s="3232">
        <f>D61</f>
        <v>474000</v>
      </c>
      <c r="N7" s="1052">
        <v>0</v>
      </c>
    </row>
    <row r="8" spans="2:14" ht="13.8" thickBot="1" x14ac:dyDescent="0.3">
      <c r="B8" s="1020" t="s">
        <v>178</v>
      </c>
      <c r="C8" s="1041">
        <f>SUM(C6:C7)</f>
        <v>897400</v>
      </c>
      <c r="D8" s="1322">
        <f t="shared" ref="D8:L8" si="0">SUM(D6:D7)</f>
        <v>34000</v>
      </c>
      <c r="E8" s="1322">
        <f t="shared" si="0"/>
        <v>586800</v>
      </c>
      <c r="F8" s="1322">
        <f t="shared" si="0"/>
        <v>18000</v>
      </c>
      <c r="G8" s="1322">
        <f t="shared" si="0"/>
        <v>17400</v>
      </c>
      <c r="H8" s="1322">
        <f t="shared" si="0"/>
        <v>221500</v>
      </c>
      <c r="I8" s="1322">
        <f t="shared" si="0"/>
        <v>5740</v>
      </c>
      <c r="J8" s="1322">
        <f t="shared" si="0"/>
        <v>4400</v>
      </c>
      <c r="K8" s="1322">
        <f t="shared" si="0"/>
        <v>4059500</v>
      </c>
      <c r="L8" s="1322">
        <f t="shared" si="0"/>
        <v>5844740</v>
      </c>
      <c r="M8" s="1125">
        <f>SUM(M6:M7)</f>
        <v>952000</v>
      </c>
      <c r="N8" s="1001"/>
    </row>
    <row r="9" spans="2:14" ht="21" x14ac:dyDescent="0.4">
      <c r="B9" s="1007"/>
      <c r="C9" s="1024"/>
      <c r="D9" s="1024"/>
      <c r="E9" s="1024"/>
      <c r="F9" s="1024"/>
      <c r="G9" s="1032"/>
      <c r="H9" s="1025"/>
      <c r="I9" s="1025"/>
      <c r="J9" s="1001"/>
      <c r="K9" s="1001"/>
      <c r="L9" s="1001"/>
      <c r="M9" s="1001"/>
      <c r="N9" s="1011"/>
    </row>
    <row r="10" spans="2:14" ht="17.399999999999999" x14ac:dyDescent="0.3">
      <c r="B10" s="1008" t="s">
        <v>803</v>
      </c>
      <c r="C10" s="1032"/>
      <c r="D10" s="1032"/>
      <c r="E10" s="1032"/>
      <c r="F10" s="1023"/>
      <c r="G10" s="1023"/>
      <c r="H10" s="1023"/>
      <c r="I10" s="1023"/>
      <c r="J10" s="1001"/>
      <c r="K10" s="1001"/>
      <c r="L10" s="1001"/>
      <c r="M10" s="1001"/>
      <c r="N10" s="1001"/>
    </row>
    <row r="11" spans="2:14" ht="17.399999999999999" x14ac:dyDescent="0.3">
      <c r="B11" s="1009"/>
      <c r="C11" s="1036">
        <v>2012</v>
      </c>
      <c r="D11" s="1037">
        <v>2013</v>
      </c>
      <c r="E11" s="1038" t="s">
        <v>29</v>
      </c>
      <c r="F11" s="1014"/>
      <c r="G11" s="1014"/>
      <c r="H11" s="1014"/>
      <c r="I11" s="4216" t="s">
        <v>706</v>
      </c>
      <c r="J11" s="4207"/>
      <c r="K11" s="4207"/>
      <c r="L11" s="1011"/>
      <c r="M11" s="1011"/>
      <c r="N11" s="1001"/>
    </row>
    <row r="12" spans="2:14" x14ac:dyDescent="0.25">
      <c r="B12" s="3190" t="s">
        <v>707</v>
      </c>
      <c r="C12" s="3226"/>
      <c r="D12" s="3186"/>
      <c r="E12" s="3212"/>
      <c r="F12" s="3196"/>
      <c r="G12" s="1014"/>
      <c r="H12" s="1014"/>
      <c r="I12" s="4208" t="s">
        <v>707</v>
      </c>
      <c r="J12" s="4209">
        <v>4059500</v>
      </c>
      <c r="K12" s="4207"/>
      <c r="L12" s="1001"/>
      <c r="M12" s="1001"/>
      <c r="N12" s="1001"/>
    </row>
    <row r="13" spans="2:14" ht="13.8" x14ac:dyDescent="0.3">
      <c r="B13" s="3903"/>
      <c r="C13" s="3244">
        <v>2002700</v>
      </c>
      <c r="D13" s="3243">
        <v>2056800</v>
      </c>
      <c r="E13" s="3245">
        <f>SUM(C13:D13)</f>
        <v>4059500</v>
      </c>
      <c r="F13" s="3196"/>
      <c r="G13" s="1014"/>
      <c r="H13" s="1014"/>
      <c r="I13" s="4208" t="s">
        <v>709</v>
      </c>
      <c r="J13" s="4210">
        <v>897400</v>
      </c>
      <c r="K13" s="4207"/>
      <c r="L13" s="1001"/>
      <c r="M13" s="1001"/>
      <c r="N13" s="1001"/>
    </row>
    <row r="14" spans="2:14" ht="13.8" x14ac:dyDescent="0.3">
      <c r="B14" s="3903"/>
      <c r="C14" s="3244">
        <v>0</v>
      </c>
      <c r="D14" s="3243">
        <v>0</v>
      </c>
      <c r="E14" s="3245">
        <f>SUM(C14:D14)</f>
        <v>0</v>
      </c>
      <c r="F14" s="3196"/>
      <c r="G14" s="1014"/>
      <c r="H14" s="1014"/>
      <c r="I14" s="4208" t="s">
        <v>712</v>
      </c>
      <c r="J14" s="4210">
        <v>34000</v>
      </c>
      <c r="K14" s="4204"/>
      <c r="L14" s="1001"/>
      <c r="M14" s="1001"/>
      <c r="N14" s="1001"/>
    </row>
    <row r="15" spans="2:14" x14ac:dyDescent="0.25">
      <c r="B15" s="3190"/>
      <c r="C15" s="3210">
        <f>SUM(C13:C14)</f>
        <v>2002700</v>
      </c>
      <c r="D15" s="3236">
        <f>SUM(D13:D14)</f>
        <v>2056800</v>
      </c>
      <c r="E15" s="3237">
        <f>SUM(E13:E14)</f>
        <v>4059500</v>
      </c>
      <c r="F15" s="3196"/>
      <c r="G15" s="1014"/>
      <c r="H15" s="1014"/>
      <c r="I15" s="4208" t="s">
        <v>526</v>
      </c>
      <c r="J15" s="4206">
        <v>17400</v>
      </c>
      <c r="K15" s="4204"/>
      <c r="L15" s="1001"/>
      <c r="M15" s="1001"/>
      <c r="N15" s="1001"/>
    </row>
    <row r="16" spans="2:14" ht="17.399999999999999" x14ac:dyDescent="0.3">
      <c r="B16" s="3191"/>
      <c r="C16" s="3211"/>
      <c r="D16" s="3186"/>
      <c r="E16" s="3212"/>
      <c r="F16" s="3196"/>
      <c r="G16" s="1014"/>
      <c r="H16" s="1014"/>
      <c r="I16" s="4208" t="s">
        <v>714</v>
      </c>
      <c r="J16" s="4206">
        <v>4400</v>
      </c>
      <c r="K16" s="4204"/>
      <c r="L16" s="1001"/>
      <c r="M16" s="1001"/>
      <c r="N16" s="1001"/>
    </row>
    <row r="17" spans="2:13" x14ac:dyDescent="0.25">
      <c r="B17" s="3190" t="s">
        <v>713</v>
      </c>
      <c r="C17" s="3213"/>
      <c r="D17" s="3186"/>
      <c r="E17" s="3212"/>
      <c r="F17" s="3193"/>
      <c r="G17" s="1012"/>
      <c r="H17" s="1012"/>
      <c r="I17" s="4208" t="s">
        <v>717</v>
      </c>
      <c r="J17" s="4206">
        <v>5740</v>
      </c>
      <c r="K17" s="4204"/>
      <c r="L17" s="1001"/>
      <c r="M17" s="1001"/>
    </row>
    <row r="18" spans="2:13" x14ac:dyDescent="0.25">
      <c r="B18" s="3195" t="s">
        <v>715</v>
      </c>
      <c r="C18" s="3454">
        <v>448700</v>
      </c>
      <c r="D18" s="189">
        <v>448700</v>
      </c>
      <c r="E18" s="3225">
        <f>SUM(C18:D18)</f>
        <v>897400</v>
      </c>
      <c r="F18" s="3202">
        <v>4.8499999999999996</v>
      </c>
      <c r="G18" s="1015" t="s">
        <v>716</v>
      </c>
      <c r="H18" s="1013"/>
      <c r="I18" s="4208" t="s">
        <v>719</v>
      </c>
      <c r="J18" s="4206">
        <v>18000</v>
      </c>
      <c r="K18" s="4204"/>
      <c r="L18" s="1001"/>
      <c r="M18" s="1001"/>
    </row>
    <row r="19" spans="2:13" x14ac:dyDescent="0.25">
      <c r="B19" s="3195" t="s">
        <v>720</v>
      </c>
      <c r="C19" s="3454">
        <v>17000</v>
      </c>
      <c r="D19" s="189">
        <v>17000</v>
      </c>
      <c r="E19" s="3225">
        <f>SUM(C19:D19)</f>
        <v>34000</v>
      </c>
      <c r="F19" s="3202">
        <v>0.14000000000000001</v>
      </c>
      <c r="G19" s="1015" t="s">
        <v>716</v>
      </c>
      <c r="H19" s="1013"/>
      <c r="I19" s="4208" t="s">
        <v>11</v>
      </c>
      <c r="J19" s="4206">
        <v>586800</v>
      </c>
      <c r="K19" s="4204"/>
      <c r="L19" s="1001"/>
      <c r="M19" s="1001"/>
    </row>
    <row r="20" spans="2:13" x14ac:dyDescent="0.25">
      <c r="B20" s="3195"/>
      <c r="C20" s="3214"/>
      <c r="D20" s="3186"/>
      <c r="E20" s="3212"/>
      <c r="F20" s="3194"/>
      <c r="G20" s="1013"/>
      <c r="H20" s="1013"/>
      <c r="I20" s="4208" t="s">
        <v>14</v>
      </c>
      <c r="J20" s="4215">
        <v>221500</v>
      </c>
      <c r="K20" s="4204"/>
      <c r="L20" s="1001"/>
      <c r="M20" s="1022"/>
    </row>
    <row r="21" spans="2:13" x14ac:dyDescent="0.25">
      <c r="B21" s="3190" t="s">
        <v>526</v>
      </c>
      <c r="C21" s="3213"/>
      <c r="D21" s="3186"/>
      <c r="E21" s="3212"/>
      <c r="F21" s="3193"/>
      <c r="G21" s="1012"/>
      <c r="H21" s="1013"/>
      <c r="I21" s="4204"/>
      <c r="J21" s="4205">
        <v>5844740</v>
      </c>
      <c r="K21" s="4204"/>
      <c r="L21" s="1001"/>
      <c r="M21" s="1001"/>
    </row>
    <row r="22" spans="2:13" x14ac:dyDescent="0.25">
      <c r="B22" s="3185" t="s">
        <v>721</v>
      </c>
      <c r="C22" s="3220">
        <v>2600</v>
      </c>
      <c r="D22" s="3233">
        <v>2600</v>
      </c>
      <c r="E22" s="3225">
        <v>5200</v>
      </c>
      <c r="F22" s="3203"/>
      <c r="G22" s="1026"/>
      <c r="H22" s="1012"/>
      <c r="I22" s="4208"/>
      <c r="J22" s="4220"/>
      <c r="K22" s="4204"/>
      <c r="L22" s="1001"/>
      <c r="M22" s="1001"/>
    </row>
    <row r="23" spans="2:13" x14ac:dyDescent="0.25">
      <c r="B23" s="3195" t="s">
        <v>722</v>
      </c>
      <c r="C23" s="3216">
        <v>4100</v>
      </c>
      <c r="D23" s="3233">
        <v>4100</v>
      </c>
      <c r="E23" s="3225">
        <v>8200</v>
      </c>
      <c r="F23" s="3185"/>
      <c r="G23" s="1012"/>
      <c r="H23" s="1026"/>
      <c r="I23" s="4213" t="s">
        <v>723</v>
      </c>
      <c r="J23" s="4218">
        <v>952000</v>
      </c>
      <c r="K23" s="4211" t="s">
        <v>804</v>
      </c>
      <c r="L23" s="1001"/>
      <c r="M23" s="1001"/>
    </row>
    <row r="24" spans="2:13" x14ac:dyDescent="0.25">
      <c r="B24" s="3195" t="s">
        <v>725</v>
      </c>
      <c r="C24" s="3220">
        <v>1100</v>
      </c>
      <c r="D24" s="3233">
        <v>1100</v>
      </c>
      <c r="E24" s="3225">
        <v>2200</v>
      </c>
      <c r="F24" s="3193"/>
      <c r="G24" s="1012"/>
      <c r="H24" s="1012"/>
      <c r="I24" s="4213" t="s">
        <v>726</v>
      </c>
      <c r="J24" s="4217">
        <v>4.2641806722689077</v>
      </c>
      <c r="K24" s="4214" t="s">
        <v>805</v>
      </c>
      <c r="L24" s="1001"/>
      <c r="M24" s="1001"/>
    </row>
    <row r="25" spans="2:13" x14ac:dyDescent="0.25">
      <c r="B25" s="3195" t="s">
        <v>728</v>
      </c>
      <c r="C25" s="3220">
        <v>900</v>
      </c>
      <c r="D25" s="3233">
        <v>900</v>
      </c>
      <c r="E25" s="3225">
        <v>1800</v>
      </c>
      <c r="F25" s="3193"/>
      <c r="G25" s="1012"/>
      <c r="H25" s="1027"/>
      <c r="I25" s="4213" t="s">
        <v>729</v>
      </c>
      <c r="J25" s="4217">
        <v>6.1394327731092435</v>
      </c>
      <c r="K25" s="4214" t="s">
        <v>805</v>
      </c>
      <c r="L25" s="1001"/>
      <c r="M25" s="1001"/>
    </row>
    <row r="26" spans="2:13" x14ac:dyDescent="0.25">
      <c r="B26" s="3185"/>
      <c r="C26" s="3217">
        <f>SUM(C22:C25)</f>
        <v>8700</v>
      </c>
      <c r="D26" s="3201">
        <f>SUM(D22:D25)</f>
        <v>8700</v>
      </c>
      <c r="E26" s="3238">
        <f>SUM(C26:D26)</f>
        <v>17400</v>
      </c>
      <c r="F26" s="3193"/>
      <c r="G26" s="1012"/>
      <c r="H26" s="1027"/>
      <c r="I26" s="4212" t="s">
        <v>730</v>
      </c>
      <c r="J26" s="4219">
        <v>0.69455613081163581</v>
      </c>
      <c r="K26" s="4214"/>
      <c r="L26" s="1001"/>
      <c r="M26" s="1001"/>
    </row>
    <row r="27" spans="2:13" x14ac:dyDescent="0.25">
      <c r="B27" s="3186"/>
      <c r="C27" s="3223"/>
      <c r="D27" s="3186"/>
      <c r="E27" s="3212"/>
      <c r="F27" s="3193"/>
      <c r="G27" s="1012"/>
      <c r="H27" s="1027"/>
      <c r="I27" s="1019"/>
      <c r="J27" s="1030"/>
      <c r="K27" s="1021"/>
      <c r="L27" s="1001"/>
      <c r="M27" s="1001"/>
    </row>
    <row r="28" spans="2:13" x14ac:dyDescent="0.25">
      <c r="B28" s="3190" t="s">
        <v>714</v>
      </c>
      <c r="C28" s="3217">
        <v>2200</v>
      </c>
      <c r="D28" s="3209">
        <v>2200</v>
      </c>
      <c r="E28" s="3238">
        <f>SUM(C28:D28)</f>
        <v>4400</v>
      </c>
      <c r="F28" s="3193"/>
      <c r="G28" s="1012"/>
      <c r="H28" s="1027"/>
      <c r="I28" s="1001"/>
      <c r="J28" s="1001"/>
      <c r="K28" s="1001"/>
      <c r="L28" s="1001"/>
      <c r="M28" s="1001"/>
    </row>
    <row r="29" spans="2:13" x14ac:dyDescent="0.25">
      <c r="B29" s="3186"/>
      <c r="C29" s="3223"/>
      <c r="D29" s="3186"/>
      <c r="E29" s="3212"/>
      <c r="F29" s="3193"/>
      <c r="G29" s="1012"/>
      <c r="H29" s="1027"/>
      <c r="I29" s="1001"/>
      <c r="J29" s="1001"/>
      <c r="K29" s="1001"/>
      <c r="L29" s="1001"/>
      <c r="M29" s="1001"/>
    </row>
    <row r="30" spans="2:13" x14ac:dyDescent="0.25">
      <c r="B30" s="3189" t="s">
        <v>717</v>
      </c>
      <c r="C30" s="3223"/>
      <c r="D30" s="3186"/>
      <c r="E30" s="3212"/>
      <c r="F30" s="3204"/>
      <c r="G30" s="1027"/>
      <c r="H30" s="1027"/>
      <c r="I30" s="1001"/>
      <c r="J30" s="1001"/>
      <c r="K30" s="1001"/>
      <c r="L30" s="1001"/>
      <c r="M30" s="1001"/>
    </row>
    <row r="31" spans="2:13" x14ac:dyDescent="0.25">
      <c r="B31" s="3185" t="s">
        <v>731</v>
      </c>
      <c r="C31" s="3223">
        <v>2670</v>
      </c>
      <c r="D31" s="3233">
        <v>2670</v>
      </c>
      <c r="E31" s="3225">
        <v>5340</v>
      </c>
      <c r="F31" s="3204"/>
      <c r="G31" s="1027"/>
      <c r="H31" s="1027"/>
      <c r="I31" s="1014"/>
      <c r="J31" s="1001"/>
      <c r="K31" s="1001"/>
      <c r="L31" s="1001"/>
      <c r="M31" s="1001"/>
    </row>
    <row r="32" spans="2:13" x14ac:dyDescent="0.25">
      <c r="B32" s="3185" t="s">
        <v>732</v>
      </c>
      <c r="C32" s="3223">
        <v>30</v>
      </c>
      <c r="D32" s="3233">
        <v>30</v>
      </c>
      <c r="E32" s="3225">
        <v>60</v>
      </c>
      <c r="F32" s="3204"/>
      <c r="G32" s="1027"/>
      <c r="H32" s="1027"/>
      <c r="I32" s="1014"/>
      <c r="J32" s="1001"/>
      <c r="K32" s="1001"/>
      <c r="L32" s="1001"/>
      <c r="M32" s="1001"/>
    </row>
    <row r="33" spans="2:9" x14ac:dyDescent="0.25">
      <c r="B33" s="3186" t="s">
        <v>733</v>
      </c>
      <c r="C33" s="3223">
        <v>170</v>
      </c>
      <c r="D33" s="3233">
        <v>170</v>
      </c>
      <c r="E33" s="3225">
        <v>340</v>
      </c>
      <c r="F33" s="3204"/>
      <c r="G33" s="1027"/>
      <c r="H33" s="1027"/>
      <c r="I33" s="1014"/>
    </row>
    <row r="34" spans="2:9" x14ac:dyDescent="0.25">
      <c r="B34" s="3189" t="s">
        <v>734</v>
      </c>
      <c r="C34" s="3218">
        <f>SUM(C31:C33)</f>
        <v>2870</v>
      </c>
      <c r="D34" s="3197">
        <f>SUM(D31:D33)</f>
        <v>2870</v>
      </c>
      <c r="E34" s="3238">
        <f>SUM(C34:D34)</f>
        <v>5740</v>
      </c>
      <c r="F34" s="3204"/>
      <c r="G34" s="1027"/>
      <c r="H34" s="1027"/>
      <c r="I34" s="1014"/>
    </row>
    <row r="35" spans="2:9" x14ac:dyDescent="0.25">
      <c r="B35" s="3186"/>
      <c r="C35" s="3223"/>
      <c r="D35" s="3186"/>
      <c r="E35" s="3212"/>
      <c r="F35" s="3204"/>
      <c r="G35" s="1027"/>
      <c r="H35" s="1027"/>
      <c r="I35" s="1014"/>
    </row>
    <row r="36" spans="2:9" x14ac:dyDescent="0.25">
      <c r="B36" s="3189" t="s">
        <v>719</v>
      </c>
      <c r="C36" s="3218">
        <v>9000</v>
      </c>
      <c r="D36" s="3234">
        <v>9000</v>
      </c>
      <c r="E36" s="3238">
        <f>SUM(C36:D36)</f>
        <v>18000</v>
      </c>
      <c r="F36" s="3204"/>
      <c r="G36" s="1027"/>
      <c r="H36" s="1027"/>
      <c r="I36" s="1014"/>
    </row>
    <row r="37" spans="2:9" x14ac:dyDescent="0.25">
      <c r="B37" s="3186"/>
      <c r="C37" s="3223"/>
      <c r="D37" s="3186"/>
      <c r="E37" s="3212"/>
      <c r="F37" s="3204"/>
      <c r="G37" s="1028"/>
      <c r="H37" s="1027"/>
      <c r="I37" s="1014"/>
    </row>
    <row r="38" spans="2:9" x14ac:dyDescent="0.25">
      <c r="B38" s="3189" t="s">
        <v>11</v>
      </c>
      <c r="C38" s="3417">
        <f>ROUND(SUM(C18:C19)*0.63, -2)</f>
        <v>293400</v>
      </c>
      <c r="D38" s="3395">
        <f>ROUND(SUM(D18:D19)*0.63, -2)</f>
        <v>293400</v>
      </c>
      <c r="E38" s="3238">
        <f>SUM(C38:D38)</f>
        <v>586800</v>
      </c>
      <c r="F38" s="3204"/>
      <c r="G38" s="1028"/>
      <c r="H38" s="1027"/>
      <c r="I38" s="1014"/>
    </row>
    <row r="39" spans="2:9" x14ac:dyDescent="0.25">
      <c r="B39" s="3186"/>
      <c r="C39" s="3223"/>
      <c r="D39" s="3205"/>
      <c r="E39" s="3224"/>
      <c r="F39" s="3204"/>
      <c r="G39" s="1002"/>
      <c r="H39" s="1027"/>
      <c r="I39" s="1014"/>
    </row>
    <row r="40" spans="2:9" x14ac:dyDescent="0.25">
      <c r="B40" s="3187" t="s">
        <v>14</v>
      </c>
      <c r="C40" s="3223"/>
      <c r="D40" s="3205"/>
      <c r="E40" s="3224"/>
      <c r="F40" s="3204"/>
      <c r="G40" s="1002"/>
      <c r="H40" s="1027"/>
      <c r="I40" s="1010"/>
    </row>
    <row r="41" spans="2:9" x14ac:dyDescent="0.25">
      <c r="B41" s="3241" t="s">
        <v>708</v>
      </c>
      <c r="C41" s="3220"/>
      <c r="D41" s="3206"/>
      <c r="E41" s="3221"/>
      <c r="F41" s="3204"/>
      <c r="G41" s="1002"/>
      <c r="H41" s="1027"/>
      <c r="I41" s="1010"/>
    </row>
    <row r="42" spans="2:9" x14ac:dyDescent="0.25">
      <c r="B42" s="3242" t="s">
        <v>735</v>
      </c>
      <c r="C42" s="3215">
        <v>33000</v>
      </c>
      <c r="D42" s="3206">
        <v>33000</v>
      </c>
      <c r="E42" s="3221">
        <v>66000</v>
      </c>
      <c r="F42" s="3204"/>
      <c r="G42" s="1002"/>
      <c r="H42" s="1027"/>
      <c r="I42" s="1010"/>
    </row>
    <row r="43" spans="2:9" x14ac:dyDescent="0.25">
      <c r="B43" s="3242" t="s">
        <v>736</v>
      </c>
      <c r="C43" s="3215">
        <v>15000</v>
      </c>
      <c r="D43" s="3206">
        <v>15000</v>
      </c>
      <c r="E43" s="3221">
        <v>60000</v>
      </c>
      <c r="F43" s="3204"/>
      <c r="G43" s="1002"/>
      <c r="H43" s="1027"/>
      <c r="I43" s="1010"/>
    </row>
    <row r="44" spans="2:9" x14ac:dyDescent="0.25">
      <c r="B44" s="3242" t="s">
        <v>737</v>
      </c>
      <c r="C44" s="3215">
        <v>52750</v>
      </c>
      <c r="D44" s="3206">
        <v>52750</v>
      </c>
      <c r="E44" s="3221">
        <v>40000</v>
      </c>
      <c r="F44" s="3204"/>
      <c r="G44" s="1002"/>
      <c r="H44" s="1027"/>
      <c r="I44" s="1010"/>
    </row>
    <row r="45" spans="2:9" x14ac:dyDescent="0.25">
      <c r="B45" s="3242" t="s">
        <v>739</v>
      </c>
      <c r="C45" s="3215">
        <v>10000</v>
      </c>
      <c r="D45" s="3206">
        <v>10000</v>
      </c>
      <c r="E45" s="3221">
        <v>20000</v>
      </c>
      <c r="F45" s="3204"/>
      <c r="G45" s="1002"/>
      <c r="H45" s="1027"/>
      <c r="I45" s="1010"/>
    </row>
    <row r="46" spans="2:9" x14ac:dyDescent="0.25">
      <c r="B46" s="3239" t="s">
        <v>710</v>
      </c>
      <c r="C46" s="3220"/>
      <c r="D46" s="3206"/>
      <c r="E46" s="3221"/>
      <c r="F46" s="3204"/>
      <c r="G46" s="1002"/>
      <c r="H46" s="1027"/>
      <c r="I46" s="1010"/>
    </row>
    <row r="47" spans="2:9" x14ac:dyDescent="0.25">
      <c r="B47" s="3242" t="s">
        <v>741</v>
      </c>
      <c r="C47" s="3215">
        <v>0</v>
      </c>
      <c r="D47" s="3206">
        <v>0</v>
      </c>
      <c r="E47" s="3221">
        <v>0</v>
      </c>
      <c r="F47" s="3204"/>
      <c r="G47" s="1002"/>
      <c r="H47" s="1027"/>
      <c r="I47" s="1010"/>
    </row>
    <row r="48" spans="2:9" x14ac:dyDescent="0.25">
      <c r="B48" s="3478" t="s">
        <v>1085</v>
      </c>
      <c r="C48" s="3467">
        <v>0</v>
      </c>
      <c r="D48" s="3466">
        <v>0</v>
      </c>
      <c r="E48" s="3469">
        <f>SUM(C48:D48)</f>
        <v>0</v>
      </c>
      <c r="F48" s="3465"/>
      <c r="G48" s="3464"/>
      <c r="H48" s="1027"/>
      <c r="I48" s="1010"/>
    </row>
    <row r="49" spans="2:10" x14ac:dyDescent="0.25">
      <c r="B49" s="3199" t="s">
        <v>743</v>
      </c>
      <c r="C49" s="3217">
        <f>SUM(C42:C48)</f>
        <v>110750</v>
      </c>
      <c r="D49" s="3201">
        <f>SUM(D42:D48)</f>
        <v>110750</v>
      </c>
      <c r="E49" s="3222">
        <f>SUM(C49:D49)</f>
        <v>221500</v>
      </c>
      <c r="F49" s="3204"/>
      <c r="G49" s="1002"/>
      <c r="H49" s="1027"/>
      <c r="I49" s="1010"/>
      <c r="J49" s="1001"/>
    </row>
    <row r="50" spans="2:10" x14ac:dyDescent="0.25">
      <c r="B50" s="3192"/>
      <c r="C50" s="3249"/>
      <c r="D50" s="3250"/>
      <c r="E50" s="3251"/>
      <c r="F50" s="3204"/>
      <c r="G50" s="1028"/>
      <c r="H50" s="1027"/>
      <c r="I50" s="1010"/>
      <c r="J50" s="1001"/>
    </row>
    <row r="51" spans="2:10" ht="13.8" thickBot="1" x14ac:dyDescent="0.3">
      <c r="B51" s="3199" t="s">
        <v>744</v>
      </c>
      <c r="C51" s="3246">
        <f>C15+C18+C19+C26+C28+C34+C36+C38+C49</f>
        <v>2895320</v>
      </c>
      <c r="D51" s="3247">
        <f>D15+D18+D19+D26+D28+D34+D36+D38+D49</f>
        <v>2949420</v>
      </c>
      <c r="E51" s="3248">
        <f>SUM(C51:D51)</f>
        <v>5844740</v>
      </c>
      <c r="F51" s="3204"/>
      <c r="G51" s="1028"/>
      <c r="H51" s="1027"/>
      <c r="I51" s="1010"/>
      <c r="J51" s="1001"/>
    </row>
    <row r="52" spans="2:10" x14ac:dyDescent="0.25">
      <c r="B52" s="3188"/>
      <c r="C52" s="3206"/>
      <c r="D52" s="3206"/>
      <c r="E52" s="3206"/>
      <c r="F52" s="3204"/>
      <c r="G52" s="1028"/>
      <c r="H52" s="1027"/>
      <c r="I52" s="1010"/>
      <c r="J52" s="1001"/>
    </row>
    <row r="53" spans="2:10" ht="16.8" x14ac:dyDescent="0.55000000000000004">
      <c r="B53" s="3189" t="s">
        <v>806</v>
      </c>
      <c r="C53" s="3231">
        <v>2012</v>
      </c>
      <c r="D53" s="3231">
        <v>2012</v>
      </c>
      <c r="E53" s="3231" t="s">
        <v>29</v>
      </c>
      <c r="F53" s="3204"/>
      <c r="G53" s="1028"/>
      <c r="H53" s="1027"/>
      <c r="I53" s="1010"/>
      <c r="J53" s="1001"/>
    </row>
    <row r="54" spans="2:10" ht="20.25" customHeight="1" x14ac:dyDescent="0.3">
      <c r="B54" s="3904"/>
      <c r="C54" s="3227"/>
      <c r="D54" s="3207"/>
      <c r="E54" s="3228"/>
      <c r="F54" s="3185"/>
      <c r="G54" s="1028"/>
      <c r="H54" s="1027"/>
      <c r="I54" s="1010"/>
      <c r="J54" s="1001"/>
    </row>
    <row r="55" spans="2:10" x14ac:dyDescent="0.25">
      <c r="B55" s="3240" t="s">
        <v>747</v>
      </c>
      <c r="C55" s="3227">
        <v>35000</v>
      </c>
      <c r="D55" s="3207">
        <v>35000</v>
      </c>
      <c r="E55" s="3228">
        <f>C55+D55</f>
        <v>70000</v>
      </c>
      <c r="F55" s="3198"/>
      <c r="G55" s="1028"/>
      <c r="H55" s="1029"/>
      <c r="I55" s="1016"/>
      <c r="J55" s="1004"/>
    </row>
    <row r="56" spans="2:10" x14ac:dyDescent="0.25">
      <c r="B56" s="3240" t="s">
        <v>748</v>
      </c>
      <c r="C56" s="3227">
        <v>24000</v>
      </c>
      <c r="D56" s="3207">
        <v>36000</v>
      </c>
      <c r="E56" s="3476">
        <f t="shared" ref="E56:E57" si="1">C56+D56</f>
        <v>60000</v>
      </c>
      <c r="F56" s="3198"/>
      <c r="G56" s="1028"/>
      <c r="H56" s="1029"/>
      <c r="I56" s="1016"/>
      <c r="J56" s="1004"/>
    </row>
    <row r="57" spans="2:10" x14ac:dyDescent="0.25">
      <c r="B57" s="3240" t="s">
        <v>749</v>
      </c>
      <c r="C57" s="3227">
        <v>386000</v>
      </c>
      <c r="D57" s="3207">
        <v>386000</v>
      </c>
      <c r="E57" s="3476">
        <f t="shared" si="1"/>
        <v>772000</v>
      </c>
      <c r="F57" s="3198"/>
      <c r="G57" s="1028"/>
      <c r="H57" s="1029"/>
      <c r="I57" s="1016"/>
      <c r="J57" s="1004"/>
    </row>
    <row r="58" spans="2:10" ht="23.25" customHeight="1" x14ac:dyDescent="0.3">
      <c r="B58" s="3903"/>
      <c r="C58" s="3227"/>
      <c r="D58" s="3207"/>
      <c r="E58" s="3228"/>
      <c r="F58" s="3198"/>
      <c r="G58" s="1028"/>
      <c r="H58" s="1029"/>
      <c r="I58" s="1016"/>
      <c r="J58" s="1004"/>
    </row>
    <row r="59" spans="2:10" x14ac:dyDescent="0.25">
      <c r="B59" s="3240" t="s">
        <v>741</v>
      </c>
      <c r="C59" s="3227">
        <v>33000</v>
      </c>
      <c r="D59" s="3207">
        <v>17000</v>
      </c>
      <c r="E59" s="3228">
        <f>C59+D59</f>
        <v>50000</v>
      </c>
      <c r="F59" s="3198"/>
      <c r="G59" s="1028"/>
      <c r="H59" s="1029"/>
      <c r="I59" s="1016"/>
      <c r="J59" s="1004"/>
    </row>
    <row r="60" spans="2:10" s="3369" customFormat="1" x14ac:dyDescent="0.25">
      <c r="B60" s="3477" t="s">
        <v>1086</v>
      </c>
      <c r="C60" s="3475">
        <v>0</v>
      </c>
      <c r="D60" s="3472">
        <v>0</v>
      </c>
      <c r="E60" s="3476">
        <f>C60+D60</f>
        <v>0</v>
      </c>
      <c r="F60" s="3471"/>
      <c r="G60" s="1305"/>
      <c r="H60" s="1306"/>
      <c r="I60" s="1292"/>
      <c r="J60" s="3470"/>
    </row>
    <row r="61" spans="2:10" x14ac:dyDescent="0.25">
      <c r="B61" s="3187" t="s">
        <v>750</v>
      </c>
      <c r="C61" s="3219">
        <f>SUM(C54:C60)</f>
        <v>478000</v>
      </c>
      <c r="D61" s="3229">
        <f>SUM(D54:D60)</f>
        <v>474000</v>
      </c>
      <c r="E61" s="3230">
        <f>SUM(C61:D61)</f>
        <v>952000</v>
      </c>
      <c r="F61" s="3201" t="s">
        <v>617</v>
      </c>
      <c r="G61" s="1027"/>
      <c r="H61" s="1017"/>
      <c r="I61" s="1017"/>
      <c r="J61" s="1004"/>
    </row>
    <row r="62" spans="2:10" x14ac:dyDescent="0.25">
      <c r="B62" s="3185"/>
      <c r="C62" s="3206"/>
      <c r="D62" s="3206"/>
      <c r="E62" s="3206"/>
      <c r="F62" s="3200"/>
      <c r="G62" s="1027"/>
      <c r="H62" s="1017"/>
      <c r="I62" s="1017"/>
      <c r="J62" s="1004"/>
    </row>
    <row r="63" spans="2:10" x14ac:dyDescent="0.25">
      <c r="B63" s="3208" t="s">
        <v>751</v>
      </c>
      <c r="C63" s="3235">
        <v>0.50179856115107913</v>
      </c>
      <c r="D63" s="3235">
        <v>0.49820143884892087</v>
      </c>
      <c r="E63" s="3200"/>
      <c r="F63" s="3200"/>
      <c r="G63" s="1029"/>
      <c r="H63" s="1017"/>
      <c r="I63" s="1017"/>
      <c r="J63" s="1004"/>
    </row>
    <row r="64" spans="2:10" x14ac:dyDescent="0.25">
      <c r="B64" s="1031"/>
      <c r="C64" s="1053"/>
      <c r="D64" s="1053"/>
      <c r="E64" s="1017"/>
      <c r="F64" s="1017"/>
      <c r="G64" s="1017"/>
      <c r="H64" s="1017"/>
      <c r="I64" s="1017"/>
      <c r="J64" s="1004"/>
    </row>
    <row r="65" spans="2:10" x14ac:dyDescent="0.25">
      <c r="B65" s="1001"/>
      <c r="C65" s="1017"/>
      <c r="D65" s="1017"/>
      <c r="E65" s="1017"/>
      <c r="F65" s="1029"/>
      <c r="G65" s="1017"/>
      <c r="H65" s="1017"/>
      <c r="I65" s="1017"/>
      <c r="J65" s="1004"/>
    </row>
    <row r="66" spans="2:10" ht="21" x14ac:dyDescent="0.4">
      <c r="B66" s="1007"/>
      <c r="C66" s="1018"/>
      <c r="D66" s="1018"/>
      <c r="E66" s="1018"/>
      <c r="F66" s="1029"/>
      <c r="G66" s="1017"/>
      <c r="H66" s="1017"/>
      <c r="I66" s="1017"/>
      <c r="J66" s="1004"/>
    </row>
    <row r="67" spans="2:10" x14ac:dyDescent="0.25">
      <c r="B67" s="1004"/>
      <c r="C67" s="1004"/>
      <c r="D67" s="1004"/>
      <c r="E67" s="1004"/>
      <c r="F67" s="1029"/>
      <c r="G67" s="1017"/>
      <c r="H67" s="1029"/>
      <c r="I67" s="1017"/>
      <c r="J67" s="1004"/>
    </row>
    <row r="86" spans="2:6" x14ac:dyDescent="0.25">
      <c r="B86" s="4776"/>
      <c r="C86" s="4776"/>
      <c r="D86" s="4776"/>
      <c r="E86" s="4776"/>
      <c r="F86" s="4776"/>
    </row>
    <row r="87" spans="2:6" x14ac:dyDescent="0.25">
      <c r="B87" s="4776"/>
      <c r="C87" s="4776"/>
      <c r="D87" s="4776"/>
      <c r="E87" s="4776"/>
      <c r="F87" s="4776"/>
    </row>
    <row r="88" spans="2:6" x14ac:dyDescent="0.25">
      <c r="B88" s="4776"/>
      <c r="C88" s="4776"/>
      <c r="D88" s="4776"/>
      <c r="E88" s="4776"/>
      <c r="F88" s="4776"/>
    </row>
    <row r="89" spans="2:6" x14ac:dyDescent="0.25">
      <c r="B89" s="4776"/>
      <c r="C89" s="4776"/>
      <c r="D89" s="4776"/>
      <c r="E89" s="4776"/>
      <c r="F89" s="4776"/>
    </row>
    <row r="90" spans="2:6" x14ac:dyDescent="0.25">
      <c r="B90" s="4776"/>
      <c r="C90" s="4776"/>
      <c r="D90" s="4776"/>
      <c r="E90" s="4776"/>
      <c r="F90" s="4776"/>
    </row>
    <row r="91" spans="2:6" x14ac:dyDescent="0.25">
      <c r="B91" s="4776"/>
      <c r="C91" s="4776"/>
      <c r="D91" s="4776"/>
      <c r="E91" s="4776"/>
      <c r="F91" s="4776"/>
    </row>
    <row r="110" spans="9:11" x14ac:dyDescent="0.25">
      <c r="I110" s="4776"/>
      <c r="J110" s="4776"/>
      <c r="K110" s="4776"/>
    </row>
    <row r="111" spans="9:11" x14ac:dyDescent="0.25">
      <c r="I111" s="4776"/>
      <c r="J111" s="4776"/>
      <c r="K111" s="4776"/>
    </row>
    <row r="112" spans="9:11" x14ac:dyDescent="0.25">
      <c r="I112" s="4776"/>
      <c r="J112" s="4776"/>
      <c r="K112" s="4776"/>
    </row>
    <row r="113" spans="9:11" x14ac:dyDescent="0.25">
      <c r="I113" s="4776"/>
      <c r="J113" s="4776"/>
      <c r="K113" s="4776"/>
    </row>
    <row r="114" spans="9:11" x14ac:dyDescent="0.25">
      <c r="I114" s="4776"/>
      <c r="J114" s="4776"/>
      <c r="K114" s="4776"/>
    </row>
    <row r="115" spans="9:11" x14ac:dyDescent="0.25">
      <c r="I115" s="4776"/>
      <c r="J115" s="4776"/>
      <c r="K115" s="4776"/>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11">
    <mergeCell ref="B86:F86"/>
    <mergeCell ref="B91:F91"/>
    <mergeCell ref="B87:F87"/>
    <mergeCell ref="B88:F88"/>
    <mergeCell ref="B89:F89"/>
    <mergeCell ref="B90:F90"/>
    <mergeCell ref="I115:K115"/>
    <mergeCell ref="I110:K111"/>
    <mergeCell ref="I112:K112"/>
    <mergeCell ref="I113:K113"/>
    <mergeCell ref="I114:K114"/>
  </mergeCells>
  <pageMargins left="0.27" right="0.32" top="0.41" bottom="0.75" header="0.3" footer="0.3"/>
  <pageSetup paperSize="17" scale="46" orientation="landscape"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workbookViewId="0">
      <pane xSplit="1" ySplit="1" topLeftCell="B32" activePane="bottomRight" state="frozen"/>
      <selection pane="topRight" activeCell="B1" sqref="B1"/>
      <selection pane="bottomLeft" activeCell="A2" sqref="A2"/>
      <selection pane="bottomRight" activeCell="B54" sqref="B54"/>
    </sheetView>
  </sheetViews>
  <sheetFormatPr defaultColWidth="58" defaultRowHeight="13.2" x14ac:dyDescent="0.25"/>
  <cols>
    <col min="1" max="1" width="15.88671875" style="3369" customWidth="1"/>
    <col min="3" max="5" width="23" customWidth="1"/>
    <col min="6" max="8" width="25.44140625" customWidth="1"/>
    <col min="9" max="9" width="24" customWidth="1"/>
    <col min="10" max="10" width="23.88671875" customWidth="1"/>
    <col min="11" max="11" width="22.88671875" customWidth="1"/>
    <col min="12" max="12" width="25.5546875" customWidth="1"/>
    <col min="13" max="13" width="22" customWidth="1"/>
    <col min="14" max="14" width="20.88671875" customWidth="1"/>
  </cols>
  <sheetData>
    <row r="1" spans="2:14" ht="44.25" customHeight="1" x14ac:dyDescent="0.4">
      <c r="B1" s="1064" t="s">
        <v>807</v>
      </c>
      <c r="C1" s="1079"/>
      <c r="D1" s="1079"/>
      <c r="E1" s="1079"/>
      <c r="F1" s="1079"/>
      <c r="G1" s="1087"/>
      <c r="H1" s="1080"/>
      <c r="I1" s="1080"/>
      <c r="J1" s="1055"/>
      <c r="K1" s="1055"/>
      <c r="L1" s="1055"/>
      <c r="M1" s="1055"/>
      <c r="N1" s="1055"/>
    </row>
    <row r="2" spans="2:14" ht="21" x14ac:dyDescent="0.4">
      <c r="B2" s="1064"/>
      <c r="C2" s="1079"/>
      <c r="D2" s="1079"/>
      <c r="E2" s="1079"/>
      <c r="F2" s="1079"/>
      <c r="G2" s="1087"/>
      <c r="H2" s="1080"/>
      <c r="I2" s="1080"/>
      <c r="J2" s="1055"/>
      <c r="K2" s="1055"/>
      <c r="L2" s="1055"/>
      <c r="M2" s="1055"/>
      <c r="N2" s="1055"/>
    </row>
    <row r="3" spans="2:14" ht="39.6" x14ac:dyDescent="0.25">
      <c r="B3" s="3883"/>
      <c r="C3" s="1059" t="s">
        <v>9</v>
      </c>
      <c r="D3" s="1059" t="s">
        <v>10</v>
      </c>
      <c r="E3" s="1059" t="s">
        <v>701</v>
      </c>
      <c r="F3" s="1059" t="s">
        <v>12</v>
      </c>
      <c r="G3" s="1059" t="s">
        <v>13</v>
      </c>
      <c r="H3" s="1059" t="s">
        <v>14</v>
      </c>
      <c r="I3" s="1059" t="s">
        <v>15</v>
      </c>
      <c r="J3" s="1059" t="s">
        <v>16</v>
      </c>
      <c r="K3" s="1059" t="s">
        <v>702</v>
      </c>
      <c r="L3" s="1059" t="s">
        <v>18</v>
      </c>
      <c r="M3" s="1122" t="s">
        <v>136</v>
      </c>
      <c r="N3" s="1060" t="s">
        <v>19</v>
      </c>
    </row>
    <row r="4" spans="2:14" ht="26.4" x14ac:dyDescent="0.25">
      <c r="B4" s="1120" t="s">
        <v>703</v>
      </c>
      <c r="C4" s="1117"/>
      <c r="D4" s="1117"/>
      <c r="E4" s="1117"/>
      <c r="F4" s="1117"/>
      <c r="G4" s="1117"/>
      <c r="H4" s="1117"/>
      <c r="I4" s="1117"/>
      <c r="J4" s="1117"/>
      <c r="K4" s="1118"/>
      <c r="L4" s="1131">
        <v>400000</v>
      </c>
      <c r="M4" s="1124"/>
      <c r="N4" s="1132" t="s">
        <v>21</v>
      </c>
    </row>
    <row r="5" spans="2:14" x14ac:dyDescent="0.25">
      <c r="B5" s="1121" t="s">
        <v>704</v>
      </c>
      <c r="C5" s="1119">
        <v>168589.4</v>
      </c>
      <c r="D5" s="1119">
        <v>5521.5</v>
      </c>
      <c r="E5" s="1119">
        <v>109689.867</v>
      </c>
      <c r="F5" s="1119">
        <v>4050</v>
      </c>
      <c r="G5" s="1119">
        <v>2560</v>
      </c>
      <c r="H5" s="1119">
        <v>188250</v>
      </c>
      <c r="I5" s="1119">
        <v>3325</v>
      </c>
      <c r="J5" s="1119">
        <v>1400</v>
      </c>
      <c r="K5" s="1130">
        <v>280000</v>
      </c>
      <c r="L5" s="1129">
        <v>763385.76699999999</v>
      </c>
      <c r="M5" s="1128">
        <v>1400000</v>
      </c>
      <c r="N5" s="1133">
        <v>0.90846441749999995</v>
      </c>
    </row>
    <row r="6" spans="2:14" x14ac:dyDescent="0.25">
      <c r="B6" s="1057">
        <v>2012</v>
      </c>
      <c r="C6" s="1105">
        <f>C15</f>
        <v>241300</v>
      </c>
      <c r="D6" s="1106">
        <f>C16</f>
        <v>14600</v>
      </c>
      <c r="E6" s="1106">
        <f>C35</f>
        <v>161200</v>
      </c>
      <c r="F6" s="1106">
        <f>C33</f>
        <v>3750</v>
      </c>
      <c r="G6" s="1106">
        <f>C23</f>
        <v>3100</v>
      </c>
      <c r="H6" s="1106">
        <f>C43</f>
        <v>150350</v>
      </c>
      <c r="I6" s="1106">
        <f>C31</f>
        <v>19020</v>
      </c>
      <c r="J6" s="1106">
        <f>C25</f>
        <v>800</v>
      </c>
      <c r="K6" s="1107">
        <f>C12</f>
        <v>525000</v>
      </c>
      <c r="L6" s="1107">
        <f>SUM(C6:K6)</f>
        <v>1119120</v>
      </c>
      <c r="M6" s="1123">
        <f>C48</f>
        <v>1000000</v>
      </c>
      <c r="N6" s="1133">
        <v>0.31093645344320386</v>
      </c>
    </row>
    <row r="7" spans="2:14" ht="13.8" thickBot="1" x14ac:dyDescent="0.3">
      <c r="B7" s="1111">
        <v>2013</v>
      </c>
      <c r="C7" s="1105">
        <f>D15</f>
        <v>241300</v>
      </c>
      <c r="D7" s="1106">
        <f>D16</f>
        <v>14600</v>
      </c>
      <c r="E7" s="1106">
        <f>D35</f>
        <v>161200</v>
      </c>
      <c r="F7" s="1106">
        <f>D33</f>
        <v>3750</v>
      </c>
      <c r="G7" s="1106">
        <f>D23</f>
        <v>3100</v>
      </c>
      <c r="H7" s="1106">
        <f>D43</f>
        <v>150350</v>
      </c>
      <c r="I7" s="1114">
        <f>D31</f>
        <v>19020</v>
      </c>
      <c r="J7" s="1114">
        <f>D25</f>
        <v>800</v>
      </c>
      <c r="K7" s="1115">
        <f>D12</f>
        <v>420000</v>
      </c>
      <c r="L7" s="1107">
        <f>SUM(C7:K7)</f>
        <v>1014120</v>
      </c>
      <c r="M7" s="1123">
        <f>D48</f>
        <v>800000</v>
      </c>
      <c r="N7" s="1133">
        <v>0</v>
      </c>
    </row>
    <row r="8" spans="2:14" ht="13.8" thickBot="1" x14ac:dyDescent="0.3">
      <c r="B8" s="1076" t="s">
        <v>178</v>
      </c>
      <c r="C8" s="1112">
        <v>513822</v>
      </c>
      <c r="D8" s="1113">
        <v>21870</v>
      </c>
      <c r="E8" s="1113">
        <v>337485.96</v>
      </c>
      <c r="F8" s="1113">
        <v>12000</v>
      </c>
      <c r="G8" s="1113">
        <v>6195.1999999999989</v>
      </c>
      <c r="H8" s="1113">
        <v>314500</v>
      </c>
      <c r="I8" s="1113">
        <v>38046.5</v>
      </c>
      <c r="J8" s="1113">
        <v>1580.8</v>
      </c>
      <c r="K8" s="1116">
        <v>756000</v>
      </c>
      <c r="L8" s="1113">
        <f>SUM(L6:L7)</f>
        <v>2133240</v>
      </c>
      <c r="M8" s="1125">
        <f>SUM(M6:M7)</f>
        <v>1800000</v>
      </c>
      <c r="N8" s="1055"/>
    </row>
    <row r="9" spans="2:14" ht="21" x14ac:dyDescent="0.4">
      <c r="B9" s="1064"/>
      <c r="C9" s="1079"/>
      <c r="D9" s="1079"/>
      <c r="E9" s="1079"/>
      <c r="F9" s="1079"/>
      <c r="G9" s="1087"/>
      <c r="H9" s="1080"/>
      <c r="I9" s="1080"/>
      <c r="J9" s="1055"/>
      <c r="K9" s="1055"/>
      <c r="L9" s="1055"/>
      <c r="M9" s="1055"/>
      <c r="N9" s="1068"/>
    </row>
    <row r="10" spans="2:14" ht="17.399999999999999" x14ac:dyDescent="0.3">
      <c r="B10" s="1065" t="s">
        <v>808</v>
      </c>
      <c r="C10" s="1087"/>
      <c r="D10" s="1087"/>
      <c r="E10" s="1087"/>
      <c r="F10" s="1078"/>
      <c r="G10" s="1078"/>
      <c r="H10" s="1078"/>
      <c r="I10" s="1078"/>
      <c r="J10" s="1055"/>
      <c r="K10" s="1055"/>
      <c r="L10" s="1055"/>
      <c r="M10" s="1055"/>
      <c r="N10" s="1055"/>
    </row>
    <row r="11" spans="2:14" ht="17.399999999999999" x14ac:dyDescent="0.3">
      <c r="B11" s="1066"/>
      <c r="C11" s="1108">
        <v>2012</v>
      </c>
      <c r="D11" s="1109">
        <v>2013</v>
      </c>
      <c r="E11" s="1110" t="s">
        <v>29</v>
      </c>
      <c r="F11" s="1071"/>
      <c r="G11" s="1071"/>
      <c r="H11" s="1071"/>
      <c r="I11" s="4233" t="s">
        <v>706</v>
      </c>
      <c r="J11" s="4224"/>
      <c r="K11" s="4224"/>
      <c r="L11" s="1068"/>
      <c r="M11" s="1126"/>
      <c r="N11" s="1055"/>
    </row>
    <row r="12" spans="2:14" ht="13.8" x14ac:dyDescent="0.3">
      <c r="B12" s="3903"/>
      <c r="C12" s="3349">
        <v>525000</v>
      </c>
      <c r="D12" s="3346">
        <v>420000</v>
      </c>
      <c r="E12" s="3347">
        <f>SUM(C12:D12)</f>
        <v>945000</v>
      </c>
      <c r="F12" s="3311"/>
      <c r="G12" s="1071"/>
      <c r="H12" s="1071"/>
      <c r="I12" s="4225" t="s">
        <v>755</v>
      </c>
      <c r="J12" s="4226">
        <v>945000</v>
      </c>
      <c r="K12" s="4224"/>
      <c r="L12" s="1055"/>
      <c r="M12" s="1055"/>
      <c r="N12" s="1055"/>
    </row>
    <row r="13" spans="2:14" ht="17.399999999999999" x14ac:dyDescent="0.3">
      <c r="B13" s="3307"/>
      <c r="C13" s="3326"/>
      <c r="D13" s="3302"/>
      <c r="E13" s="3327"/>
      <c r="F13" s="3311"/>
      <c r="G13" s="1071"/>
      <c r="H13" s="1071"/>
      <c r="I13" s="4225" t="s">
        <v>709</v>
      </c>
      <c r="J13" s="4227">
        <v>482600</v>
      </c>
      <c r="K13" s="4224"/>
      <c r="L13" s="1055"/>
      <c r="M13" s="1055"/>
      <c r="N13" s="1055"/>
    </row>
    <row r="14" spans="2:14" x14ac:dyDescent="0.25">
      <c r="B14" s="3306" t="s">
        <v>713</v>
      </c>
      <c r="C14" s="3328"/>
      <c r="D14" s="3302"/>
      <c r="E14" s="3327"/>
      <c r="F14" s="3309"/>
      <c r="G14" s="1069"/>
      <c r="H14" s="1069"/>
      <c r="I14" s="4225" t="s">
        <v>712</v>
      </c>
      <c r="J14" s="4227">
        <v>29200</v>
      </c>
      <c r="K14" s="4221"/>
      <c r="L14" s="1055"/>
      <c r="M14" s="1055"/>
      <c r="N14" s="1055"/>
    </row>
    <row r="15" spans="2:14" x14ac:dyDescent="0.25">
      <c r="B15" s="3310" t="s">
        <v>715</v>
      </c>
      <c r="C15" s="3454">
        <v>241300</v>
      </c>
      <c r="D15" s="189">
        <v>241300</v>
      </c>
      <c r="E15" s="3341">
        <f>SUM(C15:D15)</f>
        <v>482600</v>
      </c>
      <c r="F15" s="3318">
        <v>2.66</v>
      </c>
      <c r="G15" s="1072" t="s">
        <v>716</v>
      </c>
      <c r="H15" s="1070"/>
      <c r="I15" s="4225" t="s">
        <v>526</v>
      </c>
      <c r="J15" s="4223">
        <v>6200</v>
      </c>
      <c r="K15" s="4221"/>
      <c r="L15" s="1055"/>
      <c r="M15" s="1055"/>
      <c r="N15" s="1055"/>
    </row>
    <row r="16" spans="2:14" x14ac:dyDescent="0.25">
      <c r="B16" s="3310" t="s">
        <v>720</v>
      </c>
      <c r="C16" s="3454">
        <v>14600</v>
      </c>
      <c r="D16" s="189">
        <f>C16</f>
        <v>14600</v>
      </c>
      <c r="E16" s="3341">
        <f>SUM(C16:D16)</f>
        <v>29200</v>
      </c>
      <c r="F16" s="3318">
        <v>0.14000000000000001</v>
      </c>
      <c r="G16" s="1072" t="s">
        <v>716</v>
      </c>
      <c r="H16" s="1070"/>
      <c r="I16" s="4225" t="s">
        <v>714</v>
      </c>
      <c r="J16" s="4223">
        <v>1600</v>
      </c>
      <c r="K16" s="4221"/>
      <c r="L16" s="1055"/>
      <c r="M16" s="1055"/>
      <c r="N16" s="1055"/>
    </row>
    <row r="17" spans="2:13" x14ac:dyDescent="0.25">
      <c r="B17" s="3310"/>
      <c r="C17" s="3329"/>
      <c r="D17" s="3302"/>
      <c r="E17" s="3327"/>
      <c r="F17" s="3318"/>
      <c r="G17" s="1070"/>
      <c r="H17" s="1070"/>
      <c r="I17" s="4225" t="s">
        <v>717</v>
      </c>
      <c r="J17" s="4223">
        <v>38040</v>
      </c>
      <c r="K17" s="4221"/>
      <c r="L17" s="1055"/>
      <c r="M17" s="1127"/>
    </row>
    <row r="18" spans="2:13" x14ac:dyDescent="0.25">
      <c r="B18" s="3306" t="s">
        <v>526</v>
      </c>
      <c r="C18" s="3328"/>
      <c r="D18" s="3302"/>
      <c r="E18" s="3327"/>
      <c r="F18" s="3309"/>
      <c r="G18" s="1069"/>
      <c r="H18" s="1070"/>
      <c r="I18" s="4225" t="s">
        <v>719</v>
      </c>
      <c r="J18" s="4223">
        <v>7500</v>
      </c>
      <c r="K18" s="4221"/>
      <c r="L18" s="1055"/>
      <c r="M18" s="1055"/>
    </row>
    <row r="19" spans="2:13" x14ac:dyDescent="0.25">
      <c r="B19" s="3301" t="s">
        <v>721</v>
      </c>
      <c r="C19" s="3334">
        <v>900</v>
      </c>
      <c r="D19" s="3343">
        <v>900</v>
      </c>
      <c r="E19" s="3341">
        <f>SUM(C19:D19)</f>
        <v>1800</v>
      </c>
      <c r="F19" s="3319"/>
      <c r="G19" s="1081"/>
      <c r="H19" s="1069"/>
      <c r="I19" s="4225" t="s">
        <v>11</v>
      </c>
      <c r="J19" s="4223">
        <v>322400</v>
      </c>
      <c r="K19" s="4221"/>
      <c r="L19" s="1055"/>
      <c r="M19" s="1055"/>
    </row>
    <row r="20" spans="2:13" x14ac:dyDescent="0.25">
      <c r="B20" s="3310" t="s">
        <v>722</v>
      </c>
      <c r="C20" s="3330">
        <v>1500</v>
      </c>
      <c r="D20" s="3343">
        <v>1500</v>
      </c>
      <c r="E20" s="3474">
        <f>SUM(C20:D20)</f>
        <v>3000</v>
      </c>
      <c r="F20" s="3301"/>
      <c r="G20" s="1069"/>
      <c r="H20" s="1081"/>
      <c r="I20" s="4225" t="s">
        <v>14</v>
      </c>
      <c r="J20" s="4232">
        <v>300700</v>
      </c>
      <c r="K20" s="4221"/>
      <c r="L20" s="1055"/>
      <c r="M20" s="1055"/>
    </row>
    <row r="21" spans="2:13" x14ac:dyDescent="0.25">
      <c r="B21" s="3310" t="s">
        <v>725</v>
      </c>
      <c r="C21" s="3334">
        <v>400</v>
      </c>
      <c r="D21" s="3343">
        <v>400</v>
      </c>
      <c r="E21" s="3474">
        <f>SUM(C21:D21)</f>
        <v>800</v>
      </c>
      <c r="F21" s="3309"/>
      <c r="G21" s="1069"/>
      <c r="H21" s="1069"/>
      <c r="I21" s="4221"/>
      <c r="J21" s="4222">
        <v>2133240</v>
      </c>
      <c r="K21" s="4221"/>
      <c r="L21" s="1055"/>
      <c r="M21" s="1055"/>
    </row>
    <row r="22" spans="2:13" x14ac:dyDescent="0.25">
      <c r="B22" s="3310" t="s">
        <v>728</v>
      </c>
      <c r="C22" s="3334">
        <v>300</v>
      </c>
      <c r="D22" s="3343">
        <v>300</v>
      </c>
      <c r="E22" s="3474">
        <f>SUM(C22:D22)</f>
        <v>600</v>
      </c>
      <c r="F22" s="3309"/>
      <c r="G22" s="1069"/>
      <c r="H22" s="1082"/>
      <c r="I22" s="4225"/>
      <c r="J22" s="4237"/>
      <c r="K22" s="4221"/>
      <c r="L22" s="1055"/>
      <c r="M22" s="1055"/>
    </row>
    <row r="23" spans="2:13" x14ac:dyDescent="0.25">
      <c r="B23" s="3301"/>
      <c r="C23" s="3331">
        <f>SUM(C19:C22)</f>
        <v>3100</v>
      </c>
      <c r="D23" s="3316">
        <f>SUM(D19:D22)</f>
        <v>3100</v>
      </c>
      <c r="E23" s="3348">
        <f>SUM(C23:D23)</f>
        <v>6200</v>
      </c>
      <c r="F23" s="3309"/>
      <c r="G23" s="1069"/>
      <c r="H23" s="1082"/>
      <c r="I23" s="4230" t="s">
        <v>723</v>
      </c>
      <c r="J23" s="4235">
        <v>1800000</v>
      </c>
      <c r="K23" s="4228" t="s">
        <v>804</v>
      </c>
      <c r="L23" s="1055"/>
      <c r="M23" s="1055"/>
    </row>
    <row r="24" spans="2:13" x14ac:dyDescent="0.25">
      <c r="B24" s="3302"/>
      <c r="C24" s="3337"/>
      <c r="D24" s="3302"/>
      <c r="E24" s="3327"/>
      <c r="F24" s="3309"/>
      <c r="G24" s="1069"/>
      <c r="H24" s="1082"/>
      <c r="I24" s="4230" t="s">
        <v>726</v>
      </c>
      <c r="J24" s="4234">
        <v>0.52500000000000002</v>
      </c>
      <c r="K24" s="4231" t="s">
        <v>805</v>
      </c>
      <c r="L24" s="1055"/>
      <c r="M24" s="1055"/>
    </row>
    <row r="25" spans="2:13" x14ac:dyDescent="0.25">
      <c r="B25" s="3306" t="s">
        <v>714</v>
      </c>
      <c r="C25" s="3331">
        <v>800</v>
      </c>
      <c r="D25" s="3325">
        <v>800</v>
      </c>
      <c r="E25" s="3348">
        <f>SUM(C25:D25)</f>
        <v>1600</v>
      </c>
      <c r="F25" s="3309"/>
      <c r="G25" s="1069"/>
      <c r="H25" s="1082"/>
      <c r="I25" s="4230" t="s">
        <v>729</v>
      </c>
      <c r="J25" s="4234">
        <v>1.1851333333333334</v>
      </c>
      <c r="K25" s="4231" t="s">
        <v>805</v>
      </c>
      <c r="L25" s="1055"/>
      <c r="M25" s="1055"/>
    </row>
    <row r="26" spans="2:13" x14ac:dyDescent="0.25">
      <c r="B26" s="3302"/>
      <c r="C26" s="3337"/>
      <c r="D26" s="3302"/>
      <c r="E26" s="3327"/>
      <c r="F26" s="3309"/>
      <c r="G26" s="1069"/>
      <c r="H26" s="1082"/>
      <c r="I26" s="4229" t="s">
        <v>730</v>
      </c>
      <c r="J26" s="4236">
        <v>0.44298813073071946</v>
      </c>
      <c r="K26" s="4231"/>
      <c r="L26" s="1055"/>
      <c r="M26" s="1055"/>
    </row>
    <row r="27" spans="2:13" x14ac:dyDescent="0.25">
      <c r="B27" s="3305" t="s">
        <v>717</v>
      </c>
      <c r="C27" s="3337"/>
      <c r="D27" s="3302"/>
      <c r="E27" s="3327"/>
      <c r="F27" s="3320"/>
      <c r="H27" s="1082"/>
      <c r="I27" s="3350"/>
      <c r="J27" s="3351"/>
      <c r="K27" s="1077"/>
      <c r="L27" s="1055"/>
      <c r="M27" s="1055"/>
    </row>
    <row r="28" spans="2:13" x14ac:dyDescent="0.25">
      <c r="B28" s="3301" t="s">
        <v>731</v>
      </c>
      <c r="C28" s="3337">
        <v>17690</v>
      </c>
      <c r="D28" s="3343">
        <v>17690</v>
      </c>
      <c r="E28" s="3341">
        <f>SUM(C28:D28)</f>
        <v>35380</v>
      </c>
      <c r="F28" s="3320"/>
      <c r="G28" s="1104" t="s">
        <v>763</v>
      </c>
      <c r="H28" s="1082"/>
      <c r="I28" s="1071"/>
      <c r="J28" s="1055"/>
      <c r="K28" s="1055"/>
      <c r="L28" s="1055"/>
      <c r="M28" s="1055"/>
    </row>
    <row r="29" spans="2:13" x14ac:dyDescent="0.25">
      <c r="B29" s="3301" t="s">
        <v>732</v>
      </c>
      <c r="C29" s="3337">
        <v>190</v>
      </c>
      <c r="D29" s="3343">
        <v>190</v>
      </c>
      <c r="E29" s="3474">
        <f>SUM(C29:D29)</f>
        <v>380</v>
      </c>
      <c r="F29" s="3320"/>
      <c r="G29" s="1104" t="s">
        <v>764</v>
      </c>
      <c r="H29" s="1082"/>
      <c r="I29" s="1071"/>
      <c r="J29" s="1055"/>
      <c r="K29" s="1055"/>
      <c r="L29" s="1055"/>
      <c r="M29" s="1055"/>
    </row>
    <row r="30" spans="2:13" x14ac:dyDescent="0.25">
      <c r="B30" s="3302" t="s">
        <v>733</v>
      </c>
      <c r="C30" s="3337">
        <v>1140</v>
      </c>
      <c r="D30" s="3343">
        <v>1140</v>
      </c>
      <c r="E30" s="3474">
        <f>SUM(C30:D30)</f>
        <v>2280</v>
      </c>
      <c r="F30" s="3320"/>
      <c r="G30" s="1082"/>
      <c r="H30" s="1082"/>
      <c r="I30" s="1071"/>
      <c r="J30" s="1055"/>
      <c r="K30" s="1055"/>
      <c r="L30" s="1055"/>
      <c r="M30" s="1055"/>
    </row>
    <row r="31" spans="2:13" x14ac:dyDescent="0.25">
      <c r="B31" s="3305" t="s">
        <v>734</v>
      </c>
      <c r="C31" s="3332">
        <f>SUM(C28:C30)</f>
        <v>19020</v>
      </c>
      <c r="D31" s="3312">
        <f>SUM(D28:D30)</f>
        <v>19020</v>
      </c>
      <c r="E31" s="3348">
        <f>SUM(C31:D31)</f>
        <v>38040</v>
      </c>
      <c r="F31" s="3320"/>
      <c r="G31" s="1082"/>
      <c r="H31" s="1082"/>
      <c r="I31" s="1071"/>
      <c r="J31" s="1055"/>
      <c r="K31" s="1055"/>
      <c r="L31" s="1055"/>
      <c r="M31" s="1055"/>
    </row>
    <row r="32" spans="2:13" x14ac:dyDescent="0.25">
      <c r="B32" s="3302"/>
      <c r="C32" s="3337"/>
      <c r="D32" s="3302"/>
      <c r="E32" s="3327"/>
      <c r="F32" s="3320"/>
      <c r="G32" s="1082"/>
      <c r="H32" s="1082"/>
      <c r="I32" s="1071"/>
      <c r="J32" s="1055"/>
      <c r="K32" s="1055"/>
      <c r="L32" s="1055"/>
      <c r="M32" s="1055"/>
    </row>
    <row r="33" spans="2:9" x14ac:dyDescent="0.25">
      <c r="B33" s="3305" t="s">
        <v>719</v>
      </c>
      <c r="C33" s="3332">
        <v>3750</v>
      </c>
      <c r="D33" s="3344">
        <v>3750</v>
      </c>
      <c r="E33" s="3348">
        <f>SUM(C33:D33)</f>
        <v>7500</v>
      </c>
      <c r="F33" s="3320"/>
      <c r="G33" s="1082"/>
      <c r="H33" s="1082"/>
      <c r="I33" s="1071"/>
    </row>
    <row r="34" spans="2:9" x14ac:dyDescent="0.25">
      <c r="B34" s="3302"/>
      <c r="C34" s="3337"/>
      <c r="D34" s="3302"/>
      <c r="E34" s="3327"/>
      <c r="F34" s="3320"/>
      <c r="G34" s="1083"/>
      <c r="H34" s="1082"/>
      <c r="I34" s="1071"/>
    </row>
    <row r="35" spans="2:9" x14ac:dyDescent="0.25">
      <c r="B35" s="3305" t="s">
        <v>11</v>
      </c>
      <c r="C35" s="3417">
        <f>ROUND(SUM(C15:C16)*0.63, -2)</f>
        <v>161200</v>
      </c>
      <c r="D35" s="3395">
        <f>ROUND(SUM(D15:D16)*0.63, -2)</f>
        <v>161200</v>
      </c>
      <c r="E35" s="3348">
        <f>SUM(C35:D35)</f>
        <v>322400</v>
      </c>
      <c r="F35" s="3320"/>
      <c r="G35" s="1083"/>
      <c r="H35" s="1082"/>
      <c r="I35" s="1071"/>
    </row>
    <row r="36" spans="2:9" x14ac:dyDescent="0.25">
      <c r="B36" s="3302"/>
      <c r="C36" s="3337"/>
      <c r="D36" s="3321"/>
      <c r="E36" s="3338"/>
      <c r="F36" s="3320"/>
      <c r="G36" s="1056"/>
      <c r="H36" s="1082"/>
      <c r="I36" s="1071"/>
    </row>
    <row r="37" spans="2:9" x14ac:dyDescent="0.25">
      <c r="B37" s="3303" t="s">
        <v>14</v>
      </c>
      <c r="C37" s="3337"/>
      <c r="D37" s="3321"/>
      <c r="E37" s="3338"/>
      <c r="F37" s="3320"/>
      <c r="G37" s="1056"/>
      <c r="H37" s="1082"/>
      <c r="I37" s="1067"/>
    </row>
    <row r="38" spans="2:9" x14ac:dyDescent="0.25">
      <c r="B38" s="3315" t="s">
        <v>757</v>
      </c>
      <c r="C38" s="3334">
        <v>8250</v>
      </c>
      <c r="D38" s="3322">
        <v>8250</v>
      </c>
      <c r="E38" s="3335">
        <f t="shared" ref="E38:E43" si="0">SUM(C38:D38)</f>
        <v>16500</v>
      </c>
      <c r="F38" s="3320"/>
      <c r="G38" s="1056"/>
      <c r="H38" s="1082"/>
      <c r="I38" s="1067"/>
    </row>
    <row r="39" spans="2:9" x14ac:dyDescent="0.25">
      <c r="B39" s="3301" t="s">
        <v>809</v>
      </c>
      <c r="C39" s="3334">
        <v>30000</v>
      </c>
      <c r="D39" s="3322">
        <v>30000</v>
      </c>
      <c r="E39" s="3473">
        <f t="shared" si="0"/>
        <v>60000</v>
      </c>
      <c r="F39" s="3320"/>
      <c r="G39" s="1056"/>
      <c r="H39" s="1082"/>
      <c r="I39" s="1067"/>
    </row>
    <row r="40" spans="2:9" x14ac:dyDescent="0.25">
      <c r="B40" s="3315" t="s">
        <v>758</v>
      </c>
      <c r="C40" s="3334">
        <v>19500</v>
      </c>
      <c r="D40" s="3322">
        <v>19500</v>
      </c>
      <c r="E40" s="3473">
        <f t="shared" si="0"/>
        <v>39000</v>
      </c>
      <c r="F40" s="3320"/>
      <c r="G40" s="1056"/>
      <c r="H40" s="1082"/>
      <c r="I40" s="1067"/>
    </row>
    <row r="41" spans="2:9" x14ac:dyDescent="0.25">
      <c r="B41" s="3315" t="s">
        <v>759</v>
      </c>
      <c r="C41" s="3334">
        <v>68600</v>
      </c>
      <c r="D41" s="3322">
        <v>68600</v>
      </c>
      <c r="E41" s="3473">
        <f t="shared" si="0"/>
        <v>137200</v>
      </c>
      <c r="F41" s="3320"/>
      <c r="G41" s="1056"/>
      <c r="H41" s="1082"/>
      <c r="I41" s="1067"/>
    </row>
    <row r="42" spans="2:9" x14ac:dyDescent="0.25">
      <c r="B42" s="3315" t="s">
        <v>766</v>
      </c>
      <c r="C42" s="3334">
        <v>24000</v>
      </c>
      <c r="D42" s="3322">
        <v>24000</v>
      </c>
      <c r="E42" s="3473">
        <f t="shared" si="0"/>
        <v>48000</v>
      </c>
      <c r="F42" s="3320"/>
      <c r="G42" s="1083"/>
      <c r="H42" s="1082"/>
      <c r="I42" s="1067"/>
    </row>
    <row r="43" spans="2:9" x14ac:dyDescent="0.25">
      <c r="B43" s="3314" t="s">
        <v>743</v>
      </c>
      <c r="C43" s="3331">
        <f>SUM(C38:C42)</f>
        <v>150350</v>
      </c>
      <c r="D43" s="3316">
        <f>SUM(D38:D42)</f>
        <v>150350</v>
      </c>
      <c r="E43" s="3336">
        <f t="shared" si="0"/>
        <v>300700</v>
      </c>
      <c r="F43" s="3320"/>
      <c r="G43" s="1083"/>
      <c r="H43" s="1082"/>
      <c r="I43" s="1067"/>
    </row>
    <row r="44" spans="2:9" ht="13.8" thickBot="1" x14ac:dyDescent="0.3">
      <c r="B44" s="3308"/>
      <c r="C44" s="3334"/>
      <c r="D44" s="3322"/>
      <c r="E44" s="3335"/>
      <c r="F44" s="3320"/>
      <c r="G44" s="1083"/>
      <c r="H44" s="1082"/>
      <c r="I44" s="1067"/>
    </row>
    <row r="45" spans="2:9" ht="13.8" thickBot="1" x14ac:dyDescent="0.3">
      <c r="B45" s="3314" t="s">
        <v>744</v>
      </c>
      <c r="C45" s="3333">
        <f>C12+C15+C16+C23+C25+C31+C33+C35+C43</f>
        <v>1119120</v>
      </c>
      <c r="D45" s="3339">
        <f>D12+D15+D16+D23+D25+D31+D33+D35+D43</f>
        <v>1014120</v>
      </c>
      <c r="E45" s="3340">
        <f>SUM(C45:D45)</f>
        <v>2133240</v>
      </c>
      <c r="F45" s="3320"/>
      <c r="G45" s="1083"/>
      <c r="H45" s="1082"/>
      <c r="I45" s="1067"/>
    </row>
    <row r="46" spans="2:9" x14ac:dyDescent="0.25">
      <c r="B46" s="3304"/>
      <c r="C46" s="3322"/>
      <c r="D46" s="3322"/>
      <c r="E46" s="3322"/>
      <c r="F46" s="3320"/>
      <c r="G46" s="1083"/>
      <c r="H46" s="1082"/>
      <c r="I46" s="1067"/>
    </row>
    <row r="47" spans="2:9" x14ac:dyDescent="0.25">
      <c r="B47" s="3301"/>
      <c r="C47" s="3342">
        <v>2012</v>
      </c>
      <c r="D47" s="3342">
        <v>2013</v>
      </c>
      <c r="E47" s="3342" t="s">
        <v>29</v>
      </c>
      <c r="F47" s="3301"/>
      <c r="G47" s="1083"/>
      <c r="H47" s="1082"/>
      <c r="I47" s="1067"/>
    </row>
    <row r="48" spans="2:9" ht="13.8" x14ac:dyDescent="0.3">
      <c r="B48" s="3904"/>
      <c r="C48" s="3317">
        <v>1000000</v>
      </c>
      <c r="D48" s="3317">
        <v>800000</v>
      </c>
      <c r="E48" s="3317">
        <v>1800000</v>
      </c>
      <c r="F48" s="3316" t="s">
        <v>617</v>
      </c>
      <c r="G48" s="1082"/>
      <c r="H48" s="1082"/>
      <c r="I48" s="1067"/>
    </row>
    <row r="49" spans="2:10" x14ac:dyDescent="0.25">
      <c r="B49" s="3301"/>
      <c r="C49" s="3323"/>
      <c r="D49" s="3323"/>
      <c r="E49" s="3323"/>
      <c r="F49" s="3313"/>
      <c r="G49" s="1082"/>
      <c r="H49" s="1082"/>
      <c r="I49" s="1067"/>
      <c r="J49" s="1055"/>
    </row>
    <row r="50" spans="2:10" x14ac:dyDescent="0.25">
      <c r="B50" s="3324" t="s">
        <v>751</v>
      </c>
      <c r="C50" s="3345">
        <v>0.55555555555555558</v>
      </c>
      <c r="D50" s="3345">
        <v>0.44444444444444442</v>
      </c>
      <c r="E50" s="3301"/>
      <c r="F50" s="3301"/>
      <c r="G50" s="1084"/>
      <c r="H50" s="1084"/>
      <c r="I50" s="1073"/>
      <c r="J50" s="1058"/>
    </row>
    <row r="51" spans="2:10" x14ac:dyDescent="0.25">
      <c r="B51" s="1055"/>
      <c r="C51" s="1084"/>
      <c r="D51" s="1084"/>
      <c r="E51" s="1084"/>
      <c r="F51" s="1074"/>
      <c r="G51" s="1074"/>
      <c r="H51" s="1074"/>
      <c r="I51" s="1074"/>
      <c r="J51" s="1058"/>
    </row>
    <row r="52" spans="2:10" x14ac:dyDescent="0.25">
      <c r="B52" s="1055"/>
      <c r="C52" s="1074"/>
      <c r="D52" s="1074"/>
      <c r="E52" s="1074"/>
      <c r="F52" s="1074"/>
      <c r="G52" s="1074"/>
      <c r="H52" s="1074"/>
      <c r="I52" s="1074"/>
      <c r="J52" s="1058"/>
    </row>
    <row r="53" spans="2:10" x14ac:dyDescent="0.25">
      <c r="B53" s="1055"/>
      <c r="C53" s="1074"/>
      <c r="D53" s="1074"/>
      <c r="E53" s="1074"/>
      <c r="F53" s="1084"/>
      <c r="G53" s="1074"/>
      <c r="H53" s="1074"/>
      <c r="I53" s="1074"/>
      <c r="J53" s="1058"/>
    </row>
    <row r="54" spans="2:10" ht="21" x14ac:dyDescent="0.4">
      <c r="B54" s="1064"/>
      <c r="C54" s="1075"/>
      <c r="D54" s="1075"/>
      <c r="E54" s="1075"/>
      <c r="F54" s="1084"/>
      <c r="G54" s="1074"/>
      <c r="H54" s="1074"/>
      <c r="I54" s="1074"/>
      <c r="J54" s="1058"/>
    </row>
    <row r="55" spans="2:10" x14ac:dyDescent="0.25">
      <c r="B55" s="1058"/>
      <c r="C55" s="1058"/>
      <c r="D55" s="1058"/>
      <c r="E55" s="1058"/>
      <c r="F55" s="1084"/>
      <c r="G55" s="1074"/>
      <c r="H55" s="1074"/>
      <c r="I55" s="1074"/>
      <c r="J55" s="1058"/>
    </row>
    <row r="56" spans="2:10" x14ac:dyDescent="0.25">
      <c r="B56" s="1094"/>
      <c r="C56" s="1058"/>
      <c r="D56" s="1058"/>
      <c r="E56" s="1058"/>
      <c r="F56" s="1084"/>
      <c r="G56" s="1074"/>
      <c r="H56" s="1074"/>
      <c r="I56" s="1074"/>
      <c r="J56" s="1058"/>
    </row>
    <row r="57" spans="2:10" x14ac:dyDescent="0.25">
      <c r="B57" s="1058"/>
      <c r="C57" s="1058"/>
      <c r="D57" s="1058"/>
      <c r="E57" s="1058"/>
      <c r="F57" s="1058"/>
      <c r="G57" s="1084"/>
      <c r="H57" s="1084"/>
      <c r="I57" s="1074"/>
      <c r="J57" s="1058"/>
    </row>
    <row r="58" spans="2:10" x14ac:dyDescent="0.25">
      <c r="B58" s="1058"/>
      <c r="C58" s="1061"/>
      <c r="D58" s="1061"/>
      <c r="E58" s="1061"/>
      <c r="F58" s="1058"/>
      <c r="G58" s="1063"/>
      <c r="H58" s="1084"/>
      <c r="I58" s="1073"/>
      <c r="J58" s="1058"/>
    </row>
    <row r="59" spans="2:10" x14ac:dyDescent="0.25">
      <c r="B59" s="1062"/>
      <c r="C59" s="1095"/>
      <c r="D59" s="1095"/>
      <c r="E59" s="1095"/>
      <c r="F59" s="1058"/>
      <c r="G59" s="1061"/>
      <c r="H59" s="1084"/>
      <c r="I59" s="1073"/>
      <c r="J59" s="1058"/>
    </row>
    <row r="60" spans="2:10" x14ac:dyDescent="0.25">
      <c r="B60" s="1062"/>
      <c r="C60" s="1095"/>
      <c r="D60" s="1095"/>
      <c r="E60" s="1095"/>
      <c r="F60" s="1058"/>
      <c r="G60" s="1096"/>
      <c r="H60" s="1084"/>
      <c r="I60" s="1073"/>
      <c r="J60" s="1058"/>
    </row>
    <row r="61" spans="2:10" x14ac:dyDescent="0.25">
      <c r="B61" s="1062"/>
      <c r="C61" s="1095"/>
      <c r="D61" s="1095"/>
      <c r="E61" s="1095"/>
      <c r="F61" s="1058"/>
      <c r="G61" s="1096"/>
      <c r="H61" s="1084"/>
      <c r="I61" s="1073"/>
      <c r="J61" s="1058"/>
    </row>
    <row r="62" spans="2:10" x14ac:dyDescent="0.25">
      <c r="B62" s="1062"/>
      <c r="C62" s="1095"/>
      <c r="D62" s="1095"/>
      <c r="E62" s="1095"/>
      <c r="F62" s="1058"/>
      <c r="G62" s="1096"/>
      <c r="H62" s="1084"/>
      <c r="I62" s="1073"/>
      <c r="J62" s="1058"/>
    </row>
    <row r="63" spans="2:10" x14ac:dyDescent="0.25">
      <c r="B63" s="1062"/>
      <c r="C63" s="1095"/>
      <c r="D63" s="1095"/>
      <c r="E63" s="1095"/>
      <c r="F63" s="1058"/>
      <c r="G63" s="1096"/>
      <c r="H63" s="1084"/>
      <c r="I63" s="1073"/>
      <c r="J63" s="1058"/>
    </row>
    <row r="64" spans="2:10" x14ac:dyDescent="0.25">
      <c r="B64" s="1062"/>
      <c r="C64" s="1095"/>
      <c r="D64" s="1095"/>
      <c r="E64" s="1095"/>
      <c r="F64" s="1058"/>
      <c r="G64" s="1096"/>
      <c r="H64" s="1084"/>
      <c r="I64" s="1073"/>
      <c r="J64" s="1058"/>
    </row>
    <row r="65" spans="2:10" x14ac:dyDescent="0.25">
      <c r="B65" s="1058"/>
      <c r="C65" s="1088"/>
      <c r="D65" s="1088"/>
      <c r="E65" s="1088"/>
      <c r="F65" s="1058"/>
      <c r="G65" s="1096"/>
      <c r="H65" s="1084"/>
      <c r="I65" s="1073"/>
      <c r="J65" s="1058"/>
    </row>
    <row r="66" spans="2:10" x14ac:dyDescent="0.25">
      <c r="B66" s="1058"/>
      <c r="C66" s="1058"/>
      <c r="D66" s="1058"/>
      <c r="E66" s="1058"/>
      <c r="F66" s="1084"/>
      <c r="G66" s="1097"/>
      <c r="H66" s="1084"/>
      <c r="I66" s="1073"/>
      <c r="J66" s="1058"/>
    </row>
    <row r="67" spans="2:10" x14ac:dyDescent="0.25">
      <c r="B67" s="1094"/>
      <c r="C67" s="1058"/>
      <c r="D67" s="1058"/>
      <c r="E67" s="1058"/>
      <c r="F67" s="1084"/>
      <c r="G67" s="1084"/>
      <c r="H67" s="1084"/>
      <c r="I67" s="1073"/>
      <c r="J67" s="1058"/>
    </row>
    <row r="68" spans="2:10" ht="17.399999999999999" x14ac:dyDescent="0.25">
      <c r="B68" s="1058"/>
      <c r="C68" s="1058"/>
      <c r="D68" s="1058"/>
      <c r="E68" s="1058"/>
      <c r="F68" s="1084"/>
      <c r="G68" s="1098"/>
      <c r="H68" s="1084"/>
      <c r="I68" s="1073"/>
      <c r="J68" s="1058"/>
    </row>
    <row r="69" spans="2:10" ht="18" x14ac:dyDescent="0.25">
      <c r="B69" s="1099"/>
      <c r="C69" s="1098"/>
      <c r="D69" s="1098"/>
      <c r="E69" s="1098"/>
      <c r="F69" s="1098"/>
      <c r="G69" s="1086"/>
      <c r="H69" s="1084"/>
      <c r="I69" s="1073"/>
      <c r="J69" s="1058"/>
    </row>
    <row r="70" spans="2:10" ht="13.8" x14ac:dyDescent="0.25">
      <c r="B70" s="1100"/>
      <c r="C70" s="1101"/>
      <c r="D70" s="1101"/>
      <c r="E70" s="1101"/>
      <c r="F70" s="1090"/>
      <c r="G70" s="1085"/>
      <c r="H70" s="1084"/>
      <c r="I70" s="1073"/>
      <c r="J70" s="1058"/>
    </row>
    <row r="71" spans="2:10" ht="13.8" x14ac:dyDescent="0.25">
      <c r="B71" s="1100"/>
      <c r="C71" s="1101"/>
      <c r="D71" s="1101"/>
      <c r="E71" s="1101"/>
      <c r="F71" s="1090"/>
      <c r="G71" s="1091"/>
      <c r="H71" s="1084"/>
      <c r="I71" s="1073"/>
      <c r="J71" s="1058"/>
    </row>
    <row r="72" spans="2:10" ht="13.8" x14ac:dyDescent="0.25">
      <c r="B72" s="1100"/>
      <c r="C72" s="1101"/>
      <c r="D72" s="1101"/>
      <c r="E72" s="1101"/>
      <c r="F72" s="1090"/>
      <c r="G72" s="1092"/>
      <c r="H72" s="1084"/>
      <c r="I72" s="1073"/>
      <c r="J72" s="1058"/>
    </row>
    <row r="73" spans="2:10" ht="13.8" x14ac:dyDescent="0.25">
      <c r="B73" s="1100"/>
      <c r="C73" s="1101"/>
      <c r="D73" s="1101"/>
      <c r="E73" s="1101"/>
      <c r="F73" s="1090"/>
      <c r="G73" s="1093"/>
      <c r="H73" s="1084"/>
      <c r="I73" s="1073"/>
      <c r="J73" s="1058"/>
    </row>
    <row r="74" spans="2:10" ht="13.8" x14ac:dyDescent="0.25">
      <c r="B74" s="1100"/>
      <c r="C74" s="1101"/>
      <c r="D74" s="1101"/>
      <c r="E74" s="1101"/>
      <c r="F74" s="1090"/>
      <c r="G74" s="1093"/>
      <c r="H74" s="1084"/>
      <c r="I74" s="1073"/>
      <c r="J74" s="1058"/>
    </row>
    <row r="75" spans="2:10" ht="13.8" x14ac:dyDescent="0.25">
      <c r="B75" s="1100"/>
      <c r="C75" s="1101"/>
      <c r="D75" s="1101"/>
      <c r="E75" s="1101"/>
      <c r="F75" s="1090"/>
      <c r="G75" s="1074"/>
      <c r="H75" s="1084"/>
      <c r="I75" s="1073"/>
      <c r="J75" s="1058"/>
    </row>
    <row r="76" spans="2:10" ht="17.399999999999999" x14ac:dyDescent="0.25">
      <c r="B76" s="1058"/>
      <c r="C76" s="1058"/>
      <c r="D76" s="1058"/>
      <c r="E76" s="1058"/>
      <c r="F76" s="1074"/>
      <c r="G76" s="1098"/>
      <c r="H76" s="1084"/>
      <c r="I76" s="1073"/>
      <c r="J76" s="1058"/>
    </row>
    <row r="77" spans="2:10" ht="17.399999999999999" x14ac:dyDescent="0.25">
      <c r="B77" s="1102"/>
      <c r="C77" s="1098"/>
      <c r="D77" s="1098"/>
      <c r="E77" s="1098"/>
      <c r="F77" s="1098"/>
      <c r="G77" s="1086"/>
      <c r="H77" s="1074"/>
      <c r="I77" s="1074"/>
      <c r="J77" s="1058"/>
    </row>
    <row r="78" spans="2:10" x14ac:dyDescent="0.25">
      <c r="B78" s="4777"/>
      <c r="C78" s="4778"/>
      <c r="D78" s="4778"/>
      <c r="E78" s="4778"/>
      <c r="F78" s="4778"/>
      <c r="G78" s="1085"/>
      <c r="H78" s="1074"/>
      <c r="I78" s="1074"/>
      <c r="J78" s="1058"/>
    </row>
    <row r="79" spans="2:10" x14ac:dyDescent="0.25">
      <c r="B79" s="4777"/>
      <c r="C79" s="4778"/>
      <c r="D79" s="4778"/>
      <c r="E79" s="4778"/>
      <c r="F79" s="4778"/>
      <c r="G79" s="1091"/>
      <c r="H79" s="1074"/>
      <c r="I79" s="1074"/>
      <c r="J79" s="1058"/>
    </row>
    <row r="80" spans="2:10" x14ac:dyDescent="0.25">
      <c r="B80" s="4777"/>
      <c r="C80" s="4778"/>
      <c r="D80" s="4778"/>
      <c r="E80" s="4778"/>
      <c r="F80" s="4778"/>
      <c r="G80" s="1103"/>
      <c r="H80" s="1074"/>
      <c r="I80" s="1074"/>
      <c r="J80" s="1058"/>
    </row>
    <row r="81" spans="2:10" x14ac:dyDescent="0.25">
      <c r="B81" s="4777"/>
      <c r="C81" s="4778"/>
      <c r="D81" s="4778"/>
      <c r="E81" s="4778"/>
      <c r="F81" s="4778"/>
      <c r="G81" s="1103"/>
      <c r="H81" s="1074"/>
      <c r="I81" s="1074"/>
      <c r="J81" s="1058"/>
    </row>
    <row r="82" spans="2:10" x14ac:dyDescent="0.25">
      <c r="B82" s="4777"/>
      <c r="C82" s="4778"/>
      <c r="D82" s="4778"/>
      <c r="E82" s="4778"/>
      <c r="F82" s="4778"/>
      <c r="G82" s="1103"/>
      <c r="H82" s="1074"/>
      <c r="I82" s="1074"/>
      <c r="J82" s="1058"/>
    </row>
    <row r="83" spans="2:10" ht="15.6" x14ac:dyDescent="0.3">
      <c r="B83" s="4777"/>
      <c r="C83" s="4778"/>
      <c r="D83" s="4778"/>
      <c r="E83" s="4778"/>
      <c r="F83" s="4778"/>
      <c r="G83" s="1058"/>
      <c r="H83" s="1075"/>
      <c r="I83" s="1075"/>
      <c r="J83" s="1058"/>
    </row>
    <row r="84" spans="2:10" x14ac:dyDescent="0.25">
      <c r="B84" s="1058"/>
      <c r="C84" s="1058"/>
      <c r="D84" s="1058"/>
      <c r="E84" s="1058"/>
      <c r="F84" s="1058"/>
      <c r="G84" s="1085"/>
      <c r="H84" s="1058"/>
      <c r="I84" s="1058"/>
      <c r="J84" s="1058"/>
    </row>
    <row r="85" spans="2:10" x14ac:dyDescent="0.25">
      <c r="B85" s="1058"/>
      <c r="C85" s="1089"/>
      <c r="D85" s="1089"/>
      <c r="E85" s="1089"/>
      <c r="F85" s="1058"/>
      <c r="G85" s="1086"/>
      <c r="H85" s="1058"/>
      <c r="I85" s="1058"/>
      <c r="J85" s="1058"/>
    </row>
    <row r="86" spans="2:10" x14ac:dyDescent="0.25">
      <c r="B86" s="1058"/>
      <c r="C86" s="1089"/>
      <c r="D86" s="1089"/>
      <c r="E86" s="1089"/>
      <c r="F86" s="1058"/>
      <c r="G86" s="1085"/>
      <c r="H86" s="1058"/>
      <c r="I86" s="1058"/>
      <c r="J86" s="1058"/>
    </row>
    <row r="87" spans="2:10" x14ac:dyDescent="0.25">
      <c r="B87" s="1058"/>
      <c r="C87" s="1058"/>
      <c r="D87" s="1058"/>
      <c r="E87" s="1058"/>
      <c r="F87" s="1058"/>
      <c r="G87" s="1058"/>
      <c r="H87" s="1058"/>
      <c r="I87" s="1058"/>
      <c r="J87" s="1058"/>
    </row>
    <row r="88" spans="2:10" x14ac:dyDescent="0.25">
      <c r="B88" s="1058"/>
      <c r="C88" s="1058"/>
      <c r="D88" s="1058"/>
      <c r="E88" s="1058"/>
      <c r="F88" s="1058"/>
      <c r="G88" s="1058"/>
      <c r="H88" s="1058"/>
      <c r="I88" s="1058"/>
      <c r="J88" s="1058"/>
    </row>
    <row r="89" spans="2:10" x14ac:dyDescent="0.25">
      <c r="B89" s="1058"/>
      <c r="C89" s="1058"/>
      <c r="D89" s="1058"/>
      <c r="E89" s="1058"/>
      <c r="F89" s="1058"/>
      <c r="G89" s="1058"/>
      <c r="H89" s="1058"/>
      <c r="I89" s="1058"/>
      <c r="J89" s="1058"/>
    </row>
    <row r="90" spans="2:10" x14ac:dyDescent="0.25">
      <c r="B90" s="1058"/>
      <c r="C90" s="1058"/>
      <c r="D90" s="1058"/>
      <c r="E90" s="1058"/>
      <c r="F90" s="1058"/>
      <c r="G90" s="1058"/>
      <c r="H90" s="1058"/>
      <c r="I90" s="1058"/>
      <c r="J90" s="1058"/>
    </row>
    <row r="91" spans="2:10" x14ac:dyDescent="0.25">
      <c r="B91" s="1094"/>
      <c r="C91" s="1058"/>
      <c r="D91" s="1058"/>
      <c r="E91" s="1058"/>
      <c r="F91" s="1058"/>
      <c r="G91" s="1058"/>
      <c r="H91" s="1058"/>
      <c r="I91" s="1058"/>
      <c r="J91" s="1058"/>
    </row>
    <row r="92" spans="2:10" x14ac:dyDescent="0.25">
      <c r="B92" s="1058"/>
      <c r="C92" s="1058"/>
      <c r="D92" s="1058"/>
      <c r="E92" s="1058"/>
      <c r="F92" s="1058"/>
      <c r="G92" s="1058"/>
      <c r="H92" s="1058"/>
      <c r="I92" s="1058"/>
      <c r="J92" s="1058"/>
    </row>
    <row r="93" spans="2:10" x14ac:dyDescent="0.25">
      <c r="B93" s="1058"/>
      <c r="C93" s="1058"/>
      <c r="D93" s="1058"/>
      <c r="E93" s="1058"/>
      <c r="F93" s="1058"/>
      <c r="G93" s="1058"/>
      <c r="H93" s="1058"/>
      <c r="I93" s="1058"/>
      <c r="J93" s="1058"/>
    </row>
    <row r="94" spans="2:10" x14ac:dyDescent="0.25">
      <c r="B94" s="1058"/>
      <c r="C94" s="1058"/>
      <c r="D94" s="1058"/>
      <c r="E94" s="1058"/>
      <c r="F94" s="1058"/>
      <c r="G94" s="1058"/>
      <c r="H94" s="1058"/>
      <c r="I94" s="1058"/>
      <c r="J94" s="1058"/>
    </row>
    <row r="95" spans="2:10" x14ac:dyDescent="0.25">
      <c r="B95" s="1058"/>
      <c r="C95" s="1058"/>
      <c r="D95" s="1058"/>
      <c r="E95" s="1058"/>
      <c r="F95" s="1058"/>
      <c r="G95" s="1058"/>
      <c r="H95" s="1058"/>
      <c r="I95" s="1058"/>
      <c r="J95" s="1058"/>
    </row>
    <row r="96" spans="2:10" x14ac:dyDescent="0.25">
      <c r="B96" s="1058"/>
      <c r="C96" s="1058"/>
      <c r="D96" s="1058"/>
      <c r="E96" s="1058"/>
      <c r="F96" s="1058"/>
      <c r="G96" s="1058"/>
      <c r="H96" s="1058"/>
      <c r="I96" s="1058"/>
      <c r="J96" s="1058"/>
    </row>
    <row r="97" spans="8:10" x14ac:dyDescent="0.25">
      <c r="H97" s="1058"/>
      <c r="I97" s="1058"/>
      <c r="J97" s="1058"/>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78:F78"/>
    <mergeCell ref="B83:F83"/>
    <mergeCell ref="B79:F79"/>
    <mergeCell ref="B80:F80"/>
    <mergeCell ref="B81:F81"/>
    <mergeCell ref="B82:F82"/>
  </mergeCells>
  <pageMargins left="0.23" right="0.34" top="0.41" bottom="0.75" header="0.3" footer="0.3"/>
  <pageSetup paperSize="17" scale="59" orientation="landscape"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3"/>
  <sheetViews>
    <sheetView workbookViewId="0">
      <pane xSplit="1" ySplit="1" topLeftCell="B32" activePane="bottomRight" state="frozen"/>
      <selection pane="topRight" activeCell="B1" sqref="B1"/>
      <selection pane="bottomLeft" activeCell="A2" sqref="A2"/>
      <selection pane="bottomRight" activeCell="B56" sqref="B56"/>
    </sheetView>
  </sheetViews>
  <sheetFormatPr defaultColWidth="56.109375" defaultRowHeight="13.2" x14ac:dyDescent="0.25"/>
  <cols>
    <col min="1" max="1" width="15.44140625" style="3369" customWidth="1"/>
    <col min="3" max="4" width="19.44140625" customWidth="1"/>
    <col min="5" max="5" width="16.5546875" customWidth="1"/>
    <col min="6" max="8" width="21.6640625" customWidth="1"/>
    <col min="9" max="9" width="21.5546875" customWidth="1"/>
    <col min="10" max="10" width="22.88671875" customWidth="1"/>
    <col min="11" max="11" width="20.5546875" customWidth="1"/>
    <col min="12" max="12" width="20.88671875" customWidth="1"/>
    <col min="13" max="13" width="23.109375" customWidth="1"/>
    <col min="14" max="14" width="20.44140625" customWidth="1"/>
  </cols>
  <sheetData>
    <row r="1" spans="2:14" ht="41.25" customHeight="1" x14ac:dyDescent="0.4">
      <c r="B1" s="1143" t="s">
        <v>810</v>
      </c>
      <c r="C1" s="1159"/>
      <c r="D1" s="1159"/>
      <c r="E1" s="1159"/>
      <c r="F1" s="1159"/>
      <c r="G1" s="1168"/>
      <c r="H1" s="1160"/>
      <c r="I1" s="1160"/>
      <c r="J1" s="1134"/>
      <c r="K1" s="1134"/>
      <c r="L1" s="1134"/>
      <c r="M1" s="1134"/>
      <c r="N1" s="1134"/>
    </row>
    <row r="2" spans="2:14" ht="21" x14ac:dyDescent="0.4">
      <c r="B2" s="1143"/>
      <c r="C2" s="1159"/>
      <c r="D2" s="1159"/>
      <c r="E2" s="1159"/>
      <c r="F2" s="1159"/>
      <c r="G2" s="1168"/>
      <c r="H2" s="1160"/>
      <c r="I2" s="1160"/>
      <c r="J2" s="1134"/>
      <c r="K2" s="1134"/>
      <c r="L2" s="1134"/>
      <c r="M2" s="1134"/>
      <c r="N2" s="1134"/>
    </row>
    <row r="3" spans="2:14" ht="39.6" x14ac:dyDescent="0.25">
      <c r="B3" s="3883"/>
      <c r="C3" s="1138" t="s">
        <v>9</v>
      </c>
      <c r="D3" s="1138" t="s">
        <v>10</v>
      </c>
      <c r="E3" s="1138" t="s">
        <v>701</v>
      </c>
      <c r="F3" s="1138" t="s">
        <v>12</v>
      </c>
      <c r="G3" s="1138" t="s">
        <v>13</v>
      </c>
      <c r="H3" s="1138" t="s">
        <v>14</v>
      </c>
      <c r="I3" s="1138" t="s">
        <v>15</v>
      </c>
      <c r="J3" s="1138" t="s">
        <v>16</v>
      </c>
      <c r="K3" s="1138" t="s">
        <v>702</v>
      </c>
      <c r="L3" s="1138" t="s">
        <v>18</v>
      </c>
      <c r="M3" s="1203" t="s">
        <v>136</v>
      </c>
      <c r="N3" s="1139" t="s">
        <v>19</v>
      </c>
    </row>
    <row r="4" spans="2:14" ht="26.4" x14ac:dyDescent="0.25">
      <c r="B4" s="1200" t="s">
        <v>703</v>
      </c>
      <c r="C4" s="1197"/>
      <c r="D4" s="1197"/>
      <c r="E4" s="1197"/>
      <c r="F4" s="1197"/>
      <c r="G4" s="1197"/>
      <c r="H4" s="1197"/>
      <c r="I4" s="1197"/>
      <c r="J4" s="1197"/>
      <c r="K4" s="1198"/>
      <c r="L4" s="1210">
        <v>680000</v>
      </c>
      <c r="M4" s="1205"/>
      <c r="N4" s="1211" t="s">
        <v>21</v>
      </c>
    </row>
    <row r="5" spans="2:14" x14ac:dyDescent="0.25">
      <c r="B5" s="1201" t="s">
        <v>704</v>
      </c>
      <c r="C5" s="1199">
        <v>127047.90000000001</v>
      </c>
      <c r="D5" s="1199">
        <v>5521.5</v>
      </c>
      <c r="E5" s="1199">
        <v>83518.722000000009</v>
      </c>
      <c r="F5" s="1199">
        <v>7500</v>
      </c>
      <c r="G5" s="1199">
        <v>6080</v>
      </c>
      <c r="H5" s="1199">
        <v>27750</v>
      </c>
      <c r="I5" s="1199">
        <v>0</v>
      </c>
      <c r="J5" s="1199">
        <v>0</v>
      </c>
      <c r="K5" s="1199">
        <v>1229800</v>
      </c>
      <c r="L5" s="1202">
        <v>1487218.122</v>
      </c>
      <c r="M5" s="1209">
        <v>286000</v>
      </c>
      <c r="N5" s="1212">
        <v>1.1870854735294116</v>
      </c>
    </row>
    <row r="6" spans="2:14" x14ac:dyDescent="0.25">
      <c r="B6" s="1136">
        <v>2012</v>
      </c>
      <c r="C6" s="1186">
        <f>C15</f>
        <v>143400</v>
      </c>
      <c r="D6" s="1187">
        <f>C16</f>
        <v>17000</v>
      </c>
      <c r="E6" s="1187">
        <f>C35</f>
        <v>101100</v>
      </c>
      <c r="F6" s="1187">
        <f>C33</f>
        <v>4500</v>
      </c>
      <c r="G6" s="1187">
        <f>C23</f>
        <v>7200</v>
      </c>
      <c r="H6" s="1187">
        <f>C45</f>
        <v>14250</v>
      </c>
      <c r="I6" s="1187">
        <f>C31</f>
        <v>0</v>
      </c>
      <c r="J6" s="1187">
        <f>C25</f>
        <v>1900</v>
      </c>
      <c r="K6" s="1188">
        <f>C12</f>
        <v>320000</v>
      </c>
      <c r="L6" s="1188">
        <f>SUM(C6:K6)</f>
        <v>609350</v>
      </c>
      <c r="M6" s="1204">
        <v>100000</v>
      </c>
      <c r="N6" s="1212">
        <v>-0.60111123497996211</v>
      </c>
    </row>
    <row r="7" spans="2:14" ht="13.8" thickBot="1" x14ac:dyDescent="0.3">
      <c r="B7" s="1193">
        <v>2013</v>
      </c>
      <c r="C7" s="1186">
        <f>D15</f>
        <v>143400</v>
      </c>
      <c r="D7" s="1187">
        <f>D16</f>
        <v>17000</v>
      </c>
      <c r="E7" s="1187">
        <f>D35</f>
        <v>101100</v>
      </c>
      <c r="F7" s="1187">
        <f>D33</f>
        <v>4500</v>
      </c>
      <c r="G7" s="1187">
        <f>D23</f>
        <v>7200</v>
      </c>
      <c r="H7" s="1192">
        <f>D45</f>
        <v>14250</v>
      </c>
      <c r="I7" s="1195">
        <f>D31</f>
        <v>0</v>
      </c>
      <c r="J7" s="1195">
        <f>D25</f>
        <v>1900</v>
      </c>
      <c r="K7" s="1196">
        <f>D12</f>
        <v>320000</v>
      </c>
      <c r="L7" s="1188">
        <f>SUM(C7:K7)</f>
        <v>609350</v>
      </c>
      <c r="M7" s="1204">
        <v>100000</v>
      </c>
      <c r="N7" s="1212">
        <v>0</v>
      </c>
    </row>
    <row r="8" spans="2:14" ht="13.8" thickBot="1" x14ac:dyDescent="0.3">
      <c r="B8" s="1156" t="s">
        <v>178</v>
      </c>
      <c r="C8" s="1194">
        <f>SUM(C6:C7)</f>
        <v>286800</v>
      </c>
      <c r="D8" s="1322">
        <f t="shared" ref="D8:L8" si="0">SUM(D6:D7)</f>
        <v>34000</v>
      </c>
      <c r="E8" s="1322">
        <f t="shared" si="0"/>
        <v>202200</v>
      </c>
      <c r="F8" s="1322">
        <f t="shared" si="0"/>
        <v>9000</v>
      </c>
      <c r="G8" s="1322">
        <f t="shared" si="0"/>
        <v>14400</v>
      </c>
      <c r="H8" s="1322">
        <f t="shared" si="0"/>
        <v>28500</v>
      </c>
      <c r="I8" s="1322">
        <f t="shared" si="0"/>
        <v>0</v>
      </c>
      <c r="J8" s="1322">
        <f t="shared" si="0"/>
        <v>3800</v>
      </c>
      <c r="K8" s="1322">
        <f t="shared" si="0"/>
        <v>640000</v>
      </c>
      <c r="L8" s="1322">
        <f t="shared" si="0"/>
        <v>1218700</v>
      </c>
      <c r="M8" s="1208">
        <v>200000</v>
      </c>
      <c r="N8" s="1134"/>
    </row>
    <row r="9" spans="2:14" ht="21" x14ac:dyDescent="0.4">
      <c r="B9" s="1143"/>
      <c r="C9" s="1159"/>
      <c r="D9" s="1159"/>
      <c r="E9" s="1159"/>
      <c r="F9" s="1159"/>
      <c r="G9" s="1168"/>
      <c r="H9" s="1160"/>
      <c r="I9" s="1160"/>
      <c r="J9" s="1134"/>
      <c r="K9" s="1134"/>
      <c r="L9" s="1134"/>
      <c r="M9" s="3253">
        <f>SUM(M6:M7)</f>
        <v>200000</v>
      </c>
      <c r="N9" s="1147"/>
    </row>
    <row r="10" spans="2:14" ht="17.399999999999999" x14ac:dyDescent="0.3">
      <c r="B10" s="1144" t="s">
        <v>811</v>
      </c>
      <c r="C10" s="1168"/>
      <c r="D10" s="1168"/>
      <c r="E10" s="1168"/>
      <c r="F10" s="1158"/>
      <c r="G10" s="1158"/>
      <c r="H10" s="1158"/>
      <c r="I10" s="1158"/>
      <c r="J10" s="1134"/>
      <c r="K10" s="1134"/>
      <c r="L10" s="1134"/>
      <c r="M10" s="1134"/>
      <c r="N10" s="1134"/>
    </row>
    <row r="11" spans="2:14" ht="17.399999999999999" x14ac:dyDescent="0.3">
      <c r="B11" s="1145"/>
      <c r="C11" s="1189">
        <v>2012</v>
      </c>
      <c r="D11" s="1190">
        <v>2013</v>
      </c>
      <c r="E11" s="1191" t="s">
        <v>29</v>
      </c>
      <c r="F11" s="1150"/>
      <c r="G11" s="1150"/>
      <c r="H11" s="1150"/>
      <c r="I11" s="4250" t="s">
        <v>706</v>
      </c>
      <c r="J11" s="4241"/>
      <c r="K11" s="4241"/>
      <c r="L11" s="1147"/>
      <c r="M11" s="1206"/>
      <c r="N11" s="1134"/>
    </row>
    <row r="12" spans="2:14" ht="13.8" x14ac:dyDescent="0.3">
      <c r="B12" s="3903"/>
      <c r="C12" s="3299">
        <v>320000</v>
      </c>
      <c r="D12" s="3296">
        <v>320000</v>
      </c>
      <c r="E12" s="3297">
        <f>SUM(C12:D12)</f>
        <v>640000</v>
      </c>
      <c r="F12" s="3264"/>
      <c r="G12" s="1150"/>
      <c r="H12" s="1150"/>
      <c r="I12" s="4242" t="s">
        <v>755</v>
      </c>
      <c r="J12" s="4243">
        <v>640000</v>
      </c>
      <c r="K12" s="4241"/>
      <c r="L12" s="1134"/>
      <c r="M12" s="1134"/>
      <c r="N12" s="1134"/>
    </row>
    <row r="13" spans="2:14" ht="17.399999999999999" x14ac:dyDescent="0.3">
      <c r="B13" s="3259"/>
      <c r="C13" s="3278"/>
      <c r="D13" s="3254"/>
      <c r="E13" s="3279"/>
      <c r="F13" s="3264"/>
      <c r="G13" s="1150"/>
      <c r="H13" s="1150"/>
      <c r="I13" s="4242" t="s">
        <v>709</v>
      </c>
      <c r="J13" s="4244">
        <v>286800</v>
      </c>
      <c r="K13" s="4241"/>
      <c r="L13" s="1134"/>
      <c r="M13" s="1134"/>
      <c r="N13" s="1134"/>
    </row>
    <row r="14" spans="2:14" x14ac:dyDescent="0.25">
      <c r="B14" s="3258" t="s">
        <v>713</v>
      </c>
      <c r="C14" s="3280"/>
      <c r="D14" s="3254"/>
      <c r="E14" s="3279"/>
      <c r="F14" s="3261"/>
      <c r="G14" s="1148"/>
      <c r="H14" s="1148"/>
      <c r="I14" s="4242" t="s">
        <v>712</v>
      </c>
      <c r="J14" s="4244">
        <v>34000</v>
      </c>
      <c r="K14" s="4238"/>
      <c r="L14" s="1134"/>
      <c r="M14" s="1134"/>
      <c r="N14" s="1134"/>
    </row>
    <row r="15" spans="2:14" x14ac:dyDescent="0.25">
      <c r="B15" s="3263" t="s">
        <v>715</v>
      </c>
      <c r="C15" s="3300">
        <v>143400</v>
      </c>
      <c r="D15" s="3293">
        <v>143400</v>
      </c>
      <c r="E15" s="3291">
        <f>SUM(C15:D15)</f>
        <v>286800</v>
      </c>
      <c r="F15" s="3271">
        <v>1.58</v>
      </c>
      <c r="G15" s="1151" t="s">
        <v>716</v>
      </c>
      <c r="H15" s="1149"/>
      <c r="I15" s="4242" t="s">
        <v>526</v>
      </c>
      <c r="J15" s="4240">
        <v>14400</v>
      </c>
      <c r="K15" s="4238"/>
      <c r="L15" s="1134"/>
      <c r="M15" s="1134"/>
      <c r="N15" s="1134"/>
    </row>
    <row r="16" spans="2:14" x14ac:dyDescent="0.25">
      <c r="B16" s="3263" t="s">
        <v>720</v>
      </c>
      <c r="C16" s="3300">
        <v>17000</v>
      </c>
      <c r="D16" s="3293">
        <v>17000</v>
      </c>
      <c r="E16" s="3291">
        <f>SUM(C16:D16)</f>
        <v>34000</v>
      </c>
      <c r="F16" s="3271">
        <v>0.14000000000000001</v>
      </c>
      <c r="G16" s="1151" t="s">
        <v>716</v>
      </c>
      <c r="H16" s="1149"/>
      <c r="I16" s="4242" t="s">
        <v>714</v>
      </c>
      <c r="J16" s="4240">
        <v>3800</v>
      </c>
      <c r="K16" s="4238"/>
      <c r="L16" s="1134"/>
      <c r="M16" s="1134"/>
      <c r="N16" s="1134"/>
    </row>
    <row r="17" spans="2:13" x14ac:dyDescent="0.25">
      <c r="B17" s="3263"/>
      <c r="C17" s="3281"/>
      <c r="D17" s="3254"/>
      <c r="E17" s="3279"/>
      <c r="F17" s="3262"/>
      <c r="G17" s="1149"/>
      <c r="H17" s="1149"/>
      <c r="I17" s="4242" t="s">
        <v>717</v>
      </c>
      <c r="J17" s="4240">
        <v>0</v>
      </c>
      <c r="K17" s="4238"/>
      <c r="L17" s="1134"/>
      <c r="M17" s="1207"/>
    </row>
    <row r="18" spans="2:13" x14ac:dyDescent="0.25">
      <c r="B18" s="3258" t="s">
        <v>526</v>
      </c>
      <c r="C18" s="3280"/>
      <c r="D18" s="3254"/>
      <c r="E18" s="3279"/>
      <c r="F18" s="3261"/>
      <c r="G18" s="1148"/>
      <c r="H18" s="1149"/>
      <c r="I18" s="4242" t="s">
        <v>719</v>
      </c>
      <c r="J18" s="4240">
        <v>9000</v>
      </c>
      <c r="K18" s="4238"/>
      <c r="L18" s="1134"/>
      <c r="M18" s="1134"/>
    </row>
    <row r="19" spans="2:13" x14ac:dyDescent="0.25">
      <c r="B19" s="3252" t="s">
        <v>721</v>
      </c>
      <c r="C19" s="3286">
        <v>2200</v>
      </c>
      <c r="D19" s="3293">
        <v>2200</v>
      </c>
      <c r="E19" s="3291">
        <f>SUM(C19:D19)</f>
        <v>4400</v>
      </c>
      <c r="F19" s="3272"/>
      <c r="G19" s="1161"/>
      <c r="H19" s="1148"/>
      <c r="I19" s="4242" t="s">
        <v>11</v>
      </c>
      <c r="J19" s="4240">
        <v>202200</v>
      </c>
      <c r="K19" s="4238"/>
      <c r="L19" s="1134"/>
      <c r="M19" s="1134"/>
    </row>
    <row r="20" spans="2:13" x14ac:dyDescent="0.25">
      <c r="B20" s="3263" t="s">
        <v>722</v>
      </c>
      <c r="C20" s="3282">
        <v>3500</v>
      </c>
      <c r="D20" s="3293">
        <v>3500</v>
      </c>
      <c r="E20" s="3474">
        <f t="shared" ref="E20:E22" si="1">SUM(C20:D20)</f>
        <v>7000</v>
      </c>
      <c r="F20" s="3252"/>
      <c r="G20" s="1148"/>
      <c r="H20" s="1161"/>
      <c r="I20" s="4242" t="s">
        <v>14</v>
      </c>
      <c r="J20" s="4249">
        <v>28500</v>
      </c>
      <c r="K20" s="4238"/>
      <c r="L20" s="1134"/>
      <c r="M20" s="1134"/>
    </row>
    <row r="21" spans="2:13" x14ac:dyDescent="0.25">
      <c r="B21" s="3263" t="s">
        <v>725</v>
      </c>
      <c r="C21" s="3286">
        <v>800</v>
      </c>
      <c r="D21" s="3293">
        <v>800</v>
      </c>
      <c r="E21" s="3474">
        <f t="shared" si="1"/>
        <v>1600</v>
      </c>
      <c r="F21" s="3261"/>
      <c r="G21" s="1148"/>
      <c r="H21" s="1148"/>
      <c r="I21" s="4238"/>
      <c r="J21" s="4239">
        <v>1218700</v>
      </c>
      <c r="K21" s="4238"/>
      <c r="L21" s="1134"/>
      <c r="M21" s="1134"/>
    </row>
    <row r="22" spans="2:13" x14ac:dyDescent="0.25">
      <c r="B22" s="3263" t="s">
        <v>728</v>
      </c>
      <c r="C22" s="3286">
        <v>700</v>
      </c>
      <c r="D22" s="3293">
        <v>700</v>
      </c>
      <c r="E22" s="3474">
        <f t="shared" si="1"/>
        <v>1400</v>
      </c>
      <c r="F22" s="3261"/>
      <c r="G22" s="1148"/>
      <c r="H22" s="1162"/>
      <c r="I22" s="4242"/>
      <c r="J22" s="4254"/>
      <c r="K22" s="4238"/>
      <c r="L22" s="1134"/>
      <c r="M22" s="1134"/>
    </row>
    <row r="23" spans="2:13" x14ac:dyDescent="0.25">
      <c r="B23" s="3252"/>
      <c r="C23" s="3283">
        <f>SUM(C19:C22)</f>
        <v>7200</v>
      </c>
      <c r="D23" s="3269">
        <f>SUM(D19:D22)</f>
        <v>7200</v>
      </c>
      <c r="E23" s="3298">
        <f>SUM(E19:E22)</f>
        <v>14400</v>
      </c>
      <c r="F23" s="3261"/>
      <c r="G23" s="1148"/>
      <c r="H23" s="1162"/>
      <c r="I23" s="4247" t="s">
        <v>723</v>
      </c>
      <c r="J23" s="4252">
        <v>200000</v>
      </c>
      <c r="K23" s="4245" t="s">
        <v>804</v>
      </c>
      <c r="L23" s="1134"/>
      <c r="M23" s="1134"/>
    </row>
    <row r="24" spans="2:13" x14ac:dyDescent="0.25">
      <c r="B24" s="3254"/>
      <c r="C24" s="3289"/>
      <c r="D24" s="3254"/>
      <c r="E24" s="3279"/>
      <c r="F24" s="3261"/>
      <c r="G24" s="1148"/>
      <c r="H24" s="1162"/>
      <c r="I24" s="4247" t="s">
        <v>726</v>
      </c>
      <c r="J24" s="4251">
        <v>3.2</v>
      </c>
      <c r="K24" s="4248" t="s">
        <v>805</v>
      </c>
      <c r="L24" s="1134"/>
      <c r="M24" s="1134"/>
    </row>
    <row r="25" spans="2:13" x14ac:dyDescent="0.25">
      <c r="B25" s="3258" t="s">
        <v>714</v>
      </c>
      <c r="C25" s="3283">
        <v>1900</v>
      </c>
      <c r="D25" s="3277">
        <v>1900</v>
      </c>
      <c r="E25" s="3298">
        <f>SUM(C25:D25)</f>
        <v>3800</v>
      </c>
      <c r="F25" s="3261"/>
      <c r="G25" s="1148"/>
      <c r="H25" s="1162"/>
      <c r="I25" s="4247" t="s">
        <v>729</v>
      </c>
      <c r="J25" s="4251">
        <v>6.0934999999999997</v>
      </c>
      <c r="K25" s="4248" t="s">
        <v>805</v>
      </c>
      <c r="L25" s="1134"/>
      <c r="M25" s="1134"/>
    </row>
    <row r="26" spans="2:13" x14ac:dyDescent="0.25">
      <c r="B26" s="3254"/>
      <c r="C26" s="3289"/>
      <c r="D26" s="3254"/>
      <c r="E26" s="3279"/>
      <c r="F26" s="3261"/>
      <c r="G26" s="1148"/>
      <c r="H26" s="1162"/>
      <c r="I26" s="4246" t="s">
        <v>730</v>
      </c>
      <c r="J26" s="4253">
        <v>0.5251497497333224</v>
      </c>
      <c r="K26" s="4248"/>
      <c r="L26" s="1134"/>
      <c r="M26" s="1134"/>
    </row>
    <row r="27" spans="2:13" x14ac:dyDescent="0.25">
      <c r="B27" s="3257" t="s">
        <v>717</v>
      </c>
      <c r="C27" s="3289"/>
      <c r="D27" s="3254"/>
      <c r="E27" s="3279"/>
      <c r="F27" s="3273"/>
      <c r="G27" s="1162"/>
      <c r="H27" s="1162"/>
      <c r="I27" s="1155"/>
      <c r="J27" s="1165"/>
      <c r="K27" s="1157"/>
      <c r="L27" s="1134"/>
      <c r="M27" s="1134"/>
    </row>
    <row r="28" spans="2:13" x14ac:dyDescent="0.25">
      <c r="B28" s="3252" t="s">
        <v>731</v>
      </c>
      <c r="C28" s="3289">
        <v>0</v>
      </c>
      <c r="D28" s="3293">
        <v>0</v>
      </c>
      <c r="E28" s="3291">
        <v>0</v>
      </c>
      <c r="F28" s="3273"/>
      <c r="G28" s="1162"/>
      <c r="H28" s="1162"/>
      <c r="I28" s="1150"/>
      <c r="J28" s="1134"/>
      <c r="K28" s="1134"/>
      <c r="L28" s="1134"/>
      <c r="M28" s="1134"/>
    </row>
    <row r="29" spans="2:13" x14ac:dyDescent="0.25">
      <c r="B29" s="3252" t="s">
        <v>732</v>
      </c>
      <c r="C29" s="3289">
        <v>0</v>
      </c>
      <c r="D29" s="3293">
        <v>0</v>
      </c>
      <c r="E29" s="3291">
        <v>0</v>
      </c>
      <c r="F29" s="3273"/>
      <c r="G29" s="1162"/>
      <c r="H29" s="1162"/>
      <c r="I29" s="1150"/>
      <c r="J29" s="1134"/>
      <c r="K29" s="1134"/>
      <c r="L29" s="1134"/>
      <c r="M29" s="1134"/>
    </row>
    <row r="30" spans="2:13" x14ac:dyDescent="0.25">
      <c r="B30" s="3254" t="s">
        <v>733</v>
      </c>
      <c r="C30" s="3289">
        <v>0</v>
      </c>
      <c r="D30" s="3293">
        <v>0</v>
      </c>
      <c r="E30" s="3291">
        <v>0</v>
      </c>
      <c r="F30" s="3273"/>
      <c r="G30" s="1162"/>
      <c r="H30" s="1162"/>
      <c r="I30" s="1150"/>
      <c r="J30" s="1134"/>
      <c r="K30" s="1134"/>
      <c r="L30" s="1134"/>
      <c r="M30" s="1134"/>
    </row>
    <row r="31" spans="2:13" x14ac:dyDescent="0.25">
      <c r="B31" s="3257" t="s">
        <v>734</v>
      </c>
      <c r="C31" s="3284">
        <v>0</v>
      </c>
      <c r="D31" s="3265">
        <v>0</v>
      </c>
      <c r="E31" s="3298">
        <v>0</v>
      </c>
      <c r="F31" s="3273"/>
      <c r="G31" s="1162"/>
      <c r="H31" s="1162"/>
      <c r="I31" s="1150"/>
      <c r="J31" s="1134"/>
      <c r="K31" s="1134"/>
      <c r="L31" s="1134"/>
      <c r="M31" s="1134"/>
    </row>
    <row r="32" spans="2:13" x14ac:dyDescent="0.25">
      <c r="B32" s="3254"/>
      <c r="C32" s="3289"/>
      <c r="D32" s="3254"/>
      <c r="E32" s="3279"/>
      <c r="F32" s="3273"/>
      <c r="G32" s="1162"/>
      <c r="H32" s="1162"/>
      <c r="I32" s="1150"/>
      <c r="J32" s="1134"/>
      <c r="K32" s="1134"/>
      <c r="L32" s="1134"/>
      <c r="M32" s="1134"/>
    </row>
    <row r="33" spans="2:9" x14ac:dyDescent="0.25">
      <c r="B33" s="3257" t="s">
        <v>719</v>
      </c>
      <c r="C33" s="3284">
        <v>4500</v>
      </c>
      <c r="D33" s="3294">
        <v>4500</v>
      </c>
      <c r="E33" s="3298">
        <f>SUM(C33:D33)</f>
        <v>9000</v>
      </c>
      <c r="F33" s="3273"/>
      <c r="G33" s="1162"/>
      <c r="H33" s="1162"/>
      <c r="I33" s="1150"/>
    </row>
    <row r="34" spans="2:9" x14ac:dyDescent="0.25">
      <c r="B34" s="3254"/>
      <c r="C34" s="3289"/>
      <c r="D34" s="3254"/>
      <c r="E34" s="3279"/>
      <c r="F34" s="3273"/>
      <c r="G34" s="1163"/>
      <c r="H34" s="1162"/>
      <c r="I34" s="1150"/>
    </row>
    <row r="35" spans="2:9" x14ac:dyDescent="0.25">
      <c r="B35" s="3257" t="s">
        <v>11</v>
      </c>
      <c r="C35" s="3417">
        <f>ROUND(SUM(C15:C16)*0.63, -2)</f>
        <v>101100</v>
      </c>
      <c r="D35" s="3395">
        <f>ROUND(SUM(D15:D16)*0.63, -2)</f>
        <v>101100</v>
      </c>
      <c r="E35" s="3298">
        <f>SUM(C35:D35)</f>
        <v>202200</v>
      </c>
      <c r="F35" s="3273"/>
      <c r="G35" s="1163"/>
      <c r="H35" s="1162"/>
      <c r="I35" s="1150"/>
    </row>
    <row r="36" spans="2:9" x14ac:dyDescent="0.25">
      <c r="B36" s="3254"/>
      <c r="C36" s="3289"/>
      <c r="D36" s="3274"/>
      <c r="E36" s="3290"/>
      <c r="F36" s="3289"/>
      <c r="G36" s="1135"/>
      <c r="H36" s="1162"/>
      <c r="I36" s="1150"/>
    </row>
    <row r="37" spans="2:9" x14ac:dyDescent="0.25">
      <c r="B37" s="3255" t="s">
        <v>14</v>
      </c>
      <c r="C37" s="3289"/>
      <c r="D37" s="3274"/>
      <c r="E37" s="3290"/>
      <c r="F37" s="3273"/>
      <c r="G37" s="1135"/>
      <c r="H37" s="1162"/>
      <c r="I37" s="1146"/>
    </row>
    <row r="38" spans="2:9" x14ac:dyDescent="0.25">
      <c r="B38" s="3268" t="s">
        <v>812</v>
      </c>
      <c r="C38" s="3286"/>
      <c r="D38" s="3275"/>
      <c r="E38" s="3287">
        <v>0</v>
      </c>
      <c r="F38" s="3273"/>
      <c r="G38" s="1135"/>
      <c r="H38" s="1162"/>
      <c r="I38" s="1146"/>
    </row>
    <row r="39" spans="2:9" x14ac:dyDescent="0.25">
      <c r="B39" s="3252" t="s">
        <v>756</v>
      </c>
      <c r="C39" s="3286">
        <v>6000</v>
      </c>
      <c r="D39" s="3275">
        <v>6000</v>
      </c>
      <c r="E39" s="3287">
        <f>SUM(C39:D39)</f>
        <v>12000</v>
      </c>
      <c r="F39" s="3273"/>
      <c r="G39" s="1135"/>
      <c r="H39" s="1162"/>
      <c r="I39" s="1146"/>
    </row>
    <row r="40" spans="2:9" x14ac:dyDescent="0.25">
      <c r="B40" s="3268" t="s">
        <v>757</v>
      </c>
      <c r="C40" s="3286">
        <v>8250</v>
      </c>
      <c r="D40" s="3275">
        <v>8250</v>
      </c>
      <c r="E40" s="3473">
        <f t="shared" ref="E40:E44" si="2">SUM(C40:D40)</f>
        <v>16500</v>
      </c>
      <c r="F40" s="3273"/>
      <c r="G40" s="1135"/>
      <c r="H40" s="1162"/>
      <c r="I40" s="1146"/>
    </row>
    <row r="41" spans="2:9" x14ac:dyDescent="0.25">
      <c r="B41" s="3268" t="s">
        <v>758</v>
      </c>
      <c r="C41" s="3286">
        <v>0</v>
      </c>
      <c r="D41" s="3275">
        <v>0</v>
      </c>
      <c r="E41" s="3473">
        <f t="shared" si="2"/>
        <v>0</v>
      </c>
      <c r="F41" s="3273"/>
      <c r="G41" s="1135"/>
      <c r="H41" s="1162"/>
      <c r="I41" s="1146"/>
    </row>
    <row r="42" spans="2:9" x14ac:dyDescent="0.25">
      <c r="B42" s="3268" t="s">
        <v>759</v>
      </c>
      <c r="C42" s="3286">
        <v>0</v>
      </c>
      <c r="D42" s="3275">
        <v>0</v>
      </c>
      <c r="E42" s="3473">
        <f t="shared" si="2"/>
        <v>0</v>
      </c>
      <c r="F42" s="3273"/>
      <c r="G42" s="1163"/>
      <c r="H42" s="1162"/>
      <c r="I42" s="1146"/>
    </row>
    <row r="43" spans="2:9" x14ac:dyDescent="0.25">
      <c r="B43" s="3268" t="s">
        <v>769</v>
      </c>
      <c r="C43" s="3286">
        <v>0</v>
      </c>
      <c r="D43" s="3275">
        <v>0</v>
      </c>
      <c r="E43" s="3473">
        <f t="shared" si="2"/>
        <v>0</v>
      </c>
      <c r="F43" s="3273"/>
      <c r="G43" s="1163"/>
      <c r="H43" s="1162"/>
      <c r="I43" s="1146"/>
    </row>
    <row r="44" spans="2:9" x14ac:dyDescent="0.25">
      <c r="B44" s="3268" t="s">
        <v>770</v>
      </c>
      <c r="C44" s="3286">
        <v>0</v>
      </c>
      <c r="D44" s="3275">
        <v>0</v>
      </c>
      <c r="E44" s="3473">
        <f t="shared" si="2"/>
        <v>0</v>
      </c>
      <c r="F44" s="3252"/>
      <c r="G44" s="1163"/>
      <c r="H44" s="1162"/>
      <c r="I44" s="1146"/>
    </row>
    <row r="45" spans="2:9" x14ac:dyDescent="0.25">
      <c r="B45" s="3266" t="s">
        <v>743</v>
      </c>
      <c r="C45" s="3283">
        <f>SUM(C39:C44)</f>
        <v>14250</v>
      </c>
      <c r="D45" s="3283">
        <f>SUM(D39:D44)</f>
        <v>14250</v>
      </c>
      <c r="E45" s="3288">
        <f>SUM(E38:E44)</f>
        <v>28500</v>
      </c>
      <c r="F45" s="3273"/>
      <c r="G45" s="1163"/>
      <c r="H45" s="1162"/>
      <c r="I45" s="1146"/>
    </row>
    <row r="46" spans="2:9" ht="13.8" thickBot="1" x14ac:dyDescent="0.3">
      <c r="B46" s="3260"/>
      <c r="C46" s="3286"/>
      <c r="D46" s="3275"/>
      <c r="E46" s="3287"/>
      <c r="F46" s="3273"/>
      <c r="G46" s="1163"/>
      <c r="H46" s="1162"/>
      <c r="I46" s="1146"/>
    </row>
    <row r="47" spans="2:9" ht="13.8" thickBot="1" x14ac:dyDescent="0.3">
      <c r="B47" s="3266" t="s">
        <v>744</v>
      </c>
      <c r="C47" s="3285">
        <f>C12+C15+C16+C23++C25+C31+C33+C35+C45</f>
        <v>609350</v>
      </c>
      <c r="D47" s="3339">
        <f t="shared" ref="D47:E47" si="3">D12+D15+D16+D23++D25+D31+D33+D35+D45</f>
        <v>609350</v>
      </c>
      <c r="E47" s="3339">
        <f t="shared" si="3"/>
        <v>1218700</v>
      </c>
      <c r="F47" s="3273"/>
      <c r="G47" s="1162"/>
      <c r="H47" s="1162"/>
      <c r="I47" s="1146"/>
    </row>
    <row r="48" spans="2:9" x14ac:dyDescent="0.25">
      <c r="B48" s="3256"/>
      <c r="C48" s="3275"/>
      <c r="D48" s="3275"/>
      <c r="E48" s="3275"/>
      <c r="F48" s="3273"/>
      <c r="G48" s="1162"/>
      <c r="H48" s="1162"/>
      <c r="I48" s="1146"/>
    </row>
    <row r="49" spans="2:10" x14ac:dyDescent="0.25">
      <c r="B49" s="3252"/>
      <c r="C49" s="3292">
        <v>2012</v>
      </c>
      <c r="D49" s="3292">
        <v>2013</v>
      </c>
      <c r="E49" s="3292" t="s">
        <v>29</v>
      </c>
      <c r="F49" s="3252"/>
      <c r="G49" s="1164"/>
      <c r="H49" s="1162"/>
      <c r="I49" s="1146"/>
      <c r="J49" s="1134"/>
    </row>
    <row r="50" spans="2:10" ht="13.8" x14ac:dyDescent="0.3">
      <c r="B50" s="3904"/>
      <c r="C50" s="3270">
        <v>100000</v>
      </c>
      <c r="D50" s="3270">
        <v>100000</v>
      </c>
      <c r="E50" s="3270">
        <v>200000</v>
      </c>
      <c r="F50" s="3269" t="s">
        <v>617</v>
      </c>
      <c r="G50" s="1153"/>
      <c r="H50" s="1164"/>
      <c r="I50" s="1152"/>
      <c r="J50" s="1137"/>
    </row>
    <row r="51" spans="2:10" x14ac:dyDescent="0.25">
      <c r="B51" s="3252"/>
      <c r="C51" s="3275"/>
      <c r="D51" s="3275"/>
      <c r="E51" s="3275"/>
      <c r="F51" s="3267"/>
      <c r="G51" s="1153"/>
      <c r="H51" s="1153"/>
      <c r="I51" s="1153"/>
      <c r="J51" s="1137"/>
    </row>
    <row r="52" spans="2:10" x14ac:dyDescent="0.25">
      <c r="B52" s="3276" t="s">
        <v>751</v>
      </c>
      <c r="C52" s="3295">
        <v>0.5</v>
      </c>
      <c r="D52" s="3295">
        <v>0.5</v>
      </c>
      <c r="E52" s="3267"/>
      <c r="F52" s="3267"/>
      <c r="G52" s="1153"/>
      <c r="H52" s="1153"/>
      <c r="I52" s="1153"/>
      <c r="J52" s="1137"/>
    </row>
    <row r="53" spans="2:10" x14ac:dyDescent="0.25">
      <c r="B53" s="1134"/>
      <c r="C53" s="1153"/>
      <c r="D53" s="1153"/>
      <c r="E53" s="1153"/>
      <c r="F53" s="1164"/>
      <c r="G53" s="1153"/>
      <c r="H53" s="1153"/>
      <c r="I53" s="1153"/>
      <c r="J53" s="1137"/>
    </row>
    <row r="54" spans="2:10" ht="21" x14ac:dyDescent="0.4">
      <c r="B54" s="1185"/>
      <c r="C54" s="1154"/>
      <c r="D54" s="1154"/>
      <c r="E54" s="1154"/>
      <c r="F54" s="1164"/>
      <c r="G54" s="1153"/>
      <c r="H54" s="1153"/>
      <c r="I54" s="1153"/>
      <c r="J54" s="1137"/>
    </row>
    <row r="55" spans="2:10" x14ac:dyDescent="0.25">
      <c r="B55" s="1137"/>
      <c r="C55" s="1137"/>
      <c r="D55" s="1137"/>
      <c r="E55" s="1137"/>
      <c r="F55" s="1164"/>
      <c r="G55" s="1153"/>
      <c r="H55" s="1153"/>
      <c r="I55" s="1153"/>
      <c r="J55" s="1137"/>
    </row>
    <row r="56" spans="2:10" ht="21" x14ac:dyDescent="0.4">
      <c r="B56" s="1143"/>
      <c r="C56" s="1137"/>
      <c r="D56" s="1137"/>
      <c r="E56" s="1137"/>
      <c r="F56" s="1164"/>
      <c r="G56" s="1164"/>
      <c r="H56" s="1153"/>
      <c r="I56" s="1153"/>
      <c r="J56" s="1137"/>
    </row>
    <row r="57" spans="2:10" x14ac:dyDescent="0.25">
      <c r="B57" s="1137"/>
      <c r="C57" s="1137"/>
      <c r="D57" s="1137"/>
      <c r="E57" s="1137"/>
      <c r="F57" s="1137"/>
      <c r="G57" s="1142"/>
      <c r="H57" s="1164"/>
      <c r="I57" s="1153"/>
      <c r="J57" s="1137"/>
    </row>
    <row r="58" spans="2:10" x14ac:dyDescent="0.25">
      <c r="B58" s="1137"/>
      <c r="C58" s="1140"/>
      <c r="D58" s="1140"/>
      <c r="E58" s="1140"/>
      <c r="F58" s="1137"/>
      <c r="G58" s="1140"/>
      <c r="H58" s="1164"/>
      <c r="I58" s="1152"/>
      <c r="J58" s="1137"/>
    </row>
    <row r="59" spans="2:10" x14ac:dyDescent="0.25">
      <c r="B59" s="1141"/>
      <c r="C59" s="1176"/>
      <c r="D59" s="1176"/>
      <c r="E59" s="1176"/>
      <c r="F59" s="1137"/>
      <c r="G59" s="1177"/>
      <c r="H59" s="1164"/>
      <c r="I59" s="1152"/>
      <c r="J59" s="1137"/>
    </row>
    <row r="60" spans="2:10" x14ac:dyDescent="0.25">
      <c r="B60" s="1141"/>
      <c r="C60" s="1176"/>
      <c r="D60" s="1176"/>
      <c r="E60" s="1176"/>
      <c r="F60" s="1137"/>
      <c r="G60" s="1177"/>
      <c r="H60" s="1164"/>
      <c r="I60" s="1152"/>
      <c r="J60" s="1137"/>
    </row>
    <row r="61" spans="2:10" x14ac:dyDescent="0.25">
      <c r="B61" s="1141"/>
      <c r="C61" s="1176"/>
      <c r="D61" s="1176"/>
      <c r="E61" s="1176"/>
      <c r="F61" s="1137"/>
      <c r="G61" s="1177"/>
      <c r="H61" s="1164"/>
      <c r="I61" s="1152"/>
      <c r="J61" s="1137"/>
    </row>
    <row r="62" spans="2:10" x14ac:dyDescent="0.25">
      <c r="B62" s="1141"/>
      <c r="C62" s="1176"/>
      <c r="D62" s="1176"/>
      <c r="E62" s="1176"/>
      <c r="F62" s="1137"/>
      <c r="G62" s="1177"/>
      <c r="H62" s="1164"/>
      <c r="I62" s="1152"/>
      <c r="J62" s="1137"/>
    </row>
    <row r="63" spans="2:10" x14ac:dyDescent="0.25">
      <c r="B63" s="1141"/>
      <c r="C63" s="1176"/>
      <c r="D63" s="1176"/>
      <c r="E63" s="1176"/>
      <c r="F63" s="1137"/>
      <c r="G63" s="1177"/>
      <c r="H63" s="1164"/>
      <c r="I63" s="1152"/>
      <c r="J63" s="1137"/>
    </row>
    <row r="64" spans="2:10" x14ac:dyDescent="0.25">
      <c r="B64" s="1141"/>
      <c r="C64" s="1176"/>
      <c r="D64" s="1176"/>
      <c r="E64" s="1176"/>
      <c r="F64" s="1137"/>
      <c r="G64" s="1177"/>
      <c r="H64" s="1164"/>
      <c r="I64" s="1152"/>
      <c r="J64" s="1137"/>
    </row>
    <row r="65" spans="2:10" x14ac:dyDescent="0.25">
      <c r="B65" s="1137"/>
      <c r="C65" s="1169"/>
      <c r="D65" s="1169"/>
      <c r="E65" s="1169"/>
      <c r="F65" s="1137"/>
      <c r="G65" s="1178"/>
      <c r="H65" s="1164"/>
      <c r="I65" s="1152"/>
      <c r="J65" s="1137"/>
    </row>
    <row r="66" spans="2:10" x14ac:dyDescent="0.25">
      <c r="B66" s="1137"/>
      <c r="C66" s="1137"/>
      <c r="D66" s="1137"/>
      <c r="E66" s="1137"/>
      <c r="F66" s="1164"/>
      <c r="G66" s="1164"/>
      <c r="H66" s="1164"/>
      <c r="I66" s="1152"/>
      <c r="J66" s="1137"/>
    </row>
    <row r="67" spans="2:10" ht="17.399999999999999" x14ac:dyDescent="0.25">
      <c r="B67" s="1175"/>
      <c r="C67" s="1137"/>
      <c r="D67" s="1137"/>
      <c r="E67" s="1137"/>
      <c r="F67" s="1164"/>
      <c r="G67" s="1179"/>
      <c r="H67" s="1164"/>
      <c r="I67" s="1152"/>
      <c r="J67" s="1137"/>
    </row>
    <row r="68" spans="2:10" x14ac:dyDescent="0.25">
      <c r="B68" s="1137"/>
      <c r="C68" s="1137"/>
      <c r="D68" s="1137"/>
      <c r="E68" s="1137"/>
      <c r="F68" s="1164"/>
      <c r="G68" s="1167"/>
      <c r="H68" s="1164"/>
      <c r="I68" s="1152"/>
      <c r="J68" s="1137"/>
    </row>
    <row r="69" spans="2:10" ht="18" x14ac:dyDescent="0.25">
      <c r="B69" s="1180"/>
      <c r="C69" s="1179"/>
      <c r="D69" s="1179"/>
      <c r="E69" s="1179"/>
      <c r="F69" s="1179"/>
      <c r="G69" s="1166"/>
      <c r="H69" s="1164"/>
      <c r="I69" s="1152"/>
      <c r="J69" s="1137"/>
    </row>
    <row r="70" spans="2:10" ht="13.8" x14ac:dyDescent="0.25">
      <c r="B70" s="1181"/>
      <c r="C70" s="1182"/>
      <c r="D70" s="1182"/>
      <c r="E70" s="1182"/>
      <c r="F70" s="1171"/>
      <c r="G70" s="1172"/>
      <c r="H70" s="1164"/>
      <c r="I70" s="1152"/>
      <c r="J70" s="1137"/>
    </row>
    <row r="71" spans="2:10" ht="13.8" x14ac:dyDescent="0.25">
      <c r="B71" s="1181"/>
      <c r="C71" s="1182"/>
      <c r="D71" s="1182"/>
      <c r="E71" s="1182"/>
      <c r="F71" s="1171"/>
      <c r="G71" s="1173"/>
      <c r="H71" s="1164"/>
      <c r="I71" s="1152"/>
      <c r="J71" s="1137"/>
    </row>
    <row r="72" spans="2:10" ht="13.8" x14ac:dyDescent="0.25">
      <c r="B72" s="1181"/>
      <c r="C72" s="1182"/>
      <c r="D72" s="1182"/>
      <c r="E72" s="1182"/>
      <c r="F72" s="1171"/>
      <c r="G72" s="1174"/>
      <c r="H72" s="1164"/>
      <c r="I72" s="1152"/>
      <c r="J72" s="1137"/>
    </row>
    <row r="73" spans="2:10" ht="13.8" x14ac:dyDescent="0.25">
      <c r="B73" s="1181"/>
      <c r="C73" s="1182"/>
      <c r="D73" s="1182"/>
      <c r="E73" s="1182"/>
      <c r="F73" s="1171"/>
      <c r="G73" s="1174"/>
      <c r="H73" s="1164"/>
      <c r="I73" s="1152"/>
      <c r="J73" s="1137"/>
    </row>
    <row r="74" spans="2:10" ht="13.8" x14ac:dyDescent="0.25">
      <c r="B74" s="1181"/>
      <c r="C74" s="1182"/>
      <c r="D74" s="1182"/>
      <c r="E74" s="1182"/>
      <c r="F74" s="1171"/>
      <c r="G74" s="1153"/>
      <c r="H74" s="1164"/>
      <c r="I74" s="1152"/>
      <c r="J74" s="1137"/>
    </row>
    <row r="75" spans="2:10" ht="17.399999999999999" x14ac:dyDescent="0.25">
      <c r="B75" s="1181"/>
      <c r="C75" s="1182"/>
      <c r="D75" s="1182"/>
      <c r="E75" s="1182"/>
      <c r="F75" s="1171"/>
      <c r="G75" s="1179"/>
      <c r="H75" s="1164"/>
      <c r="I75" s="1152"/>
      <c r="J75" s="1137"/>
    </row>
    <row r="76" spans="2:10" x14ac:dyDescent="0.25">
      <c r="B76" s="1137"/>
      <c r="C76" s="1137"/>
      <c r="D76" s="1137"/>
      <c r="E76" s="1137"/>
      <c r="F76" s="1153"/>
      <c r="G76" s="1167"/>
      <c r="H76" s="1164"/>
      <c r="I76" s="1152"/>
      <c r="J76" s="1137"/>
    </row>
    <row r="77" spans="2:10" ht="17.399999999999999" x14ac:dyDescent="0.25">
      <c r="B77" s="1183"/>
      <c r="C77" s="1179"/>
      <c r="D77" s="1179"/>
      <c r="E77" s="1179"/>
      <c r="F77" s="1179"/>
      <c r="G77" s="1166"/>
      <c r="H77" s="1153"/>
      <c r="I77" s="1153"/>
      <c r="J77" s="1137"/>
    </row>
    <row r="78" spans="2:10" x14ac:dyDescent="0.25">
      <c r="B78" s="4777"/>
      <c r="C78" s="4778"/>
      <c r="D78" s="4778"/>
      <c r="E78" s="4778"/>
      <c r="F78" s="4778"/>
      <c r="G78" s="1172"/>
      <c r="H78" s="1153"/>
      <c r="I78" s="1153"/>
      <c r="J78" s="1137"/>
    </row>
    <row r="79" spans="2:10" x14ac:dyDescent="0.25">
      <c r="B79" s="4777"/>
      <c r="C79" s="4778"/>
      <c r="D79" s="4778"/>
      <c r="E79" s="4778"/>
      <c r="F79" s="4778"/>
      <c r="G79" s="1184"/>
      <c r="H79" s="1153"/>
      <c r="I79" s="1153"/>
      <c r="J79" s="1137"/>
    </row>
    <row r="80" spans="2:10" x14ac:dyDescent="0.25">
      <c r="B80" s="4777"/>
      <c r="C80" s="4778"/>
      <c r="D80" s="4778"/>
      <c r="E80" s="4778"/>
      <c r="F80" s="4778"/>
      <c r="G80" s="1184"/>
      <c r="H80" s="1153"/>
      <c r="I80" s="1153"/>
      <c r="J80" s="1137"/>
    </row>
    <row r="81" spans="2:10" x14ac:dyDescent="0.25">
      <c r="B81" s="4777"/>
      <c r="C81" s="4778"/>
      <c r="D81" s="4778"/>
      <c r="E81" s="4778"/>
      <c r="F81" s="4778"/>
      <c r="G81" s="1184"/>
      <c r="H81" s="1153"/>
      <c r="I81" s="1153"/>
      <c r="J81" s="1137"/>
    </row>
    <row r="82" spans="2:10" x14ac:dyDescent="0.25">
      <c r="B82" s="4777"/>
      <c r="C82" s="4778"/>
      <c r="D82" s="4778"/>
      <c r="E82" s="4778"/>
      <c r="F82" s="4778"/>
      <c r="G82" s="1137"/>
      <c r="H82" s="1153"/>
      <c r="I82" s="1153"/>
      <c r="J82" s="1137"/>
    </row>
    <row r="83" spans="2:10" ht="15.6" x14ac:dyDescent="0.3">
      <c r="B83" s="4777"/>
      <c r="C83" s="4778"/>
      <c r="D83" s="4778"/>
      <c r="E83" s="4778"/>
      <c r="F83" s="4778"/>
      <c r="G83" s="1166"/>
      <c r="H83" s="1154"/>
      <c r="I83" s="1154"/>
      <c r="J83" s="1137"/>
    </row>
    <row r="84" spans="2:10" x14ac:dyDescent="0.25">
      <c r="B84" s="1137"/>
      <c r="C84" s="1137"/>
      <c r="D84" s="1137"/>
      <c r="E84" s="1137"/>
      <c r="F84" s="1137"/>
      <c r="G84" s="1167"/>
      <c r="H84" s="1137"/>
      <c r="I84" s="1137"/>
      <c r="J84" s="1137"/>
    </row>
    <row r="85" spans="2:10" x14ac:dyDescent="0.25">
      <c r="B85" s="1137"/>
      <c r="C85" s="1170"/>
      <c r="D85" s="1170"/>
      <c r="E85" s="1170"/>
      <c r="F85" s="1137"/>
      <c r="G85" s="1166"/>
      <c r="H85" s="1137"/>
      <c r="I85" s="1137"/>
      <c r="J85" s="1137"/>
    </row>
    <row r="86" spans="2:10" x14ac:dyDescent="0.25">
      <c r="B86" s="1137"/>
      <c r="C86" s="1170"/>
      <c r="D86" s="1170"/>
      <c r="E86" s="1170"/>
      <c r="F86" s="1137"/>
      <c r="G86" s="1137"/>
      <c r="H86" s="1137"/>
      <c r="I86" s="1137"/>
      <c r="J86" s="1137"/>
    </row>
    <row r="87" spans="2:10" x14ac:dyDescent="0.25">
      <c r="B87" s="1137"/>
      <c r="C87" s="1137"/>
      <c r="D87" s="1137"/>
      <c r="E87" s="1137"/>
      <c r="F87" s="1137"/>
      <c r="G87" s="1137"/>
      <c r="H87" s="1137"/>
      <c r="I87" s="1137"/>
      <c r="J87" s="1137"/>
    </row>
    <row r="88" spans="2:10" x14ac:dyDescent="0.25">
      <c r="B88" s="1137"/>
      <c r="C88" s="1137"/>
      <c r="D88" s="1137"/>
      <c r="E88" s="1137"/>
      <c r="F88" s="1137"/>
      <c r="G88" s="1137"/>
      <c r="H88" s="1137"/>
      <c r="I88" s="1137"/>
      <c r="J88" s="1137"/>
    </row>
    <row r="89" spans="2:10" x14ac:dyDescent="0.25">
      <c r="B89" s="1137"/>
      <c r="C89" s="1137"/>
      <c r="D89" s="1137"/>
      <c r="E89" s="1137"/>
      <c r="F89" s="1137"/>
      <c r="G89" s="1137"/>
      <c r="H89" s="1137"/>
      <c r="I89" s="1137"/>
      <c r="J89" s="1137"/>
    </row>
    <row r="90" spans="2:10" x14ac:dyDescent="0.25">
      <c r="B90" s="1137"/>
      <c r="C90" s="1137"/>
      <c r="D90" s="1137"/>
      <c r="E90" s="1137"/>
      <c r="F90" s="1137"/>
      <c r="G90" s="1137"/>
      <c r="H90" s="1137"/>
      <c r="I90" s="1137"/>
      <c r="J90" s="1137"/>
    </row>
    <row r="91" spans="2:10" x14ac:dyDescent="0.25">
      <c r="B91" s="1175"/>
      <c r="C91" s="1137"/>
      <c r="D91" s="1137"/>
      <c r="E91" s="1137"/>
      <c r="F91" s="1137"/>
      <c r="G91" s="1137"/>
      <c r="H91" s="1137"/>
      <c r="I91" s="1137"/>
      <c r="J91" s="1137"/>
    </row>
    <row r="92" spans="2:10" x14ac:dyDescent="0.25">
      <c r="B92" s="1137"/>
      <c r="C92" s="1137"/>
      <c r="D92" s="1137"/>
      <c r="E92" s="1137"/>
      <c r="F92" s="1137"/>
      <c r="G92" s="1137"/>
      <c r="H92" s="1137"/>
      <c r="I92" s="1137"/>
      <c r="J92" s="1137"/>
    </row>
    <row r="93" spans="2:10" x14ac:dyDescent="0.25">
      <c r="B93" s="1137"/>
      <c r="C93" s="1137"/>
      <c r="D93" s="1137"/>
      <c r="E93" s="1137"/>
      <c r="F93" s="1137"/>
      <c r="G93" s="1137"/>
      <c r="H93" s="1137"/>
      <c r="I93" s="1137"/>
      <c r="J93" s="1137"/>
    </row>
    <row r="94" spans="2:10" x14ac:dyDescent="0.25">
      <c r="B94" s="1137"/>
      <c r="C94" s="1137"/>
      <c r="D94" s="1137"/>
      <c r="E94" s="1137"/>
      <c r="F94" s="1137"/>
      <c r="G94" s="1137"/>
      <c r="H94" s="1137"/>
      <c r="I94" s="1137"/>
      <c r="J94" s="1137"/>
    </row>
    <row r="95" spans="2:10" x14ac:dyDescent="0.25">
      <c r="B95" s="1137"/>
      <c r="C95" s="1137"/>
      <c r="D95" s="1137"/>
      <c r="E95" s="1137"/>
      <c r="F95" s="1137"/>
      <c r="G95" s="1137"/>
      <c r="H95" s="1137"/>
      <c r="I95" s="1137"/>
      <c r="J95" s="1137"/>
    </row>
    <row r="96" spans="2:10" x14ac:dyDescent="0.25">
      <c r="B96" s="1137"/>
      <c r="C96" s="1137"/>
      <c r="D96" s="1137"/>
      <c r="E96" s="1137"/>
      <c r="F96" s="1137"/>
      <c r="G96" s="1137"/>
      <c r="H96" s="1137"/>
      <c r="I96" s="1137"/>
      <c r="J96" s="1137"/>
    </row>
    <row r="97" spans="2:10" x14ac:dyDescent="0.25">
      <c r="B97" s="1137"/>
      <c r="C97" s="1137"/>
      <c r="D97" s="1137"/>
      <c r="E97" s="1137"/>
      <c r="F97" s="1137"/>
      <c r="G97" s="1137"/>
      <c r="H97" s="1137"/>
      <c r="I97" s="1137"/>
      <c r="J97" s="1137"/>
    </row>
    <row r="98" spans="2:10" x14ac:dyDescent="0.25">
      <c r="B98" s="1137"/>
      <c r="C98" s="1137"/>
      <c r="D98" s="1137"/>
      <c r="E98" s="1137"/>
      <c r="F98" s="1137"/>
      <c r="G98" s="1137"/>
      <c r="H98" s="1137"/>
      <c r="I98" s="1137"/>
      <c r="J98" s="1137"/>
    </row>
    <row r="99" spans="2:10" x14ac:dyDescent="0.25">
      <c r="B99" s="1137"/>
      <c r="C99" s="1137"/>
      <c r="D99" s="1137"/>
      <c r="E99" s="1137"/>
      <c r="F99" s="1137"/>
      <c r="G99" s="1137"/>
      <c r="H99" s="1137"/>
      <c r="I99" s="1137"/>
      <c r="J99" s="1137"/>
    </row>
    <row r="100" spans="2:10" x14ac:dyDescent="0.25">
      <c r="B100" s="1137"/>
      <c r="C100" s="1137"/>
      <c r="D100" s="1137"/>
      <c r="E100" s="1137"/>
      <c r="F100" s="1137"/>
      <c r="G100" s="1137"/>
      <c r="H100" s="1137"/>
      <c r="I100" s="1137"/>
      <c r="J100" s="1137"/>
    </row>
    <row r="101" spans="2:10" x14ac:dyDescent="0.25">
      <c r="B101" s="1137"/>
      <c r="C101" s="1137"/>
      <c r="D101" s="1137"/>
      <c r="E101" s="1137"/>
      <c r="F101" s="1137"/>
      <c r="G101" s="1137"/>
      <c r="H101" s="1137"/>
      <c r="I101" s="1137"/>
      <c r="J101" s="1137"/>
    </row>
    <row r="102" spans="2:10" x14ac:dyDescent="0.25">
      <c r="B102" s="1137"/>
      <c r="C102" s="1137"/>
      <c r="D102" s="1137"/>
      <c r="E102" s="1137"/>
      <c r="F102" s="1137"/>
      <c r="G102" s="1137"/>
      <c r="H102" s="1137"/>
      <c r="I102" s="1137"/>
      <c r="J102" s="1137"/>
    </row>
    <row r="103" spans="2:10" x14ac:dyDescent="0.25">
      <c r="B103" s="1137"/>
      <c r="C103" s="1137"/>
      <c r="D103" s="1137"/>
      <c r="E103" s="1137"/>
      <c r="F103" s="1137"/>
      <c r="G103" s="1137"/>
      <c r="H103" s="1137"/>
      <c r="I103" s="1137"/>
      <c r="J103" s="1137"/>
    </row>
    <row r="104" spans="2:10" x14ac:dyDescent="0.25">
      <c r="B104" s="1137"/>
      <c r="C104" s="1137"/>
      <c r="D104" s="1137"/>
      <c r="E104" s="1137"/>
      <c r="F104" s="1137"/>
      <c r="G104" s="1137"/>
      <c r="H104" s="1137"/>
      <c r="I104" s="1137"/>
      <c r="J104" s="1137"/>
    </row>
    <row r="105" spans="2:10" x14ac:dyDescent="0.25">
      <c r="B105" s="1137"/>
      <c r="C105" s="1137"/>
      <c r="D105" s="1137"/>
      <c r="E105" s="1137"/>
      <c r="F105" s="1137"/>
      <c r="G105" s="1137"/>
      <c r="H105" s="1137"/>
      <c r="I105" s="1137"/>
      <c r="J105" s="1137"/>
    </row>
    <row r="106" spans="2:10" x14ac:dyDescent="0.25">
      <c r="B106" s="1137"/>
      <c r="C106" s="1137"/>
      <c r="D106" s="1137"/>
      <c r="E106" s="1137"/>
      <c r="F106" s="1137"/>
      <c r="G106" s="1137"/>
      <c r="H106" s="1137"/>
      <c r="I106" s="1137"/>
      <c r="J106" s="1137"/>
    </row>
    <row r="107" spans="2:10" x14ac:dyDescent="0.25">
      <c r="B107" s="1137"/>
      <c r="C107" s="1137"/>
      <c r="D107" s="1137"/>
      <c r="E107" s="1137"/>
      <c r="F107" s="1137"/>
      <c r="G107" s="1137"/>
      <c r="H107" s="1137"/>
      <c r="I107" s="1137"/>
      <c r="J107" s="1137"/>
    </row>
    <row r="108" spans="2:10" x14ac:dyDescent="0.25">
      <c r="B108" s="1137"/>
      <c r="C108" s="1137"/>
      <c r="D108" s="1137"/>
      <c r="E108" s="1137"/>
      <c r="F108" s="1137"/>
      <c r="G108" s="1137"/>
      <c r="H108" s="1137"/>
      <c r="I108" s="1137"/>
      <c r="J108" s="1137"/>
    </row>
    <row r="109" spans="2:10" x14ac:dyDescent="0.25">
      <c r="B109" s="1137"/>
      <c r="C109" s="1137"/>
      <c r="D109" s="1137"/>
      <c r="E109" s="1137"/>
      <c r="F109" s="1137"/>
      <c r="G109" s="1137"/>
      <c r="H109" s="1137"/>
      <c r="I109" s="1137"/>
      <c r="J109" s="1137"/>
    </row>
    <row r="110" spans="2:10" x14ac:dyDescent="0.25">
      <c r="B110" s="1137"/>
      <c r="C110" s="1137"/>
      <c r="D110" s="1137"/>
      <c r="E110" s="1137"/>
      <c r="F110" s="1137"/>
      <c r="G110" s="1137"/>
      <c r="H110" s="1137"/>
      <c r="I110" s="1137"/>
      <c r="J110" s="1137"/>
    </row>
    <row r="111" spans="2:10" x14ac:dyDescent="0.25">
      <c r="B111" s="1137"/>
      <c r="C111" s="1137"/>
      <c r="D111" s="1137"/>
      <c r="E111" s="1137"/>
      <c r="F111" s="1137"/>
      <c r="G111" s="1137"/>
      <c r="H111" s="1137"/>
      <c r="I111" s="1137"/>
      <c r="J111" s="1137"/>
    </row>
    <row r="112" spans="2:10" x14ac:dyDescent="0.25">
      <c r="B112" s="1137"/>
      <c r="C112" s="1137"/>
      <c r="D112" s="1137"/>
      <c r="E112" s="1137"/>
      <c r="F112" s="1137"/>
      <c r="G112" s="1137"/>
      <c r="H112" s="1137"/>
      <c r="I112" s="1137"/>
      <c r="J112" s="1137"/>
    </row>
    <row r="113" spans="8:10" x14ac:dyDescent="0.25">
      <c r="H113" s="1137"/>
      <c r="I113" s="1137"/>
      <c r="J113" s="1137"/>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78:F78"/>
    <mergeCell ref="B83:F83"/>
    <mergeCell ref="B79:F79"/>
    <mergeCell ref="B80:F80"/>
    <mergeCell ref="B81:F81"/>
    <mergeCell ref="B82:F82"/>
  </mergeCells>
  <pageMargins left="0.32" right="0.45" top="0.4" bottom="0.75" header="0.3" footer="0.3"/>
  <pageSetup paperSize="17" scale="60" orientation="landscape"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workbookViewId="0">
      <pane xSplit="1" ySplit="1" topLeftCell="B32" activePane="bottomRight" state="frozen"/>
      <selection pane="topRight" activeCell="B1" sqref="B1"/>
      <selection pane="bottomLeft" activeCell="A2" sqref="A2"/>
      <selection pane="bottomRight" activeCell="B52" sqref="B52"/>
    </sheetView>
  </sheetViews>
  <sheetFormatPr defaultRowHeight="13.2" x14ac:dyDescent="0.25"/>
  <cols>
    <col min="1" max="1" width="15.5546875" style="3369" customWidth="1"/>
    <col min="2" max="2" width="57.88671875" customWidth="1"/>
    <col min="3" max="5" width="17.5546875" customWidth="1"/>
    <col min="6" max="8" width="17.88671875" customWidth="1"/>
    <col min="9" max="9" width="20.6640625" customWidth="1"/>
    <col min="10" max="10" width="20.44140625" customWidth="1"/>
    <col min="11" max="11" width="22" customWidth="1"/>
    <col min="12" max="13" width="17.109375" customWidth="1"/>
    <col min="14" max="14" width="19.88671875" customWidth="1"/>
  </cols>
  <sheetData>
    <row r="1" spans="2:14" ht="42.75" customHeight="1" x14ac:dyDescent="0.4">
      <c r="B1" s="3119" t="s">
        <v>813</v>
      </c>
      <c r="C1" s="1239"/>
      <c r="D1" s="1239"/>
      <c r="E1" s="1239"/>
      <c r="F1" s="1239"/>
      <c r="G1" s="1247"/>
      <c r="H1" s="1240"/>
      <c r="I1" s="1240"/>
      <c r="J1" s="1213"/>
      <c r="K1" s="1213"/>
      <c r="L1" s="1213"/>
      <c r="M1" s="1213"/>
      <c r="N1" s="1213"/>
    </row>
    <row r="2" spans="2:14" ht="21" x14ac:dyDescent="0.4">
      <c r="B2" s="1218"/>
      <c r="C2" s="1239"/>
      <c r="D2" s="1239"/>
      <c r="E2" s="1239"/>
      <c r="F2" s="1239"/>
      <c r="G2" s="1247"/>
      <c r="H2" s="1240"/>
      <c r="I2" s="1240"/>
      <c r="J2" s="1213"/>
      <c r="K2" s="1213"/>
      <c r="L2" s="1213"/>
      <c r="M2" s="1213"/>
      <c r="N2" s="1213"/>
    </row>
    <row r="3" spans="2:14" ht="39.6" x14ac:dyDescent="0.25">
      <c r="B3" s="3883"/>
      <c r="C3" s="1217" t="s">
        <v>9</v>
      </c>
      <c r="D3" s="1217" t="s">
        <v>10</v>
      </c>
      <c r="E3" s="1217" t="s">
        <v>701</v>
      </c>
      <c r="F3" s="1217" t="s">
        <v>12</v>
      </c>
      <c r="G3" s="1217" t="s">
        <v>13</v>
      </c>
      <c r="H3" s="1217" t="s">
        <v>14</v>
      </c>
      <c r="I3" s="1217" t="s">
        <v>15</v>
      </c>
      <c r="J3" s="1217" t="s">
        <v>16</v>
      </c>
      <c r="K3" s="1217" t="s">
        <v>702</v>
      </c>
      <c r="L3" s="1217" t="s">
        <v>18</v>
      </c>
      <c r="M3" s="1217" t="s">
        <v>136</v>
      </c>
      <c r="N3" s="1217" t="s">
        <v>19</v>
      </c>
    </row>
    <row r="4" spans="2:14" ht="26.4" x14ac:dyDescent="0.25">
      <c r="B4" s="1263" t="s">
        <v>703</v>
      </c>
      <c r="C4" s="1260"/>
      <c r="D4" s="1260"/>
      <c r="E4" s="1260"/>
      <c r="F4" s="1260"/>
      <c r="G4" s="1260"/>
      <c r="H4" s="1260"/>
      <c r="I4" s="1260"/>
      <c r="J4" s="1260"/>
      <c r="K4" s="1261"/>
      <c r="L4" s="1267">
        <v>50000</v>
      </c>
      <c r="M4" s="1261"/>
      <c r="N4" s="1268" t="s">
        <v>21</v>
      </c>
    </row>
    <row r="5" spans="2:14" x14ac:dyDescent="0.25">
      <c r="B5" s="1264" t="s">
        <v>704</v>
      </c>
      <c r="C5" s="1262">
        <v>4154.1500000000005</v>
      </c>
      <c r="D5" s="1262">
        <v>0</v>
      </c>
      <c r="E5" s="1262">
        <v>2617.1145000000006</v>
      </c>
      <c r="F5" s="1262">
        <v>0</v>
      </c>
      <c r="G5" s="1262">
        <v>0</v>
      </c>
      <c r="H5" s="1262">
        <v>0</v>
      </c>
      <c r="I5" s="1262">
        <v>0</v>
      </c>
      <c r="J5" s="1262">
        <v>12040</v>
      </c>
      <c r="K5" s="1262">
        <v>0</v>
      </c>
      <c r="L5" s="1265">
        <v>18811.264500000001</v>
      </c>
      <c r="M5" s="1266"/>
      <c r="N5" s="1269">
        <v>-0.62377470999999995</v>
      </c>
    </row>
    <row r="6" spans="2:14" x14ac:dyDescent="0.25">
      <c r="B6" s="1215">
        <v>2012</v>
      </c>
      <c r="C6" s="1248">
        <f>C15</f>
        <v>4500</v>
      </c>
      <c r="D6" s="1249">
        <f>C16</f>
        <v>0</v>
      </c>
      <c r="E6" s="1249">
        <f>C35</f>
        <v>2800</v>
      </c>
      <c r="F6" s="1249">
        <f>C33</f>
        <v>0</v>
      </c>
      <c r="G6" s="1249">
        <f>C23</f>
        <v>0</v>
      </c>
      <c r="H6" s="1249">
        <f>C39</f>
        <v>0</v>
      </c>
      <c r="I6" s="1249">
        <f>C31</f>
        <v>20000</v>
      </c>
      <c r="J6" s="1249">
        <f>C25</f>
        <v>0</v>
      </c>
      <c r="K6" s="1249">
        <f>C12</f>
        <v>0</v>
      </c>
      <c r="L6" s="1250">
        <f>SUM(C6:K6)</f>
        <v>27300</v>
      </c>
      <c r="M6" s="1250">
        <v>0</v>
      </c>
      <c r="N6" s="1269">
        <v>0.44584007098512701</v>
      </c>
    </row>
    <row r="7" spans="2:14" ht="13.8" thickBot="1" x14ac:dyDescent="0.3">
      <c r="B7" s="1256">
        <v>2013</v>
      </c>
      <c r="C7" s="1248">
        <f>D15</f>
        <v>4500</v>
      </c>
      <c r="D7" s="1249">
        <f>D16</f>
        <v>0</v>
      </c>
      <c r="E7" s="1249">
        <f>D35</f>
        <v>2800</v>
      </c>
      <c r="F7" s="1249">
        <f>D33</f>
        <v>0</v>
      </c>
      <c r="G7" s="1249">
        <f>D23</f>
        <v>0</v>
      </c>
      <c r="H7" s="1254">
        <f>D39</f>
        <v>0</v>
      </c>
      <c r="I7" s="1259">
        <f>D31</f>
        <v>20000</v>
      </c>
      <c r="J7" s="1259">
        <f>D25</f>
        <v>0</v>
      </c>
      <c r="K7" s="1255">
        <f>D12</f>
        <v>0</v>
      </c>
      <c r="L7" s="1250">
        <f>SUM(C7:K7)</f>
        <v>27300</v>
      </c>
      <c r="M7" s="1250">
        <v>0</v>
      </c>
      <c r="N7" s="1269">
        <v>0</v>
      </c>
    </row>
    <row r="8" spans="2:14" ht="13.8" thickBot="1" x14ac:dyDescent="0.3">
      <c r="B8" s="1234" t="s">
        <v>178</v>
      </c>
      <c r="C8" s="1257">
        <f t="shared" ref="C8:L8" si="0">SUM(C6:C7)</f>
        <v>9000</v>
      </c>
      <c r="D8" s="1258">
        <f t="shared" si="0"/>
        <v>0</v>
      </c>
      <c r="E8" s="1258">
        <f t="shared" si="0"/>
        <v>5600</v>
      </c>
      <c r="F8" s="1258">
        <f t="shared" si="0"/>
        <v>0</v>
      </c>
      <c r="G8" s="1258">
        <f t="shared" si="0"/>
        <v>0</v>
      </c>
      <c r="H8" s="1258">
        <f t="shared" si="0"/>
        <v>0</v>
      </c>
      <c r="I8" s="1258">
        <f t="shared" si="0"/>
        <v>40000</v>
      </c>
      <c r="J8" s="1258">
        <f t="shared" si="0"/>
        <v>0</v>
      </c>
      <c r="K8" s="1258">
        <f t="shared" si="0"/>
        <v>0</v>
      </c>
      <c r="L8" s="1258">
        <f t="shared" si="0"/>
        <v>54600</v>
      </c>
      <c r="M8" s="1258">
        <v>0</v>
      </c>
      <c r="N8" s="1213"/>
    </row>
    <row r="9" spans="2:14" ht="21" x14ac:dyDescent="0.4">
      <c r="B9" s="1218"/>
      <c r="C9" s="1239"/>
      <c r="D9" s="1239"/>
      <c r="E9" s="1239"/>
      <c r="F9" s="1239"/>
      <c r="G9" s="1247"/>
      <c r="H9" s="1240"/>
      <c r="I9" s="1240"/>
      <c r="J9" s="1213"/>
      <c r="K9" s="1213"/>
      <c r="L9" s="1213"/>
      <c r="M9" s="1213"/>
      <c r="N9" s="1222"/>
    </row>
    <row r="10" spans="2:14" ht="17.399999999999999" x14ac:dyDescent="0.3">
      <c r="B10" s="1219" t="s">
        <v>814</v>
      </c>
      <c r="C10" s="1247"/>
      <c r="D10" s="1247"/>
      <c r="E10" s="1247"/>
      <c r="F10" s="1238"/>
      <c r="G10" s="1238"/>
      <c r="H10" s="1238"/>
      <c r="I10" s="1238"/>
      <c r="J10" s="1213"/>
      <c r="K10" s="1213"/>
      <c r="L10" s="1213"/>
      <c r="M10" s="1213"/>
      <c r="N10" s="1213"/>
    </row>
    <row r="11" spans="2:14" ht="17.399999999999999" x14ac:dyDescent="0.3">
      <c r="B11" s="1220"/>
      <c r="C11" s="1251">
        <v>2012</v>
      </c>
      <c r="D11" s="1252">
        <v>2013</v>
      </c>
      <c r="E11" s="1253" t="s">
        <v>29</v>
      </c>
      <c r="F11" s="1225"/>
      <c r="G11" s="1225"/>
      <c r="H11" s="1225"/>
      <c r="I11" s="3180" t="s">
        <v>706</v>
      </c>
      <c r="J11" s="3173"/>
      <c r="K11" s="1222"/>
      <c r="L11" s="1222"/>
      <c r="M11" s="1222"/>
      <c r="N11" s="1213"/>
    </row>
    <row r="12" spans="2:14" x14ac:dyDescent="0.25">
      <c r="B12" s="3138" t="s">
        <v>707</v>
      </c>
      <c r="C12" s="3148">
        <v>0</v>
      </c>
      <c r="D12" s="3166">
        <v>0</v>
      </c>
      <c r="E12" s="3167">
        <f>SUM(C12:D12)</f>
        <v>0</v>
      </c>
      <c r="F12" s="1225"/>
      <c r="G12" s="1225"/>
      <c r="H12" s="1225"/>
      <c r="I12" s="3174" t="s">
        <v>707</v>
      </c>
      <c r="J12" s="3175">
        <v>0</v>
      </c>
      <c r="K12" s="1222"/>
      <c r="L12" s="1213"/>
      <c r="M12" s="1213"/>
      <c r="N12" s="1213"/>
    </row>
    <row r="13" spans="2:14" ht="17.399999999999999" x14ac:dyDescent="0.3">
      <c r="B13" s="3139"/>
      <c r="C13" s="3149"/>
      <c r="D13" s="3134"/>
      <c r="E13" s="3150"/>
      <c r="F13" s="1225"/>
      <c r="G13" s="1225"/>
      <c r="H13" s="1225"/>
      <c r="I13" s="3174" t="s">
        <v>709</v>
      </c>
      <c r="J13" s="3176">
        <v>8800</v>
      </c>
      <c r="K13" s="1222"/>
      <c r="L13" s="1213"/>
      <c r="M13" s="1213"/>
      <c r="N13" s="1213"/>
    </row>
    <row r="14" spans="2:14" x14ac:dyDescent="0.25">
      <c r="B14" s="3138" t="s">
        <v>713</v>
      </c>
      <c r="C14" s="3151"/>
      <c r="D14" s="3134"/>
      <c r="E14" s="3150"/>
      <c r="F14" s="1223"/>
      <c r="G14" s="1223"/>
      <c r="H14" s="1223"/>
      <c r="I14" s="3174" t="s">
        <v>711</v>
      </c>
      <c r="J14" s="3176">
        <v>0</v>
      </c>
      <c r="K14" s="1213"/>
      <c r="L14" s="1213"/>
      <c r="M14" s="1213"/>
      <c r="N14" s="1213"/>
    </row>
    <row r="15" spans="2:14" x14ac:dyDescent="0.25">
      <c r="B15" s="3140" t="s">
        <v>715</v>
      </c>
      <c r="C15" s="3169">
        <v>4500</v>
      </c>
      <c r="D15" s="3164">
        <v>4500</v>
      </c>
      <c r="E15" s="3162">
        <f>SUM(C15:D15)</f>
        <v>9000</v>
      </c>
      <c r="F15" s="1237">
        <v>0.05</v>
      </c>
      <c r="G15" s="1226" t="s">
        <v>716</v>
      </c>
      <c r="H15" s="1224"/>
      <c r="I15" s="3174" t="s">
        <v>712</v>
      </c>
      <c r="J15" s="3176">
        <v>0</v>
      </c>
      <c r="K15" s="1213"/>
      <c r="L15" s="1213"/>
      <c r="M15" s="1213"/>
      <c r="N15" s="1213"/>
    </row>
    <row r="16" spans="2:14" x14ac:dyDescent="0.25">
      <c r="B16" s="3140" t="s">
        <v>720</v>
      </c>
      <c r="C16" s="3169">
        <v>0</v>
      </c>
      <c r="D16" s="3164">
        <v>0</v>
      </c>
      <c r="E16" s="3474">
        <f t="shared" ref="E16" si="1">SUM(C16:D16)</f>
        <v>0</v>
      </c>
      <c r="F16" s="1237">
        <v>0</v>
      </c>
      <c r="G16" s="1226" t="s">
        <v>716</v>
      </c>
      <c r="H16" s="1224"/>
      <c r="I16" s="3174" t="s">
        <v>526</v>
      </c>
      <c r="J16" s="3172">
        <v>0</v>
      </c>
      <c r="K16" s="1213"/>
      <c r="L16" s="1213"/>
      <c r="M16" s="1213"/>
      <c r="N16" s="1213"/>
    </row>
    <row r="17" spans="2:13" x14ac:dyDescent="0.25">
      <c r="B17" s="3140"/>
      <c r="C17" s="3152"/>
      <c r="D17" s="3134"/>
      <c r="E17" s="3150"/>
      <c r="F17" s="1224"/>
      <c r="G17" s="1224"/>
      <c r="H17" s="1224"/>
      <c r="I17" s="3174" t="s">
        <v>714</v>
      </c>
      <c r="J17" s="3172">
        <v>0</v>
      </c>
      <c r="K17" s="1213"/>
      <c r="L17" s="1213"/>
      <c r="M17" s="1236"/>
    </row>
    <row r="18" spans="2:13" x14ac:dyDescent="0.25">
      <c r="B18" s="3138" t="s">
        <v>526</v>
      </c>
      <c r="C18" s="3151"/>
      <c r="D18" s="3134"/>
      <c r="E18" s="3150"/>
      <c r="F18" s="1223"/>
      <c r="G18" s="1223"/>
      <c r="H18" s="1224"/>
      <c r="I18" s="3174" t="s">
        <v>717</v>
      </c>
      <c r="J18" s="3172">
        <v>40000</v>
      </c>
      <c r="K18" s="1213"/>
      <c r="L18" s="1213"/>
      <c r="M18" s="1213"/>
    </row>
    <row r="19" spans="2:13" x14ac:dyDescent="0.25">
      <c r="B19" s="3133" t="s">
        <v>721</v>
      </c>
      <c r="C19" s="3155">
        <v>0</v>
      </c>
      <c r="D19" s="3164">
        <v>0</v>
      </c>
      <c r="E19" s="3162">
        <f>SUM(C19:D19)</f>
        <v>0</v>
      </c>
      <c r="F19" s="1241"/>
      <c r="G19" s="1241"/>
      <c r="H19" s="1223"/>
      <c r="I19" s="3174" t="s">
        <v>719</v>
      </c>
      <c r="J19" s="3172">
        <v>0</v>
      </c>
      <c r="K19" s="1213"/>
      <c r="L19" s="1213"/>
      <c r="M19" s="1213"/>
    </row>
    <row r="20" spans="2:13" x14ac:dyDescent="0.25">
      <c r="B20" s="3140" t="s">
        <v>722</v>
      </c>
      <c r="C20" s="3155">
        <v>0</v>
      </c>
      <c r="D20" s="3164">
        <v>0</v>
      </c>
      <c r="E20" s="3474">
        <f t="shared" ref="E20:E22" si="2">SUM(C20:D20)</f>
        <v>0</v>
      </c>
      <c r="F20" s="1213"/>
      <c r="G20" s="1223"/>
      <c r="H20" s="1241"/>
      <c r="I20" s="3174" t="s">
        <v>11</v>
      </c>
      <c r="J20" s="3172">
        <v>5600</v>
      </c>
      <c r="K20" s="1213"/>
      <c r="L20" s="1213"/>
      <c r="M20" s="1213"/>
    </row>
    <row r="21" spans="2:13" x14ac:dyDescent="0.25">
      <c r="B21" s="3140" t="s">
        <v>725</v>
      </c>
      <c r="C21" s="3155">
        <v>0</v>
      </c>
      <c r="D21" s="3164">
        <v>0</v>
      </c>
      <c r="E21" s="3474">
        <f t="shared" si="2"/>
        <v>0</v>
      </c>
      <c r="F21" s="1223"/>
      <c r="G21" s="1223"/>
      <c r="H21" s="1223"/>
      <c r="I21" s="3174" t="s">
        <v>14</v>
      </c>
      <c r="J21" s="3179">
        <v>0</v>
      </c>
      <c r="K21" s="1213"/>
      <c r="L21" s="1213"/>
      <c r="M21" s="1213"/>
    </row>
    <row r="22" spans="2:13" x14ac:dyDescent="0.25">
      <c r="B22" s="3140" t="s">
        <v>728</v>
      </c>
      <c r="C22" s="3155">
        <v>0</v>
      </c>
      <c r="D22" s="3164">
        <v>0</v>
      </c>
      <c r="E22" s="3474">
        <f t="shared" si="2"/>
        <v>0</v>
      </c>
      <c r="F22" s="1223"/>
      <c r="G22" s="1223"/>
      <c r="H22" s="1242"/>
      <c r="I22" s="3170"/>
      <c r="J22" s="3171">
        <v>54400</v>
      </c>
      <c r="K22" s="1213"/>
      <c r="L22" s="1213"/>
      <c r="M22" s="1213"/>
    </row>
    <row r="23" spans="2:13" x14ac:dyDescent="0.25">
      <c r="B23" s="3133"/>
      <c r="C23" s="3153">
        <f>SUM(C19:C22)</f>
        <v>0</v>
      </c>
      <c r="D23" s="3144">
        <f>SUM(D19:D22)</f>
        <v>0</v>
      </c>
      <c r="E23" s="3168">
        <f>SUM(E19:E22)</f>
        <v>0</v>
      </c>
      <c r="F23" s="1223"/>
      <c r="G23" s="1223"/>
      <c r="H23" s="1242"/>
      <c r="I23" s="3174"/>
      <c r="J23" s="3184"/>
      <c r="K23" s="1213"/>
      <c r="L23" s="1213"/>
      <c r="M23" s="1213"/>
    </row>
    <row r="24" spans="2:13" x14ac:dyDescent="0.25">
      <c r="B24" s="3134"/>
      <c r="C24" s="3157"/>
      <c r="D24" s="3134"/>
      <c r="E24" s="3150"/>
      <c r="F24" s="1223"/>
      <c r="G24" s="1223"/>
      <c r="H24" s="1242"/>
      <c r="I24" s="3178" t="s">
        <v>723</v>
      </c>
      <c r="J24" s="3182">
        <v>0</v>
      </c>
      <c r="K24" s="1233" t="s">
        <v>804</v>
      </c>
      <c r="L24" s="1213"/>
      <c r="M24" s="1213"/>
    </row>
    <row r="25" spans="2:13" x14ac:dyDescent="0.25">
      <c r="B25" s="3138" t="s">
        <v>714</v>
      </c>
      <c r="C25" s="3153">
        <v>0</v>
      </c>
      <c r="D25" s="3147">
        <v>0</v>
      </c>
      <c r="E25" s="3168">
        <f>SUM(C25:D25)</f>
        <v>0</v>
      </c>
      <c r="F25" s="1223"/>
      <c r="G25" s="1223"/>
      <c r="H25" s="1242"/>
      <c r="I25" s="3178" t="s">
        <v>726</v>
      </c>
      <c r="J25" s="3181"/>
      <c r="K25" s="1235"/>
      <c r="L25" s="1213"/>
      <c r="M25" s="1213"/>
    </row>
    <row r="26" spans="2:13" x14ac:dyDescent="0.25">
      <c r="B26" s="3134"/>
      <c r="C26" s="3157"/>
      <c r="D26" s="3134"/>
      <c r="E26" s="3150"/>
      <c r="F26" s="1223"/>
      <c r="G26" s="1223"/>
      <c r="H26" s="1242"/>
      <c r="I26" s="3178" t="s">
        <v>729</v>
      </c>
      <c r="J26" s="3181"/>
      <c r="K26" s="1235"/>
      <c r="L26" s="1213"/>
      <c r="M26" s="1213"/>
    </row>
    <row r="27" spans="2:13" x14ac:dyDescent="0.25">
      <c r="B27" s="3137" t="s">
        <v>717</v>
      </c>
      <c r="C27" s="3157"/>
      <c r="D27" s="3134"/>
      <c r="E27" s="3150"/>
      <c r="F27" s="1242"/>
      <c r="G27" s="1242"/>
      <c r="H27" s="1242"/>
      <c r="I27" s="3177" t="s">
        <v>730</v>
      </c>
      <c r="J27" s="3183"/>
      <c r="K27" s="1213"/>
      <c r="L27" s="1213"/>
      <c r="M27" s="1213"/>
    </row>
    <row r="28" spans="2:13" x14ac:dyDescent="0.25">
      <c r="B28" s="3133" t="s">
        <v>731</v>
      </c>
      <c r="C28" s="3157">
        <v>18600</v>
      </c>
      <c r="D28" s="3164">
        <v>18600</v>
      </c>
      <c r="E28" s="3162">
        <f>SUM(C28:D28)</f>
        <v>37200</v>
      </c>
      <c r="F28" s="1242"/>
      <c r="G28" s="1242"/>
      <c r="H28" s="1242"/>
      <c r="I28" s="1225"/>
      <c r="J28" s="1213"/>
      <c r="K28" s="1213"/>
      <c r="L28" s="1213"/>
      <c r="M28" s="1213"/>
    </row>
    <row r="29" spans="2:13" x14ac:dyDescent="0.25">
      <c r="B29" s="3133" t="s">
        <v>732</v>
      </c>
      <c r="C29" s="3157">
        <v>200</v>
      </c>
      <c r="D29" s="3164">
        <v>200</v>
      </c>
      <c r="E29" s="3474">
        <f t="shared" ref="E29:E30" si="3">SUM(C29:D29)</f>
        <v>400</v>
      </c>
      <c r="F29" s="1242"/>
      <c r="G29" s="1242"/>
      <c r="H29" s="1242"/>
      <c r="I29" s="1225"/>
      <c r="J29" s="1213"/>
      <c r="K29" s="1213"/>
      <c r="L29" s="1213"/>
      <c r="M29" s="1213"/>
    </row>
    <row r="30" spans="2:13" x14ac:dyDescent="0.25">
      <c r="B30" s="3134" t="s">
        <v>733</v>
      </c>
      <c r="C30" s="3157">
        <v>1200</v>
      </c>
      <c r="D30" s="3164">
        <v>1200</v>
      </c>
      <c r="E30" s="3474">
        <f t="shared" si="3"/>
        <v>2400</v>
      </c>
      <c r="F30" s="1242"/>
      <c r="G30" s="1242"/>
      <c r="H30" s="1242"/>
      <c r="I30" s="1225"/>
      <c r="J30" s="1213"/>
      <c r="K30" s="1213"/>
      <c r="L30" s="1213"/>
      <c r="M30" s="1213"/>
    </row>
    <row r="31" spans="2:13" x14ac:dyDescent="0.25">
      <c r="B31" s="3137" t="s">
        <v>734</v>
      </c>
      <c r="C31" s="3154">
        <f>SUM(C28:C30)</f>
        <v>20000</v>
      </c>
      <c r="D31" s="3141">
        <f>SUM(D28:D30)</f>
        <v>20000</v>
      </c>
      <c r="E31" s="3168">
        <f>SUM(E28:E30)</f>
        <v>40000</v>
      </c>
      <c r="F31" s="1242"/>
      <c r="G31" s="1242"/>
      <c r="H31" s="1242"/>
      <c r="I31" s="1225"/>
      <c r="J31" s="1213"/>
      <c r="K31" s="1213"/>
      <c r="L31" s="1213"/>
      <c r="M31" s="1213"/>
    </row>
    <row r="32" spans="2:13" x14ac:dyDescent="0.25">
      <c r="B32" s="3134"/>
      <c r="C32" s="3157"/>
      <c r="D32" s="3134"/>
      <c r="E32" s="3150"/>
      <c r="F32" s="1242"/>
      <c r="G32" s="1242"/>
      <c r="H32" s="1242"/>
      <c r="I32" s="1225"/>
      <c r="J32" s="1213"/>
      <c r="K32" s="1213"/>
      <c r="L32" s="1213"/>
      <c r="M32" s="1213"/>
    </row>
    <row r="33" spans="2:9" x14ac:dyDescent="0.25">
      <c r="B33" s="3137" t="s">
        <v>719</v>
      </c>
      <c r="C33" s="3154">
        <v>0</v>
      </c>
      <c r="D33" s="3165">
        <v>0</v>
      </c>
      <c r="E33" s="3168">
        <f>SUM(C33:D33)</f>
        <v>0</v>
      </c>
      <c r="F33" s="1242"/>
      <c r="G33" s="1242"/>
      <c r="H33" s="1242"/>
      <c r="I33" s="1225"/>
    </row>
    <row r="34" spans="2:9" x14ac:dyDescent="0.25">
      <c r="B34" s="3134"/>
      <c r="C34" s="3157"/>
      <c r="D34" s="3134"/>
      <c r="E34" s="3150"/>
      <c r="F34" s="1242"/>
      <c r="G34" s="1243"/>
      <c r="H34" s="1242"/>
      <c r="I34" s="1225"/>
    </row>
    <row r="35" spans="2:9" x14ac:dyDescent="0.25">
      <c r="B35" s="3137" t="s">
        <v>11</v>
      </c>
      <c r="C35" s="3154">
        <v>2800</v>
      </c>
      <c r="D35" s="3141">
        <v>2800</v>
      </c>
      <c r="E35" s="3168">
        <f>SUM(C35:D35)</f>
        <v>5600</v>
      </c>
      <c r="F35" s="1242"/>
      <c r="G35" s="1243"/>
      <c r="H35" s="1242"/>
      <c r="I35" s="1225"/>
    </row>
    <row r="36" spans="2:9" x14ac:dyDescent="0.25">
      <c r="B36" s="3134"/>
      <c r="C36" s="3157"/>
      <c r="D36" s="3145"/>
      <c r="E36" s="3158"/>
      <c r="F36" s="1242"/>
      <c r="G36" s="1214"/>
      <c r="H36" s="1242"/>
      <c r="I36" s="1225"/>
    </row>
    <row r="37" spans="2:9" x14ac:dyDescent="0.25">
      <c r="B37" s="3135" t="s">
        <v>14</v>
      </c>
      <c r="C37" s="3157"/>
      <c r="D37" s="3145"/>
      <c r="E37" s="3158"/>
      <c r="F37" s="1242"/>
      <c r="G37" s="1214"/>
      <c r="H37" s="1242"/>
      <c r="I37" s="1221"/>
    </row>
    <row r="38" spans="2:9" x14ac:dyDescent="0.25">
      <c r="B38" s="3143" t="s">
        <v>770</v>
      </c>
      <c r="C38" s="3155">
        <v>0</v>
      </c>
      <c r="D38" s="3146"/>
      <c r="E38" s="3156">
        <v>0</v>
      </c>
      <c r="F38" s="1242"/>
      <c r="G38" s="1214"/>
      <c r="H38" s="1242"/>
      <c r="I38" s="1221"/>
    </row>
    <row r="39" spans="2:9" x14ac:dyDescent="0.25">
      <c r="B39" s="3142" t="s">
        <v>743</v>
      </c>
      <c r="C39" s="3153">
        <f>SUM(C38)</f>
        <v>0</v>
      </c>
      <c r="D39" s="3144">
        <f>SUM(D38)</f>
        <v>0</v>
      </c>
      <c r="E39" s="3156">
        <f>SUM(E38)</f>
        <v>0</v>
      </c>
      <c r="F39" s="1242"/>
      <c r="G39" s="1214"/>
      <c r="H39" s="1242"/>
      <c r="I39" s="1221"/>
    </row>
    <row r="40" spans="2:9" x14ac:dyDescent="0.25">
      <c r="B40" s="3143"/>
      <c r="C40" s="3155"/>
      <c r="D40" s="3146"/>
      <c r="E40" s="3156"/>
      <c r="F40" s="1242"/>
      <c r="G40" s="1214"/>
      <c r="H40" s="1242"/>
      <c r="I40" s="1221"/>
    </row>
    <row r="41" spans="2:9" ht="13.8" thickBot="1" x14ac:dyDescent="0.3">
      <c r="B41" s="3143"/>
      <c r="C41" s="3155"/>
      <c r="D41" s="3146"/>
      <c r="E41" s="3156"/>
      <c r="F41" s="1242"/>
      <c r="G41" s="1214"/>
      <c r="H41" s="1242"/>
      <c r="I41" s="1221"/>
    </row>
    <row r="42" spans="2:9" ht="13.8" thickBot="1" x14ac:dyDescent="0.3">
      <c r="B42" s="3142" t="s">
        <v>744</v>
      </c>
      <c r="C42" s="3333">
        <f>C12+C15+C16+C23+C25+C31+C33+C35+C39</f>
        <v>27300</v>
      </c>
      <c r="D42" s="3339">
        <f t="shared" ref="D42:E42" si="4">D12+D15+D16+D23+D25+D31+D33+D35+D39</f>
        <v>27300</v>
      </c>
      <c r="E42" s="3339">
        <f t="shared" si="4"/>
        <v>54600</v>
      </c>
      <c r="F42" s="1242"/>
      <c r="G42" s="1243"/>
      <c r="H42" s="1242"/>
      <c r="I42" s="1221"/>
    </row>
    <row r="43" spans="2:9" x14ac:dyDescent="0.25">
      <c r="B43" s="3136"/>
      <c r="C43" s="3146"/>
      <c r="D43" s="3146"/>
      <c r="E43" s="3146"/>
      <c r="F43" s="1242"/>
      <c r="G43" s="1243"/>
      <c r="H43" s="1242"/>
      <c r="I43" s="1221"/>
    </row>
    <row r="44" spans="2:9" x14ac:dyDescent="0.25">
      <c r="B44" s="3133"/>
      <c r="C44" s="3163">
        <v>2012</v>
      </c>
      <c r="D44" s="3163">
        <v>2013</v>
      </c>
      <c r="E44" s="3163" t="s">
        <v>29</v>
      </c>
      <c r="F44" s="1213"/>
      <c r="G44" s="1243"/>
      <c r="H44" s="1242"/>
      <c r="I44" s="1221"/>
    </row>
    <row r="45" spans="2:9" x14ac:dyDescent="0.25">
      <c r="B45" s="3137" t="s">
        <v>806</v>
      </c>
      <c r="C45" s="3159">
        <v>0</v>
      </c>
      <c r="D45" s="3160">
        <v>0</v>
      </c>
      <c r="E45" s="3161">
        <v>0</v>
      </c>
      <c r="F45" s="1232" t="s">
        <v>617</v>
      </c>
      <c r="G45" s="1243"/>
      <c r="H45" s="1242"/>
      <c r="I45" s="1221"/>
    </row>
    <row r="46" spans="2:9" x14ac:dyDescent="0.25">
      <c r="B46" s="1213"/>
      <c r="C46" s="1213"/>
      <c r="D46" s="1213"/>
      <c r="E46" s="1213"/>
      <c r="F46" s="1213"/>
      <c r="G46" s="1243"/>
      <c r="H46" s="1242"/>
      <c r="I46" s="1221"/>
    </row>
    <row r="47" spans="2:9" x14ac:dyDescent="0.25">
      <c r="B47" s="1246"/>
      <c r="C47" s="1270"/>
      <c r="D47" s="1270"/>
      <c r="E47" s="1213"/>
      <c r="F47" s="1213"/>
      <c r="G47" s="1243"/>
      <c r="H47" s="1242"/>
      <c r="I47" s="1221"/>
    </row>
    <row r="48" spans="2:9" x14ac:dyDescent="0.25">
      <c r="B48" s="1213"/>
      <c r="C48" s="1213"/>
      <c r="D48" s="1213"/>
      <c r="E48" s="1213"/>
      <c r="F48" s="1213"/>
      <c r="G48" s="1243"/>
      <c r="H48" s="1242"/>
      <c r="I48" s="1221"/>
    </row>
    <row r="49" spans="2:10" x14ac:dyDescent="0.25">
      <c r="B49" s="1213"/>
      <c r="C49" s="1245"/>
      <c r="D49" s="1245"/>
      <c r="E49" s="1245"/>
      <c r="F49" s="1227"/>
      <c r="G49" s="1242"/>
      <c r="H49" s="1242"/>
      <c r="I49" s="1221"/>
      <c r="J49" s="1213"/>
    </row>
    <row r="50" spans="2:10" x14ac:dyDescent="0.25">
      <c r="B50" s="1213"/>
      <c r="C50" s="1245"/>
      <c r="D50" s="1245"/>
      <c r="E50" s="1245"/>
      <c r="F50" s="1227"/>
      <c r="G50" s="1242"/>
      <c r="H50" s="1244"/>
      <c r="I50" s="1228"/>
      <c r="J50" s="1216"/>
    </row>
    <row r="51" spans="2:10" x14ac:dyDescent="0.25">
      <c r="B51" s="1213"/>
      <c r="C51" s="1245"/>
      <c r="D51" s="1245"/>
      <c r="E51" s="1245"/>
      <c r="F51" s="1227"/>
      <c r="G51" s="1242"/>
      <c r="H51" s="1229"/>
      <c r="I51" s="1229"/>
      <c r="J51" s="1216"/>
    </row>
    <row r="52" spans="2:10" ht="21" x14ac:dyDescent="0.4">
      <c r="B52" s="1218"/>
      <c r="C52" s="1245"/>
      <c r="D52" s="1245"/>
      <c r="E52" s="1245"/>
      <c r="F52" s="1227"/>
      <c r="G52" s="1242"/>
      <c r="H52" s="1229"/>
      <c r="I52" s="1229"/>
      <c r="J52" s="1216"/>
    </row>
    <row r="53" spans="2:10" x14ac:dyDescent="0.25">
      <c r="B53" s="1213"/>
      <c r="C53" s="1245"/>
      <c r="D53" s="1245"/>
      <c r="E53" s="1245"/>
      <c r="F53" s="1227"/>
      <c r="G53" s="1244"/>
      <c r="H53" s="1229"/>
      <c r="I53" s="1229"/>
      <c r="J53" s="1216"/>
    </row>
    <row r="54" spans="2:10" x14ac:dyDescent="0.25">
      <c r="B54" s="1215"/>
      <c r="C54" s="1213"/>
      <c r="D54" s="1213"/>
      <c r="E54" s="1213"/>
      <c r="F54" s="1213"/>
      <c r="G54" s="1229"/>
      <c r="H54" s="1229"/>
      <c r="I54" s="1229"/>
      <c r="J54" s="1216"/>
    </row>
    <row r="55" spans="2:10" x14ac:dyDescent="0.25">
      <c r="B55" s="1213"/>
      <c r="C55" s="1244"/>
      <c r="D55" s="1244"/>
      <c r="E55" s="1244"/>
      <c r="F55" s="1229"/>
      <c r="G55" s="1229"/>
      <c r="H55" s="1229"/>
      <c r="I55" s="1229"/>
      <c r="J55" s="1216"/>
    </row>
    <row r="56" spans="2:10" x14ac:dyDescent="0.25">
      <c r="B56" s="1213"/>
      <c r="C56" s="1229"/>
      <c r="D56" s="1229"/>
      <c r="E56" s="1229"/>
      <c r="F56" s="1229"/>
      <c r="G56" s="1229"/>
      <c r="H56" s="1229"/>
      <c r="I56" s="1229"/>
      <c r="J56" s="1216"/>
    </row>
    <row r="57" spans="2:10" x14ac:dyDescent="0.25">
      <c r="B57" s="1213"/>
      <c r="C57" s="1229"/>
      <c r="D57" s="1229"/>
      <c r="E57" s="1229"/>
      <c r="F57" s="1244"/>
      <c r="G57" s="1229"/>
      <c r="H57" s="1244"/>
      <c r="I57" s="1229"/>
      <c r="J57" s="1216"/>
    </row>
    <row r="58" spans="2:10" ht="15.6" x14ac:dyDescent="0.3">
      <c r="B58" s="1230"/>
      <c r="C58" s="1231"/>
      <c r="D58" s="1231"/>
      <c r="E58" s="1231"/>
      <c r="F58" s="1244"/>
      <c r="G58" s="1229"/>
      <c r="H58" s="1244"/>
      <c r="I58" s="1228"/>
      <c r="J58" s="1216"/>
    </row>
    <row r="59" spans="2:10" x14ac:dyDescent="0.25">
      <c r="B59" s="1216"/>
      <c r="C59" s="1216"/>
      <c r="D59" s="1216"/>
      <c r="E59" s="1216"/>
      <c r="F59" s="1244"/>
      <c r="G59" s="1229"/>
      <c r="H59" s="1244"/>
      <c r="I59" s="1228"/>
      <c r="J59" s="1216"/>
    </row>
    <row r="60" spans="2:10" x14ac:dyDescent="0.25">
      <c r="B60" s="1213"/>
      <c r="C60" s="1213"/>
      <c r="D60" s="1213"/>
      <c r="E60" s="1213"/>
      <c r="F60" s="1244"/>
      <c r="G60" s="1244"/>
      <c r="H60" s="1244"/>
      <c r="I60" s="1228"/>
      <c r="J60" s="1216"/>
    </row>
    <row r="61" spans="2:10" x14ac:dyDescent="0.25">
      <c r="B61" s="1213"/>
      <c r="C61" s="1213"/>
      <c r="D61" s="1213"/>
      <c r="E61" s="1213"/>
      <c r="F61" s="1244"/>
      <c r="G61" s="1244"/>
      <c r="H61" s="1244"/>
      <c r="I61" s="1228"/>
      <c r="J61" s="1216"/>
    </row>
    <row r="62" spans="2:10" x14ac:dyDescent="0.25">
      <c r="B62" s="1213"/>
      <c r="C62" s="1213"/>
      <c r="D62" s="1213"/>
      <c r="E62" s="1213"/>
      <c r="F62" s="1244"/>
      <c r="G62" s="1244"/>
      <c r="H62" s="1244"/>
      <c r="I62" s="1228"/>
      <c r="J62" s="1216"/>
    </row>
    <row r="63" spans="2:10" x14ac:dyDescent="0.25">
      <c r="B63" s="1213"/>
      <c r="C63" s="1213"/>
      <c r="D63" s="1213"/>
      <c r="E63" s="1213"/>
      <c r="F63" s="1213"/>
      <c r="G63" s="1244"/>
      <c r="H63" s="1244"/>
      <c r="I63" s="1228"/>
      <c r="J63" s="1216"/>
    </row>
    <row r="64" spans="2:10" x14ac:dyDescent="0.25">
      <c r="F64" s="1213"/>
      <c r="G64" s="1244"/>
      <c r="H64" s="1244"/>
      <c r="I64" s="1228"/>
      <c r="J64" s="1216"/>
    </row>
    <row r="65" spans="6:10" x14ac:dyDescent="0.25">
      <c r="F65" s="1213"/>
      <c r="G65" s="1244"/>
      <c r="H65" s="1244"/>
      <c r="I65" s="1228"/>
      <c r="J65" s="1216"/>
    </row>
    <row r="66" spans="6:10" x14ac:dyDescent="0.25">
      <c r="F66" s="1213"/>
      <c r="G66" s="1244"/>
      <c r="H66" s="1229"/>
      <c r="I66" s="1229"/>
      <c r="J66" s="1216"/>
    </row>
    <row r="67" spans="6:10" x14ac:dyDescent="0.25">
      <c r="F67" s="1213"/>
      <c r="G67" s="1244"/>
      <c r="H67" s="1229"/>
      <c r="I67" s="1229"/>
      <c r="J67" s="1216"/>
    </row>
    <row r="68" spans="6:10" x14ac:dyDescent="0.25">
      <c r="F68" s="1213"/>
      <c r="G68" s="1244"/>
      <c r="H68" s="1229"/>
      <c r="I68" s="1229"/>
      <c r="J68" s="1216"/>
    </row>
    <row r="69" spans="6:10" x14ac:dyDescent="0.25">
      <c r="F69" s="1229"/>
      <c r="G69" s="1229"/>
      <c r="H69" s="1229"/>
      <c r="I69" s="1229"/>
      <c r="J69" s="1216"/>
    </row>
    <row r="70" spans="6:10" x14ac:dyDescent="0.25">
      <c r="F70" s="1229"/>
      <c r="G70" s="1229"/>
      <c r="H70" s="1229"/>
      <c r="I70" s="1229"/>
      <c r="J70" s="1216"/>
    </row>
    <row r="71" spans="6:10" x14ac:dyDescent="0.25">
      <c r="F71" s="1229"/>
      <c r="G71" s="1229"/>
      <c r="H71" s="1229"/>
      <c r="I71" s="1229"/>
      <c r="J71" s="1216"/>
    </row>
    <row r="72" spans="6:10" ht="15.6" x14ac:dyDescent="0.3">
      <c r="F72" s="1231"/>
      <c r="G72" s="1229"/>
      <c r="H72" s="1231"/>
      <c r="I72" s="1231"/>
      <c r="J72" s="1216"/>
    </row>
    <row r="73" spans="6:10" x14ac:dyDescent="0.25">
      <c r="F73" s="1216"/>
      <c r="G73" s="1229"/>
      <c r="H73" s="1216"/>
      <c r="I73" s="1216"/>
      <c r="J73" s="1216"/>
    </row>
    <row r="74" spans="6:10" x14ac:dyDescent="0.25">
      <c r="F74" s="1213"/>
      <c r="G74" s="1229"/>
      <c r="H74" s="1213"/>
      <c r="I74" s="1213"/>
      <c r="J74" s="1213"/>
    </row>
    <row r="75" spans="6:10" ht="15.6" x14ac:dyDescent="0.3">
      <c r="F75" s="1213"/>
      <c r="G75" s="1231"/>
      <c r="H75" s="1213"/>
      <c r="I75" s="1213"/>
      <c r="J75" s="1213"/>
    </row>
    <row r="76" spans="6:10" x14ac:dyDescent="0.25">
      <c r="F76" s="1213"/>
      <c r="G76" s="1216"/>
      <c r="H76" s="1213"/>
      <c r="I76" s="1213"/>
      <c r="J76" s="1213"/>
    </row>
    <row r="77" spans="6:10" x14ac:dyDescent="0.25">
      <c r="H77" s="1213"/>
      <c r="I77" s="1213"/>
      <c r="J77" s="1213"/>
    </row>
  </sheetData>
  <customSheetViews>
    <customSheetView guid="{074EB09C-6289-46D7-9513-012B68BCA7BF}" showPageBreaks="1">
      <selection activeCell="A3" sqref="A3"/>
      <pageMargins left="0.7" right="0.7" top="0.75" bottom="0.75" header="0.3" footer="0.3"/>
      <pageSetup orientation="portrait" r:id="rId1"/>
    </customSheetView>
  </customSheetViews>
  <pageMargins left="0.31" right="0.35" top="0.37" bottom="0.75" header="0.3" footer="0.3"/>
  <pageSetup paperSize="17" scale="71" orientation="landscape"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
  <sheetViews>
    <sheetView workbookViewId="0">
      <pane xSplit="1" ySplit="1" topLeftCell="E2" activePane="bottomRight" state="frozen"/>
      <selection pane="topRight" activeCell="B1" sqref="B1"/>
      <selection pane="bottomLeft" activeCell="A2" sqref="A2"/>
      <selection pane="bottomRight" activeCell="C63" sqref="C63"/>
    </sheetView>
  </sheetViews>
  <sheetFormatPr defaultRowHeight="13.2" x14ac:dyDescent="0.25"/>
  <cols>
    <col min="1" max="1" width="15.5546875" style="3369" customWidth="1"/>
    <col min="2" max="2" width="58.44140625" customWidth="1"/>
    <col min="3" max="4" width="17.5546875" customWidth="1"/>
    <col min="5" max="5" width="19.6640625" customWidth="1"/>
    <col min="6" max="8" width="15.6640625" customWidth="1"/>
    <col min="9" max="9" width="21.88671875" customWidth="1"/>
    <col min="10" max="10" width="18.33203125" customWidth="1"/>
    <col min="11" max="11" width="20.6640625" customWidth="1"/>
    <col min="12" max="14" width="17" customWidth="1"/>
  </cols>
  <sheetData>
    <row r="1" spans="2:14" ht="40.5" customHeight="1" x14ac:dyDescent="0.4">
      <c r="B1" s="1283" t="s">
        <v>815</v>
      </c>
      <c r="C1" s="1301"/>
      <c r="D1" s="1301"/>
      <c r="E1" s="1301"/>
      <c r="F1" s="1301"/>
      <c r="G1" s="1309"/>
      <c r="H1" s="1302"/>
      <c r="I1" s="1302"/>
      <c r="J1" s="1271"/>
      <c r="K1" s="1271"/>
      <c r="L1" s="1271"/>
      <c r="M1" s="1271"/>
      <c r="N1" s="1271"/>
    </row>
    <row r="2" spans="2:14" ht="21" customHeight="1" x14ac:dyDescent="0.4">
      <c r="B2" s="1283"/>
      <c r="C2" s="1301"/>
      <c r="D2" s="1301"/>
      <c r="E2" s="1301"/>
      <c r="F2" s="1301"/>
      <c r="G2" s="1309"/>
      <c r="H2" s="1302"/>
      <c r="I2" s="1302"/>
      <c r="J2" s="1271"/>
      <c r="K2" s="1271"/>
      <c r="L2" s="1271"/>
      <c r="M2" s="1271"/>
      <c r="N2" s="1271"/>
    </row>
    <row r="3" spans="2:14" ht="39.6" x14ac:dyDescent="0.25">
      <c r="B3" s="3883"/>
      <c r="C3" s="1277" t="s">
        <v>9</v>
      </c>
      <c r="D3" s="1277" t="s">
        <v>10</v>
      </c>
      <c r="E3" s="1277" t="s">
        <v>701</v>
      </c>
      <c r="F3" s="1277" t="s">
        <v>12</v>
      </c>
      <c r="G3" s="1277" t="s">
        <v>13</v>
      </c>
      <c r="H3" s="1277" t="s">
        <v>14</v>
      </c>
      <c r="I3" s="1277" t="s">
        <v>15</v>
      </c>
      <c r="J3" s="1277" t="s">
        <v>16</v>
      </c>
      <c r="K3" s="1277" t="s">
        <v>702</v>
      </c>
      <c r="L3" s="1277" t="s">
        <v>18</v>
      </c>
      <c r="M3" s="1333" t="s">
        <v>136</v>
      </c>
      <c r="N3" s="1278" t="s">
        <v>19</v>
      </c>
    </row>
    <row r="4" spans="2:14" ht="26.4" x14ac:dyDescent="0.25">
      <c r="B4" s="1330" t="s">
        <v>703</v>
      </c>
      <c r="C4" s="1327"/>
      <c r="D4" s="1327"/>
      <c r="E4" s="1327"/>
      <c r="F4" s="1327"/>
      <c r="G4" s="1327"/>
      <c r="H4" s="1327"/>
      <c r="I4" s="1327"/>
      <c r="J4" s="1327"/>
      <c r="K4" s="1328"/>
      <c r="L4" s="1340">
        <v>606667</v>
      </c>
      <c r="M4" s="1335"/>
      <c r="N4" s="1341" t="s">
        <v>21</v>
      </c>
    </row>
    <row r="5" spans="2:14" x14ac:dyDescent="0.25">
      <c r="B5" s="1331">
        <v>2011</v>
      </c>
      <c r="C5" s="1329">
        <v>26614.9</v>
      </c>
      <c r="D5" s="1329">
        <v>613.5</v>
      </c>
      <c r="E5" s="1329">
        <v>17153.892</v>
      </c>
      <c r="F5" s="1329">
        <v>6000</v>
      </c>
      <c r="G5" s="1329">
        <v>320</v>
      </c>
      <c r="H5" s="1329">
        <v>9980</v>
      </c>
      <c r="I5" s="1329">
        <v>950</v>
      </c>
      <c r="J5" s="1329">
        <v>0</v>
      </c>
      <c r="K5" s="1329">
        <v>452720</v>
      </c>
      <c r="L5" s="1332">
        <v>514352.29200000002</v>
      </c>
      <c r="M5" s="1339">
        <v>208250</v>
      </c>
      <c r="N5" s="1342">
        <v>-0.1521670174906497</v>
      </c>
    </row>
    <row r="6" spans="2:14" x14ac:dyDescent="0.25">
      <c r="B6" s="1274">
        <v>2012</v>
      </c>
      <c r="C6" s="1313">
        <f>C18</f>
        <v>59700</v>
      </c>
      <c r="D6" s="1314">
        <f>C19</f>
        <v>8500</v>
      </c>
      <c r="E6" s="1314">
        <f>C38</f>
        <v>43000</v>
      </c>
      <c r="F6" s="1314">
        <f>C36</f>
        <v>6000</v>
      </c>
      <c r="G6" s="1314">
        <f>C26</f>
        <v>400</v>
      </c>
      <c r="H6" s="1314">
        <f>C48</f>
        <v>8650</v>
      </c>
      <c r="I6" s="1314">
        <f>C34</f>
        <v>2150</v>
      </c>
      <c r="J6" s="1314">
        <f>C28</f>
        <v>100</v>
      </c>
      <c r="K6" s="1315">
        <f>C15</f>
        <v>512400</v>
      </c>
      <c r="L6" s="1315">
        <f>SUM(C6:K6)</f>
        <v>640900</v>
      </c>
      <c r="M6" s="1334">
        <f>C62</f>
        <v>1407000</v>
      </c>
      <c r="N6" s="1342">
        <v>0.48382991943584075</v>
      </c>
    </row>
    <row r="7" spans="2:14" ht="13.8" thickBot="1" x14ac:dyDescent="0.3">
      <c r="B7" s="1321">
        <v>2013</v>
      </c>
      <c r="C7" s="1313">
        <f>D18</f>
        <v>59700</v>
      </c>
      <c r="D7" s="1314">
        <f>D19</f>
        <v>8500</v>
      </c>
      <c r="E7" s="1314">
        <f>D38</f>
        <v>43000</v>
      </c>
      <c r="F7" s="1314">
        <f>D36</f>
        <v>6000</v>
      </c>
      <c r="G7" s="1314">
        <f>D26</f>
        <v>400</v>
      </c>
      <c r="H7" s="1320">
        <f>D48</f>
        <v>8650</v>
      </c>
      <c r="I7" s="1324">
        <f>D34</f>
        <v>2150</v>
      </c>
      <c r="J7" s="1324">
        <f>D28</f>
        <v>100</v>
      </c>
      <c r="K7" s="1325">
        <f>D15</f>
        <v>542400</v>
      </c>
      <c r="L7" s="1315">
        <f>SUM(C7:K7)</f>
        <v>670900</v>
      </c>
      <c r="M7" s="1334">
        <f>D62</f>
        <v>1399000</v>
      </c>
      <c r="N7" s="1342">
        <v>0</v>
      </c>
    </row>
    <row r="8" spans="2:14" ht="13.8" thickBot="1" x14ac:dyDescent="0.3">
      <c r="B8" s="1298" t="s">
        <v>178</v>
      </c>
      <c r="C8" s="1322">
        <f t="shared" ref="C8:M8" si="0">SUM(C6:C7)</f>
        <v>119400</v>
      </c>
      <c r="D8" s="1323">
        <f t="shared" si="0"/>
        <v>17000</v>
      </c>
      <c r="E8" s="1323">
        <f t="shared" si="0"/>
        <v>86000</v>
      </c>
      <c r="F8" s="1323">
        <f t="shared" si="0"/>
        <v>12000</v>
      </c>
      <c r="G8" s="1323">
        <f t="shared" si="0"/>
        <v>800</v>
      </c>
      <c r="H8" s="1323">
        <f t="shared" si="0"/>
        <v>17300</v>
      </c>
      <c r="I8" s="1323">
        <f t="shared" si="0"/>
        <v>4300</v>
      </c>
      <c r="J8" s="1323">
        <f t="shared" si="0"/>
        <v>200</v>
      </c>
      <c r="K8" s="1326">
        <f t="shared" si="0"/>
        <v>1054800</v>
      </c>
      <c r="L8" s="1326">
        <f t="shared" si="0"/>
        <v>1311800</v>
      </c>
      <c r="M8" s="1338">
        <f t="shared" si="0"/>
        <v>2806000</v>
      </c>
      <c r="N8" s="1271"/>
    </row>
    <row r="9" spans="2:14" ht="21" x14ac:dyDescent="0.4">
      <c r="B9" s="1283"/>
      <c r="C9" s="1301"/>
      <c r="D9" s="1301"/>
      <c r="E9" s="1301"/>
      <c r="F9" s="1301"/>
      <c r="G9" s="1309"/>
      <c r="H9" s="1302"/>
      <c r="I9" s="1302"/>
      <c r="J9" s="1271"/>
      <c r="K9" s="1271"/>
      <c r="L9" s="1271"/>
      <c r="M9" s="1271"/>
      <c r="N9" s="1287"/>
    </row>
    <row r="10" spans="2:14" ht="17.399999999999999" x14ac:dyDescent="0.3">
      <c r="B10" s="1284" t="s">
        <v>816</v>
      </c>
      <c r="C10" s="1309"/>
      <c r="D10" s="1309"/>
      <c r="E10" s="1309"/>
      <c r="F10" s="1300"/>
      <c r="G10" s="1300"/>
      <c r="H10" s="1300"/>
      <c r="I10" s="1300"/>
      <c r="J10" s="1271"/>
      <c r="K10" s="1271"/>
      <c r="L10" s="1271"/>
      <c r="M10" s="1271"/>
      <c r="N10" s="1271"/>
    </row>
    <row r="11" spans="2:14" ht="17.399999999999999" x14ac:dyDescent="0.3">
      <c r="B11" s="1285"/>
      <c r="C11" s="1317">
        <v>2012</v>
      </c>
      <c r="D11" s="1318">
        <v>2013</v>
      </c>
      <c r="E11" s="1319" t="s">
        <v>29</v>
      </c>
      <c r="F11" s="1290"/>
      <c r="G11" s="1290"/>
      <c r="H11" s="1290"/>
      <c r="I11" s="3127" t="s">
        <v>706</v>
      </c>
      <c r="J11" s="3120"/>
      <c r="K11" s="1287"/>
      <c r="L11" s="1287"/>
      <c r="M11" s="1336"/>
      <c r="N11" s="1271"/>
    </row>
    <row r="12" spans="2:14" x14ac:dyDescent="0.25">
      <c r="B12" s="3066" t="s">
        <v>707</v>
      </c>
      <c r="C12" s="3226"/>
      <c r="D12" s="3055"/>
      <c r="E12" s="3055"/>
      <c r="F12" s="3326"/>
      <c r="G12" s="1290"/>
      <c r="H12" s="1290"/>
      <c r="I12" s="3121" t="s">
        <v>707</v>
      </c>
      <c r="J12" s="3122">
        <v>1079600</v>
      </c>
      <c r="K12" s="1287"/>
      <c r="L12" s="1271"/>
      <c r="M12" s="1271"/>
      <c r="N12" s="1271"/>
    </row>
    <row r="13" spans="2:14" ht="13.8" x14ac:dyDescent="0.3">
      <c r="B13" s="3903"/>
      <c r="C13" s="3636">
        <v>380700</v>
      </c>
      <c r="D13" s="3637">
        <v>412400</v>
      </c>
      <c r="E13" s="3110">
        <f>SUM(C13:D13)</f>
        <v>793100</v>
      </c>
      <c r="F13" s="3072"/>
      <c r="G13" s="1290"/>
      <c r="H13" s="1290"/>
      <c r="I13" s="3121" t="s">
        <v>709</v>
      </c>
      <c r="J13" s="3123">
        <v>119000</v>
      </c>
      <c r="K13" s="1287"/>
      <c r="L13" s="1271"/>
      <c r="M13" s="1271"/>
      <c r="N13" s="1271"/>
    </row>
    <row r="14" spans="2:14" ht="13.8" x14ac:dyDescent="0.3">
      <c r="B14" s="3903"/>
      <c r="C14" s="3636">
        <v>131700</v>
      </c>
      <c r="D14" s="3637">
        <v>130000</v>
      </c>
      <c r="E14" s="3110">
        <f>SUM(C14:D14)</f>
        <v>261700</v>
      </c>
      <c r="F14" s="3072"/>
      <c r="G14" s="1290"/>
      <c r="H14" s="1290"/>
      <c r="I14" s="3121" t="s">
        <v>711</v>
      </c>
      <c r="J14" s="3123">
        <v>0</v>
      </c>
      <c r="K14" s="1271"/>
      <c r="L14" s="1271"/>
      <c r="M14" s="1271"/>
      <c r="N14" s="1271"/>
    </row>
    <row r="15" spans="2:14" x14ac:dyDescent="0.25">
      <c r="B15" s="3066"/>
      <c r="C15" s="3111">
        <f>SUM(C13:C14)</f>
        <v>512400</v>
      </c>
      <c r="D15" s="3111">
        <f>SUM(D13:D14)</f>
        <v>542400</v>
      </c>
      <c r="E15" s="3106">
        <f>SUM(E13:E14)</f>
        <v>1054800</v>
      </c>
      <c r="F15" s="3072"/>
      <c r="G15" s="1290"/>
      <c r="H15" s="1290"/>
      <c r="I15" s="3121" t="s">
        <v>712</v>
      </c>
      <c r="J15" s="3123">
        <v>7200</v>
      </c>
      <c r="K15" s="1271"/>
      <c r="L15" s="1271"/>
      <c r="M15" s="1271"/>
      <c r="N15" s="1271"/>
    </row>
    <row r="16" spans="2:14" ht="17.399999999999999" x14ac:dyDescent="0.3">
      <c r="B16" s="3067"/>
      <c r="C16" s="3086"/>
      <c r="D16" s="3054"/>
      <c r="E16" s="3087"/>
      <c r="F16" s="3072"/>
      <c r="G16" s="1290"/>
      <c r="H16" s="1290"/>
      <c r="I16" s="3121" t="s">
        <v>526</v>
      </c>
      <c r="J16" s="3118">
        <v>800</v>
      </c>
      <c r="K16" s="1271"/>
      <c r="L16" s="1271"/>
      <c r="M16" s="1271"/>
      <c r="N16" s="1271"/>
    </row>
    <row r="17" spans="2:13" x14ac:dyDescent="0.25">
      <c r="B17" s="3066" t="s">
        <v>713</v>
      </c>
      <c r="C17" s="3088"/>
      <c r="D17" s="3054"/>
      <c r="E17" s="3087"/>
      <c r="F17" s="3069"/>
      <c r="G17" s="1288"/>
      <c r="H17" s="1288"/>
      <c r="I17" s="3121" t="s">
        <v>714</v>
      </c>
      <c r="J17" s="3118">
        <v>200</v>
      </c>
      <c r="K17" s="1271"/>
      <c r="L17" s="1271"/>
      <c r="M17" s="1271"/>
    </row>
    <row r="18" spans="2:13" x14ac:dyDescent="0.25">
      <c r="B18" s="3071" t="s">
        <v>715</v>
      </c>
      <c r="C18" s="3115">
        <v>59700</v>
      </c>
      <c r="D18" s="3103">
        <v>59700</v>
      </c>
      <c r="E18" s="3100">
        <f>SUM(C18:D18)</f>
        <v>119400</v>
      </c>
      <c r="F18" s="3079">
        <v>0.67</v>
      </c>
      <c r="G18" s="1291" t="s">
        <v>716</v>
      </c>
      <c r="H18" s="1289"/>
      <c r="I18" s="3121" t="s">
        <v>717</v>
      </c>
      <c r="J18" s="3118">
        <v>2300</v>
      </c>
      <c r="K18" s="1271"/>
      <c r="L18" s="1271"/>
      <c r="M18" s="1271"/>
    </row>
    <row r="19" spans="2:13" x14ac:dyDescent="0.25">
      <c r="B19" s="3071" t="s">
        <v>720</v>
      </c>
      <c r="C19" s="3115">
        <v>8500</v>
      </c>
      <c r="D19" s="3103">
        <v>8500</v>
      </c>
      <c r="E19" s="3100">
        <f>SUM(C19:D19)</f>
        <v>17000</v>
      </c>
      <c r="F19" s="3079">
        <v>7.0000000000000007E-2</v>
      </c>
      <c r="G19" s="1291" t="s">
        <v>716</v>
      </c>
      <c r="H19" s="1289"/>
      <c r="I19" s="3121" t="s">
        <v>719</v>
      </c>
      <c r="J19" s="3118">
        <v>12000</v>
      </c>
      <c r="K19" s="1271"/>
      <c r="L19" s="1271"/>
      <c r="M19" s="1271"/>
    </row>
    <row r="20" spans="2:13" x14ac:dyDescent="0.25">
      <c r="B20" s="3071"/>
      <c r="C20" s="3089"/>
      <c r="D20" s="3054"/>
      <c r="E20" s="3087"/>
      <c r="F20" s="3070"/>
      <c r="G20" s="1289"/>
      <c r="H20" s="1289"/>
      <c r="I20" s="3121" t="s">
        <v>11</v>
      </c>
      <c r="J20" s="3118">
        <v>79600</v>
      </c>
      <c r="K20" s="1271"/>
      <c r="L20" s="1271"/>
      <c r="M20" s="1337"/>
    </row>
    <row r="21" spans="2:13" x14ac:dyDescent="0.25">
      <c r="B21" s="3066" t="s">
        <v>526</v>
      </c>
      <c r="C21" s="3088"/>
      <c r="D21" s="3054"/>
      <c r="E21" s="3087"/>
      <c r="F21" s="3069"/>
      <c r="G21" s="1288"/>
      <c r="H21" s="1289"/>
      <c r="I21" s="3121" t="s">
        <v>14</v>
      </c>
      <c r="J21" s="3126">
        <v>17300</v>
      </c>
      <c r="K21" s="1271"/>
      <c r="L21" s="1271"/>
      <c r="M21" s="1271"/>
    </row>
    <row r="22" spans="2:13" x14ac:dyDescent="0.25">
      <c r="B22" s="3055" t="s">
        <v>721</v>
      </c>
      <c r="C22" s="3421">
        <v>120</v>
      </c>
      <c r="D22" s="189">
        <v>120</v>
      </c>
      <c r="E22" s="3100">
        <f>SUM(C22:D22)</f>
        <v>240</v>
      </c>
      <c r="F22" s="3080"/>
      <c r="G22" s="1303"/>
      <c r="H22" s="1288"/>
      <c r="I22" s="3116"/>
      <c r="J22" s="3117">
        <v>1318000</v>
      </c>
      <c r="K22" s="1271"/>
      <c r="L22" s="1271"/>
      <c r="M22" s="1271"/>
    </row>
    <row r="23" spans="2:13" x14ac:dyDescent="0.25">
      <c r="B23" s="3071" t="s">
        <v>722</v>
      </c>
      <c r="C23" s="3421">
        <v>190</v>
      </c>
      <c r="D23" s="189">
        <v>190</v>
      </c>
      <c r="E23" s="3474">
        <f t="shared" ref="E23:E25" si="1">SUM(C23:D23)</f>
        <v>380</v>
      </c>
      <c r="F23" s="3055"/>
      <c r="G23" s="1288"/>
      <c r="H23" s="1303"/>
      <c r="I23" s="3121"/>
      <c r="J23" s="3131"/>
      <c r="K23" s="1271"/>
      <c r="L23" s="1271"/>
      <c r="M23" s="1271"/>
    </row>
    <row r="24" spans="2:13" x14ac:dyDescent="0.25">
      <c r="B24" s="3071" t="s">
        <v>725</v>
      </c>
      <c r="C24" s="3421">
        <v>50</v>
      </c>
      <c r="D24" s="189">
        <v>50</v>
      </c>
      <c r="E24" s="3474">
        <f t="shared" si="1"/>
        <v>100</v>
      </c>
      <c r="F24" s="3069"/>
      <c r="G24" s="1288"/>
      <c r="H24" s="1288"/>
      <c r="I24" s="3125" t="s">
        <v>723</v>
      </c>
      <c r="J24" s="3129">
        <v>3107000</v>
      </c>
      <c r="K24" s="1297" t="s">
        <v>804</v>
      </c>
      <c r="L24" s="1271"/>
      <c r="M24" s="1271"/>
    </row>
    <row r="25" spans="2:13" x14ac:dyDescent="0.25">
      <c r="B25" s="3071" t="s">
        <v>728</v>
      </c>
      <c r="C25" s="3093">
        <v>40</v>
      </c>
      <c r="D25" s="3103">
        <v>40</v>
      </c>
      <c r="E25" s="3474">
        <f t="shared" si="1"/>
        <v>80</v>
      </c>
      <c r="F25" s="3069"/>
      <c r="G25" s="1288"/>
      <c r="H25" s="1304"/>
      <c r="I25" s="3125" t="s">
        <v>726</v>
      </c>
      <c r="J25" s="3128">
        <v>0.34747344705503702</v>
      </c>
      <c r="K25" s="1299" t="s">
        <v>805</v>
      </c>
      <c r="L25" s="1271"/>
      <c r="M25" s="1271"/>
    </row>
    <row r="26" spans="2:13" x14ac:dyDescent="0.25">
      <c r="B26" s="3055"/>
      <c r="C26" s="3090">
        <f>SUM(C22:C25)</f>
        <v>400</v>
      </c>
      <c r="D26" s="3077">
        <f>SUM(D22:D25)</f>
        <v>400</v>
      </c>
      <c r="E26" s="3107">
        <f>SUM(E22:E25)</f>
        <v>800</v>
      </c>
      <c r="F26" s="3069"/>
      <c r="G26" s="1288"/>
      <c r="H26" s="1304"/>
      <c r="I26" s="3125" t="s">
        <v>729</v>
      </c>
      <c r="J26" s="3128">
        <v>0.42420341165111042</v>
      </c>
      <c r="K26" s="1299" t="s">
        <v>805</v>
      </c>
      <c r="L26" s="1271"/>
      <c r="M26" s="1271"/>
    </row>
    <row r="27" spans="2:13" x14ac:dyDescent="0.25">
      <c r="B27" s="3054"/>
      <c r="C27" s="3096"/>
      <c r="D27" s="3054"/>
      <c r="E27" s="3087"/>
      <c r="F27" s="3069"/>
      <c r="G27" s="1288"/>
      <c r="H27" s="1304"/>
      <c r="I27" s="3124" t="s">
        <v>730</v>
      </c>
      <c r="J27" s="3130">
        <v>0.81911987860394542</v>
      </c>
      <c r="K27" s="1299" t="s">
        <v>805</v>
      </c>
      <c r="L27" s="1271"/>
      <c r="M27" s="1271"/>
    </row>
    <row r="28" spans="2:13" x14ac:dyDescent="0.25">
      <c r="B28" s="3066" t="s">
        <v>714</v>
      </c>
      <c r="C28" s="3090">
        <v>100</v>
      </c>
      <c r="D28" s="3085">
        <v>100</v>
      </c>
      <c r="E28" s="3107">
        <f>SUM(C28:D28)</f>
        <v>200</v>
      </c>
      <c r="F28" s="3069"/>
      <c r="G28" s="1288"/>
      <c r="H28" s="1304"/>
      <c r="I28" s="1271"/>
      <c r="J28" s="1271"/>
      <c r="K28" s="1271"/>
      <c r="L28" s="1271"/>
      <c r="M28" s="1271"/>
    </row>
    <row r="29" spans="2:13" x14ac:dyDescent="0.25">
      <c r="B29" s="3054"/>
      <c r="C29" s="3096"/>
      <c r="D29" s="3054"/>
      <c r="E29" s="3087"/>
      <c r="F29" s="3069"/>
      <c r="G29" s="1288"/>
      <c r="H29" s="1304"/>
      <c r="I29" s="1271"/>
      <c r="J29" s="1271"/>
      <c r="K29" s="1271"/>
      <c r="L29" s="1271"/>
      <c r="M29" s="1271"/>
    </row>
    <row r="30" spans="2:13" x14ac:dyDescent="0.25">
      <c r="B30" s="3065" t="s">
        <v>717</v>
      </c>
      <c r="C30" s="3096"/>
      <c r="D30" s="3054"/>
      <c r="E30" s="3087"/>
      <c r="F30" s="3081"/>
      <c r="G30" s="1304"/>
      <c r="H30" s="1304"/>
      <c r="I30" s="1271"/>
      <c r="J30" s="1271"/>
      <c r="K30" s="1271"/>
      <c r="L30" s="1271"/>
      <c r="M30" s="1271"/>
    </row>
    <row r="31" spans="2:13" x14ac:dyDescent="0.25">
      <c r="B31" s="3055" t="s">
        <v>731</v>
      </c>
      <c r="C31" s="3096">
        <v>2000</v>
      </c>
      <c r="D31" s="3103">
        <v>2000</v>
      </c>
      <c r="E31" s="3100">
        <f>SUM(C31:D31)</f>
        <v>4000</v>
      </c>
      <c r="F31" s="3081"/>
      <c r="G31" s="1304"/>
      <c r="H31" s="1304"/>
      <c r="I31" s="1290"/>
      <c r="J31" s="1271"/>
      <c r="K31" s="1271"/>
      <c r="L31" s="1271"/>
      <c r="M31" s="1271"/>
    </row>
    <row r="32" spans="2:13" x14ac:dyDescent="0.25">
      <c r="B32" s="3055" t="s">
        <v>732</v>
      </c>
      <c r="C32" s="3096">
        <v>20</v>
      </c>
      <c r="D32" s="3103">
        <v>20</v>
      </c>
      <c r="E32" s="3474">
        <f t="shared" ref="E32:E33" si="2">SUM(C32:D32)</f>
        <v>40</v>
      </c>
      <c r="F32" s="3081"/>
      <c r="G32" s="1304"/>
      <c r="H32" s="1304"/>
      <c r="I32" s="1290"/>
      <c r="J32" s="1271"/>
      <c r="K32" s="1271"/>
      <c r="L32" s="1271"/>
      <c r="M32" s="1271"/>
    </row>
    <row r="33" spans="2:9" x14ac:dyDescent="0.25">
      <c r="B33" s="3054" t="s">
        <v>733</v>
      </c>
      <c r="C33" s="3096">
        <v>130</v>
      </c>
      <c r="D33" s="3103">
        <v>130</v>
      </c>
      <c r="E33" s="3474">
        <f t="shared" si="2"/>
        <v>260</v>
      </c>
      <c r="F33" s="3081"/>
      <c r="G33" s="1304"/>
      <c r="H33" s="1304"/>
      <c r="I33" s="1290"/>
    </row>
    <row r="34" spans="2:9" x14ac:dyDescent="0.25">
      <c r="B34" s="3065" t="s">
        <v>734</v>
      </c>
      <c r="C34" s="3091">
        <f>SUM(C31:C33)</f>
        <v>2150</v>
      </c>
      <c r="D34" s="3073">
        <f>SUM(D31:D33)</f>
        <v>2150</v>
      </c>
      <c r="E34" s="3107">
        <f>SUM(E31:E33)</f>
        <v>4300</v>
      </c>
      <c r="F34" s="3081"/>
      <c r="G34" s="1304"/>
      <c r="H34" s="1304"/>
      <c r="I34" s="1290"/>
    </row>
    <row r="35" spans="2:9" x14ac:dyDescent="0.25">
      <c r="B35" s="3054"/>
      <c r="C35" s="3096"/>
      <c r="D35" s="3054"/>
      <c r="E35" s="3087"/>
      <c r="F35" s="3081"/>
      <c r="G35" s="1304"/>
      <c r="H35" s="1304"/>
      <c r="I35" s="1290"/>
    </row>
    <row r="36" spans="2:9" x14ac:dyDescent="0.25">
      <c r="B36" s="3065" t="s">
        <v>719</v>
      </c>
      <c r="C36" s="3091">
        <v>6000</v>
      </c>
      <c r="D36" s="3104">
        <v>6000</v>
      </c>
      <c r="E36" s="3107">
        <f>SUM(C36:D36)</f>
        <v>12000</v>
      </c>
      <c r="F36" s="3081"/>
      <c r="G36" s="1304"/>
      <c r="H36" s="1304"/>
      <c r="I36" s="1290"/>
    </row>
    <row r="37" spans="2:9" x14ac:dyDescent="0.25">
      <c r="B37" s="3054"/>
      <c r="C37" s="3096"/>
      <c r="D37" s="3054"/>
      <c r="E37" s="3087"/>
      <c r="F37" s="3081"/>
      <c r="G37" s="1305"/>
      <c r="H37" s="1304"/>
      <c r="I37" s="1290"/>
    </row>
    <row r="38" spans="2:9" x14ac:dyDescent="0.25">
      <c r="B38" s="3065" t="s">
        <v>11</v>
      </c>
      <c r="C38" s="3417">
        <f>ROUND(SUM(C18:C19)*0.63, -2)</f>
        <v>43000</v>
      </c>
      <c r="D38" s="3395">
        <f>ROUND(SUM(D18:D19)*0.63, -2)</f>
        <v>43000</v>
      </c>
      <c r="E38" s="3107">
        <f>SUM(C38:D38)</f>
        <v>86000</v>
      </c>
      <c r="F38" s="3081"/>
      <c r="G38" s="1305"/>
      <c r="H38" s="1304"/>
      <c r="I38" s="1290"/>
    </row>
    <row r="39" spans="2:9" x14ac:dyDescent="0.25">
      <c r="B39" s="3054"/>
      <c r="C39" s="3096"/>
      <c r="D39" s="3082"/>
      <c r="E39" s="3097"/>
      <c r="F39" s="3081"/>
      <c r="G39" s="1272"/>
      <c r="H39" s="1304"/>
      <c r="I39" s="1290"/>
    </row>
    <row r="40" spans="2:9" x14ac:dyDescent="0.25">
      <c r="B40" s="3053" t="s">
        <v>14</v>
      </c>
      <c r="C40" s="3096"/>
      <c r="D40" s="3082"/>
      <c r="E40" s="3097"/>
      <c r="F40" s="3081"/>
      <c r="G40" s="1272"/>
      <c r="H40" s="1304"/>
      <c r="I40" s="1286"/>
    </row>
    <row r="41" spans="2:9" x14ac:dyDescent="0.25">
      <c r="B41" s="3109" t="s">
        <v>708</v>
      </c>
      <c r="C41" s="3096"/>
      <c r="D41" s="3082"/>
      <c r="E41" s="3097"/>
      <c r="F41" s="3081"/>
      <c r="G41" s="1272"/>
      <c r="H41" s="1304"/>
      <c r="I41" s="1286"/>
    </row>
    <row r="42" spans="2:9" x14ac:dyDescent="0.25">
      <c r="B42" s="3076" t="s">
        <v>757</v>
      </c>
      <c r="C42" s="3093">
        <v>3300</v>
      </c>
      <c r="D42" s="3083">
        <v>3300</v>
      </c>
      <c r="E42" s="3094">
        <f>SUM(C42:D42)</f>
        <v>6600</v>
      </c>
      <c r="F42" s="3081"/>
      <c r="G42" s="1272"/>
      <c r="H42" s="1304"/>
      <c r="I42" s="1286"/>
    </row>
    <row r="43" spans="2:9" x14ac:dyDescent="0.25">
      <c r="B43" s="3055" t="s">
        <v>817</v>
      </c>
      <c r="C43" s="3093">
        <v>3550</v>
      </c>
      <c r="D43" s="3083">
        <v>3550</v>
      </c>
      <c r="E43" s="3473">
        <f t="shared" ref="E43:E47" si="3">SUM(C43:D43)</f>
        <v>7100</v>
      </c>
      <c r="F43" s="3055"/>
      <c r="G43" s="1305"/>
      <c r="H43" s="1304"/>
      <c r="I43" s="1286"/>
    </row>
    <row r="44" spans="2:9" x14ac:dyDescent="0.25">
      <c r="B44" s="3109" t="s">
        <v>710</v>
      </c>
      <c r="C44" s="3093"/>
      <c r="D44" s="3083"/>
      <c r="E44" s="3473">
        <f t="shared" si="3"/>
        <v>0</v>
      </c>
      <c r="F44" s="3055"/>
      <c r="G44" s="1305"/>
      <c r="H44" s="1304"/>
      <c r="I44" s="1286"/>
    </row>
    <row r="45" spans="2:9" x14ac:dyDescent="0.25">
      <c r="B45" s="3114" t="s">
        <v>786</v>
      </c>
      <c r="C45" s="3093">
        <v>0</v>
      </c>
      <c r="D45" s="3083">
        <v>0</v>
      </c>
      <c r="E45" s="3473">
        <f t="shared" si="3"/>
        <v>0</v>
      </c>
      <c r="F45" s="3055"/>
      <c r="G45" s="1305"/>
      <c r="H45" s="1304"/>
      <c r="I45" s="1286"/>
    </row>
    <row r="46" spans="2:9" x14ac:dyDescent="0.25">
      <c r="B46" s="3114" t="s">
        <v>787</v>
      </c>
      <c r="C46" s="3093">
        <v>0</v>
      </c>
      <c r="D46" s="3083">
        <v>0</v>
      </c>
      <c r="E46" s="3473">
        <f t="shared" si="3"/>
        <v>0</v>
      </c>
      <c r="F46" s="3055"/>
      <c r="G46" s="1305"/>
      <c r="H46" s="1304"/>
      <c r="I46" s="1286"/>
    </row>
    <row r="47" spans="2:9" x14ac:dyDescent="0.25">
      <c r="B47" s="3108" t="s">
        <v>789</v>
      </c>
      <c r="C47" s="3093">
        <v>1800</v>
      </c>
      <c r="D47" s="3083">
        <v>1800</v>
      </c>
      <c r="E47" s="3473">
        <f t="shared" si="3"/>
        <v>3600</v>
      </c>
      <c r="F47" s="3055"/>
      <c r="G47" s="1305"/>
      <c r="H47" s="1304"/>
      <c r="I47" s="1286"/>
    </row>
    <row r="48" spans="2:9" x14ac:dyDescent="0.25">
      <c r="B48" s="3074" t="s">
        <v>743</v>
      </c>
      <c r="C48" s="3090">
        <f>SUM(C42:C47)</f>
        <v>8650</v>
      </c>
      <c r="D48" s="3090">
        <f>SUM(D42:D47)</f>
        <v>8650</v>
      </c>
      <c r="E48" s="3095">
        <f>SUM(E42:E47)</f>
        <v>17300</v>
      </c>
      <c r="F48" s="3081"/>
      <c r="G48" s="1305"/>
      <c r="H48" s="1304"/>
      <c r="I48" s="1286"/>
    </row>
    <row r="49" spans="2:9" ht="13.8" thickBot="1" x14ac:dyDescent="0.3">
      <c r="B49" s="3068"/>
      <c r="C49" s="3093"/>
      <c r="D49" s="3083"/>
      <c r="E49" s="3094"/>
      <c r="F49" s="3081"/>
      <c r="G49" s="1305"/>
      <c r="H49" s="1304"/>
      <c r="I49" s="1286"/>
    </row>
    <row r="50" spans="2:9" ht="13.8" thickBot="1" x14ac:dyDescent="0.3">
      <c r="B50" s="3074" t="s">
        <v>744</v>
      </c>
      <c r="C50" s="3092">
        <f>C15+C18+C19+C26+C28+C36+C34+C38+C48</f>
        <v>640900</v>
      </c>
      <c r="D50" s="3333">
        <f t="shared" ref="D50" si="4">D15+D18+D19+D26+D28+D36+D34+D38+D48</f>
        <v>670900</v>
      </c>
      <c r="E50" s="3333">
        <f>E15+E18+E19+E26+E28+E36+E34+E38+E48</f>
        <v>1311800</v>
      </c>
      <c r="F50" s="3337"/>
      <c r="G50" s="1305"/>
      <c r="H50" s="1304"/>
      <c r="I50" s="1286"/>
    </row>
    <row r="51" spans="2:9" x14ac:dyDescent="0.25">
      <c r="B51" s="3052"/>
      <c r="C51" s="3083"/>
      <c r="D51" s="3083"/>
      <c r="E51" s="3083"/>
      <c r="F51" s="3081"/>
      <c r="G51" s="1305"/>
      <c r="H51" s="1304"/>
      <c r="I51" s="1286"/>
    </row>
    <row r="52" spans="2:9" x14ac:dyDescent="0.25">
      <c r="B52" s="3055"/>
      <c r="C52" s="3102">
        <v>2012</v>
      </c>
      <c r="D52" s="3102">
        <v>2013</v>
      </c>
      <c r="E52" s="3102" t="s">
        <v>29</v>
      </c>
      <c r="F52" s="3055"/>
      <c r="G52" s="1305"/>
      <c r="H52" s="1304"/>
      <c r="I52" s="1286"/>
    </row>
    <row r="53" spans="2:9" x14ac:dyDescent="0.25">
      <c r="B53" s="3065" t="s">
        <v>806</v>
      </c>
      <c r="C53" s="3638"/>
      <c r="D53" s="2609"/>
      <c r="E53" s="3112"/>
      <c r="F53" s="3055"/>
      <c r="G53" s="1304"/>
      <c r="H53" s="1304"/>
      <c r="I53" s="1286"/>
    </row>
    <row r="54" spans="2:9" ht="24" customHeight="1" x14ac:dyDescent="0.3">
      <c r="B54" s="3903"/>
      <c r="C54" s="3447"/>
      <c r="D54" s="3400"/>
      <c r="E54" s="3113"/>
      <c r="F54" s="3077"/>
      <c r="G54" s="1304"/>
      <c r="H54" s="1304"/>
      <c r="I54" s="1286"/>
    </row>
    <row r="55" spans="2:9" x14ac:dyDescent="0.25">
      <c r="B55" s="3108" t="s">
        <v>799</v>
      </c>
      <c r="C55" s="3449">
        <v>110000</v>
      </c>
      <c r="D55" s="3434">
        <v>121000</v>
      </c>
      <c r="E55" s="3101">
        <f>SUM(C55:D55)</f>
        <v>231000</v>
      </c>
      <c r="F55" s="3077"/>
      <c r="G55" s="1304"/>
      <c r="H55" s="1304"/>
      <c r="I55" s="1286"/>
    </row>
    <row r="56" spans="2:9" x14ac:dyDescent="0.25">
      <c r="B56" s="3108" t="s">
        <v>800</v>
      </c>
      <c r="C56" s="3449">
        <v>11000</v>
      </c>
      <c r="D56" s="3434">
        <v>10000</v>
      </c>
      <c r="E56" s="3476">
        <f t="shared" ref="E56:E61" si="5">SUM(C56:D56)</f>
        <v>21000</v>
      </c>
      <c r="F56" s="3077"/>
      <c r="G56" s="1304"/>
      <c r="H56" s="1304"/>
      <c r="I56" s="1286"/>
    </row>
    <row r="57" spans="2:9" x14ac:dyDescent="0.25">
      <c r="B57" s="3108" t="s">
        <v>818</v>
      </c>
      <c r="C57" s="3449">
        <v>12000</v>
      </c>
      <c r="D57" s="3434">
        <v>12000</v>
      </c>
      <c r="E57" s="3476">
        <f>SUM(C57:D57)</f>
        <v>24000</v>
      </c>
      <c r="F57" s="3077"/>
      <c r="G57" s="1304"/>
      <c r="H57" s="1304"/>
      <c r="I57" s="1286"/>
    </row>
    <row r="58" spans="2:9" ht="22.5" customHeight="1" x14ac:dyDescent="0.3">
      <c r="B58" s="3903"/>
      <c r="C58" s="3449"/>
      <c r="D58" s="3434"/>
      <c r="E58" s="3476">
        <f t="shared" si="5"/>
        <v>0</v>
      </c>
      <c r="F58" s="3077"/>
      <c r="G58" s="1304"/>
      <c r="H58" s="1304"/>
      <c r="I58" s="1286"/>
    </row>
    <row r="59" spans="2:9" x14ac:dyDescent="0.25">
      <c r="B59" s="3108" t="s">
        <v>786</v>
      </c>
      <c r="C59" s="3449">
        <v>13000</v>
      </c>
      <c r="D59" s="3434">
        <v>9000</v>
      </c>
      <c r="E59" s="3476">
        <f t="shared" si="5"/>
        <v>22000</v>
      </c>
      <c r="F59" s="3077"/>
      <c r="G59" s="1304"/>
      <c r="H59" s="1304"/>
      <c r="I59" s="1286"/>
    </row>
    <row r="60" spans="2:9" x14ac:dyDescent="0.25">
      <c r="B60" s="3108" t="s">
        <v>787</v>
      </c>
      <c r="C60" s="3449">
        <v>1250000</v>
      </c>
      <c r="D60" s="3434">
        <v>1236000</v>
      </c>
      <c r="E60" s="3476">
        <f>SUM(C60:D60)</f>
        <v>2486000</v>
      </c>
      <c r="F60" s="3077"/>
      <c r="G60" s="1304"/>
      <c r="H60" s="1304"/>
      <c r="I60" s="1286"/>
    </row>
    <row r="61" spans="2:9" x14ac:dyDescent="0.25">
      <c r="B61" s="3108" t="s">
        <v>789</v>
      </c>
      <c r="C61" s="3451">
        <v>11000</v>
      </c>
      <c r="D61" s="3452">
        <v>11000</v>
      </c>
      <c r="E61" s="3476">
        <f t="shared" si="5"/>
        <v>22000</v>
      </c>
      <c r="F61" s="3077"/>
      <c r="G61" s="1304"/>
      <c r="H61" s="1304"/>
      <c r="I61" s="1286"/>
    </row>
    <row r="62" spans="2:9" x14ac:dyDescent="0.25">
      <c r="B62" s="3065" t="s">
        <v>819</v>
      </c>
      <c r="C62" s="3098">
        <f>SUM(C53:C61)</f>
        <v>1407000</v>
      </c>
      <c r="D62" s="3098">
        <f>SUM(D53:D61)</f>
        <v>1399000</v>
      </c>
      <c r="E62" s="3099">
        <f>SUM(E53:E61)</f>
        <v>2806000</v>
      </c>
      <c r="F62" s="3077" t="s">
        <v>617</v>
      </c>
      <c r="G62" s="1304"/>
      <c r="H62" s="1304"/>
      <c r="I62" s="1286"/>
    </row>
    <row r="63" spans="2:9" x14ac:dyDescent="0.25">
      <c r="B63" s="3065"/>
      <c r="C63" s="3078"/>
      <c r="D63" s="3078"/>
      <c r="E63" s="3078"/>
      <c r="F63" s="3077"/>
      <c r="G63" s="1304"/>
      <c r="H63" s="1304"/>
      <c r="I63" s="1286"/>
    </row>
    <row r="64" spans="2:9" x14ac:dyDescent="0.25">
      <c r="B64" s="3084" t="s">
        <v>751</v>
      </c>
      <c r="C64" s="3105">
        <v>0.50080463469584813</v>
      </c>
      <c r="D64" s="3105">
        <v>0.49919536530415193</v>
      </c>
      <c r="E64" s="3075"/>
      <c r="F64" s="3075"/>
      <c r="G64" s="1306"/>
      <c r="H64" s="1304"/>
      <c r="I64" s="1286"/>
    </row>
    <row r="65" spans="2:10" x14ac:dyDescent="0.25">
      <c r="B65" s="1276"/>
      <c r="C65" s="1296"/>
      <c r="D65" s="1296"/>
      <c r="E65" s="1296"/>
      <c r="F65" s="1295"/>
      <c r="G65" s="1306"/>
      <c r="H65" s="1304"/>
      <c r="I65" s="1286"/>
      <c r="J65" s="1271"/>
    </row>
    <row r="66" spans="2:10" x14ac:dyDescent="0.25">
      <c r="B66" s="1307"/>
      <c r="C66" s="1343"/>
      <c r="D66" s="1343"/>
      <c r="E66" s="1293"/>
      <c r="F66" s="1293"/>
      <c r="G66" s="1293"/>
      <c r="H66" s="1304"/>
      <c r="I66" s="1286"/>
      <c r="J66" s="1271"/>
    </row>
    <row r="67" spans="2:10" x14ac:dyDescent="0.25">
      <c r="B67" s="1271"/>
      <c r="C67" s="1293"/>
      <c r="D67" s="1293"/>
      <c r="E67" s="1293"/>
      <c r="F67" s="1306"/>
      <c r="G67" s="1293"/>
      <c r="H67" s="1304"/>
      <c r="I67" s="1286"/>
      <c r="J67" s="1271"/>
    </row>
    <row r="68" spans="2:10" ht="21" x14ac:dyDescent="0.4">
      <c r="B68" s="1283"/>
      <c r="C68" s="1294"/>
      <c r="D68" s="1294"/>
      <c r="E68" s="1294"/>
      <c r="F68" s="1306"/>
      <c r="G68" s="1293"/>
      <c r="H68" s="1304"/>
      <c r="I68" s="1286"/>
      <c r="J68" s="1271"/>
    </row>
    <row r="69" spans="2:10" x14ac:dyDescent="0.25">
      <c r="B69" s="1275"/>
      <c r="C69" s="1275"/>
      <c r="D69" s="1275"/>
      <c r="E69" s="1275"/>
      <c r="F69" s="1306"/>
      <c r="G69" s="1293"/>
      <c r="H69" s="1306"/>
      <c r="I69" s="1292"/>
      <c r="J69" s="1275"/>
    </row>
    <row r="70" spans="2:10" x14ac:dyDescent="0.25">
      <c r="B70" s="1308"/>
      <c r="C70" s="1271"/>
      <c r="D70" s="1271"/>
      <c r="E70" s="1271"/>
      <c r="F70" s="1306"/>
      <c r="G70" s="1293"/>
      <c r="H70" s="1293"/>
      <c r="I70" s="1293"/>
      <c r="J70" s="1275"/>
    </row>
    <row r="71" spans="2:10" x14ac:dyDescent="0.25">
      <c r="B71" s="1271"/>
      <c r="C71" s="1271"/>
      <c r="D71" s="1271"/>
      <c r="E71" s="1271"/>
      <c r="F71" s="1271"/>
      <c r="G71" s="1293"/>
      <c r="H71" s="1293"/>
      <c r="I71" s="1293"/>
      <c r="J71" s="1275"/>
    </row>
    <row r="72" spans="2:10" x14ac:dyDescent="0.25">
      <c r="B72" s="1271"/>
      <c r="C72" s="1279"/>
      <c r="D72" s="1279"/>
      <c r="E72" s="1279"/>
      <c r="F72" s="1271"/>
      <c r="G72" s="1306"/>
      <c r="H72" s="1293"/>
      <c r="I72" s="1293"/>
      <c r="J72" s="1275"/>
    </row>
    <row r="73" spans="2:10" x14ac:dyDescent="0.25">
      <c r="B73" s="1281"/>
      <c r="C73" s="1310"/>
      <c r="D73" s="1310"/>
      <c r="E73" s="1310"/>
      <c r="F73" s="1273"/>
      <c r="G73" s="1282"/>
      <c r="H73" s="1293"/>
      <c r="I73" s="1293"/>
      <c r="J73" s="1275"/>
    </row>
    <row r="74" spans="2:10" ht="21" x14ac:dyDescent="0.4">
      <c r="B74" s="1283"/>
      <c r="C74" s="1310"/>
      <c r="D74" s="1310"/>
      <c r="E74" s="1310"/>
      <c r="F74" s="1273"/>
      <c r="G74" s="1280"/>
      <c r="H74" s="1293"/>
      <c r="I74" s="1293"/>
      <c r="J74" s="1275"/>
    </row>
    <row r="75" spans="2:10" x14ac:dyDescent="0.25">
      <c r="B75" s="1281"/>
      <c r="C75" s="1310"/>
      <c r="D75" s="1310"/>
      <c r="E75" s="1310"/>
      <c r="F75" s="1273"/>
      <c r="G75" s="1311"/>
      <c r="H75" s="1293"/>
      <c r="I75" s="1293"/>
      <c r="J75" s="1275"/>
    </row>
    <row r="76" spans="2:10" x14ac:dyDescent="0.25">
      <c r="B76" s="1281"/>
      <c r="C76" s="1310"/>
      <c r="D76" s="1310"/>
      <c r="E76" s="1310"/>
      <c r="F76" s="1273"/>
      <c r="G76" s="1311"/>
      <c r="H76" s="1306"/>
      <c r="I76" s="1293"/>
      <c r="J76" s="1275"/>
    </row>
    <row r="77" spans="2:10" x14ac:dyDescent="0.25">
      <c r="B77" s="1281"/>
      <c r="C77" s="1310"/>
      <c r="D77" s="1310"/>
      <c r="E77" s="1310"/>
      <c r="F77" s="1273"/>
      <c r="G77" s="1311"/>
      <c r="H77" s="1306"/>
      <c r="I77" s="1292"/>
      <c r="J77" s="1275"/>
    </row>
    <row r="78" spans="2:10" x14ac:dyDescent="0.25">
      <c r="B78" s="1281"/>
      <c r="C78" s="1310"/>
      <c r="D78" s="1310"/>
      <c r="E78" s="1310"/>
      <c r="F78" s="1273"/>
      <c r="G78" s="1311"/>
      <c r="H78" s="1306"/>
      <c r="I78" s="1292"/>
      <c r="J78" s="1275"/>
    </row>
    <row r="79" spans="2:10" x14ac:dyDescent="0.25">
      <c r="B79" s="1271"/>
      <c r="C79" s="1271"/>
      <c r="D79" s="1271"/>
      <c r="E79" s="1271"/>
      <c r="F79" s="1271"/>
      <c r="G79" s="1271"/>
      <c r="H79" s="1306"/>
      <c r="I79" s="1292"/>
      <c r="J79" s="1275"/>
    </row>
    <row r="80" spans="2:10" x14ac:dyDescent="0.25">
      <c r="B80" s="1271"/>
      <c r="C80" s="1271"/>
      <c r="D80" s="1271"/>
      <c r="E80" s="1271"/>
      <c r="F80" s="1271"/>
      <c r="G80" s="1271"/>
      <c r="H80" s="1306"/>
      <c r="I80" s="1292"/>
      <c r="J80" s="1275"/>
    </row>
    <row r="81" spans="2:10" x14ac:dyDescent="0.25">
      <c r="B81" s="1271"/>
      <c r="C81" s="1271"/>
      <c r="D81" s="1271"/>
      <c r="E81" s="1271"/>
      <c r="F81" s="1271"/>
      <c r="G81" s="1271"/>
      <c r="H81" s="1306"/>
      <c r="I81" s="1292"/>
      <c r="J81" s="1275"/>
    </row>
    <row r="82" spans="2:10" x14ac:dyDescent="0.25">
      <c r="B82" s="1271"/>
      <c r="C82" s="1271"/>
      <c r="D82" s="1271"/>
      <c r="E82" s="1271"/>
      <c r="F82" s="1271"/>
      <c r="G82" s="1271"/>
      <c r="H82" s="1306"/>
      <c r="I82" s="1292"/>
      <c r="J82" s="1275"/>
    </row>
    <row r="83" spans="2:10" x14ac:dyDescent="0.25">
      <c r="B83" s="1271"/>
      <c r="C83" s="1271"/>
      <c r="D83" s="1271"/>
      <c r="E83" s="1271"/>
      <c r="F83" s="1271"/>
      <c r="G83" s="1271"/>
      <c r="H83" s="1306"/>
      <c r="I83" s="1292"/>
      <c r="J83" s="1275"/>
    </row>
    <row r="84" spans="2:10" x14ac:dyDescent="0.25">
      <c r="B84" s="1271"/>
      <c r="C84" s="1271"/>
      <c r="D84" s="1271"/>
      <c r="E84" s="1271"/>
      <c r="F84" s="1271"/>
      <c r="G84" s="1271"/>
      <c r="H84" s="1306"/>
      <c r="I84" s="1292"/>
      <c r="J84" s="1275"/>
    </row>
    <row r="85" spans="2:10" x14ac:dyDescent="0.25">
      <c r="B85" s="1271"/>
      <c r="C85" s="1271"/>
      <c r="D85" s="1271"/>
      <c r="E85" s="1271"/>
      <c r="F85" s="1271"/>
      <c r="G85" s="1271"/>
      <c r="H85" s="1306"/>
      <c r="I85" s="1292"/>
      <c r="J85" s="1275"/>
    </row>
    <row r="86" spans="2:10" x14ac:dyDescent="0.25">
      <c r="B86" s="1271"/>
      <c r="C86" s="1271"/>
      <c r="D86" s="1271"/>
      <c r="E86" s="1271"/>
      <c r="F86" s="1271"/>
      <c r="G86" s="1271"/>
      <c r="H86" s="1306"/>
      <c r="I86" s="1292"/>
      <c r="J86" s="1275"/>
    </row>
    <row r="87" spans="2:10" x14ac:dyDescent="0.25">
      <c r="B87" s="1271"/>
      <c r="C87" s="1271"/>
      <c r="D87" s="1271"/>
      <c r="E87" s="1271"/>
      <c r="F87" s="1271"/>
      <c r="G87" s="1271"/>
      <c r="H87" s="1306"/>
      <c r="I87" s="1292"/>
      <c r="J87" s="1275"/>
    </row>
    <row r="88" spans="2:10" x14ac:dyDescent="0.25">
      <c r="B88" s="1271"/>
      <c r="C88" s="1271"/>
      <c r="D88" s="1271"/>
      <c r="E88" s="1271"/>
      <c r="F88" s="1271"/>
      <c r="G88" s="1271"/>
      <c r="H88" s="1306"/>
      <c r="I88" s="1292"/>
      <c r="J88" s="1275"/>
    </row>
    <row r="89" spans="2:10" x14ac:dyDescent="0.25">
      <c r="B89" s="1271"/>
      <c r="C89" s="1271"/>
      <c r="D89" s="1271"/>
      <c r="E89" s="1271"/>
      <c r="F89" s="1271"/>
      <c r="G89" s="1271"/>
      <c r="H89" s="1306"/>
      <c r="I89" s="1292"/>
      <c r="J89" s="1275"/>
    </row>
    <row r="90" spans="2:10" x14ac:dyDescent="0.25">
      <c r="B90" s="1271"/>
      <c r="C90" s="1271"/>
      <c r="D90" s="1271"/>
      <c r="E90" s="1271"/>
      <c r="F90" s="1271"/>
      <c r="G90" s="1271"/>
      <c r="H90" s="1306"/>
      <c r="I90" s="1292"/>
      <c r="J90" s="1275"/>
    </row>
    <row r="91" spans="2:10" x14ac:dyDescent="0.25">
      <c r="B91" s="1271"/>
      <c r="C91" s="1271"/>
      <c r="D91" s="1271"/>
      <c r="E91" s="1271"/>
      <c r="F91" s="1271"/>
      <c r="G91" s="1271"/>
      <c r="H91" s="1306"/>
      <c r="I91" s="1292"/>
      <c r="J91" s="1275"/>
    </row>
    <row r="92" spans="2:10" x14ac:dyDescent="0.25">
      <c r="B92" s="4776"/>
      <c r="C92" s="4776"/>
      <c r="D92" s="4776"/>
      <c r="E92" s="4776"/>
      <c r="F92" s="4776"/>
      <c r="G92" s="1271"/>
      <c r="H92" s="1306"/>
      <c r="I92" s="1292"/>
      <c r="J92" s="1275"/>
    </row>
    <row r="93" spans="2:10" x14ac:dyDescent="0.25">
      <c r="B93" s="4776"/>
      <c r="C93" s="4776"/>
      <c r="D93" s="4776"/>
      <c r="E93" s="4776"/>
      <c r="F93" s="4776"/>
      <c r="G93" s="1271"/>
      <c r="H93" s="1306"/>
      <c r="I93" s="1292"/>
      <c r="J93" s="1275"/>
    </row>
    <row r="94" spans="2:10" x14ac:dyDescent="0.25">
      <c r="B94" s="4776"/>
      <c r="C94" s="4776"/>
      <c r="D94" s="4776"/>
      <c r="E94" s="4776"/>
      <c r="F94" s="4776"/>
      <c r="G94" s="1271"/>
      <c r="H94" s="1306"/>
      <c r="I94" s="1292"/>
      <c r="J94" s="1275"/>
    </row>
    <row r="95" spans="2:10" x14ac:dyDescent="0.25">
      <c r="B95" s="4776"/>
      <c r="C95" s="4776"/>
      <c r="D95" s="4776"/>
      <c r="E95" s="4776"/>
      <c r="F95" s="4776"/>
      <c r="G95" s="1271"/>
      <c r="H95" s="1306"/>
      <c r="I95" s="1292"/>
      <c r="J95" s="1275"/>
    </row>
    <row r="96" spans="2:10" x14ac:dyDescent="0.25">
      <c r="B96" s="4776"/>
      <c r="C96" s="4776"/>
      <c r="D96" s="4776"/>
      <c r="E96" s="4776"/>
      <c r="F96" s="4776"/>
      <c r="G96" s="1271"/>
      <c r="H96" s="1293"/>
      <c r="I96" s="1293"/>
      <c r="J96" s="1275"/>
    </row>
    <row r="97" spans="2:10" x14ac:dyDescent="0.25">
      <c r="B97" s="4776"/>
      <c r="C97" s="4776"/>
      <c r="D97" s="4776"/>
      <c r="E97" s="4776"/>
      <c r="F97" s="4776"/>
      <c r="G97" s="1271"/>
      <c r="H97" s="1293"/>
      <c r="I97" s="1293"/>
      <c r="J97" s="1275"/>
    </row>
    <row r="98" spans="2:10" x14ac:dyDescent="0.25">
      <c r="B98" s="1271"/>
      <c r="C98" s="1271"/>
      <c r="D98" s="1271"/>
      <c r="E98" s="1271"/>
      <c r="F98" s="1271"/>
      <c r="G98" s="1271"/>
      <c r="H98" s="1293"/>
      <c r="I98" s="1293"/>
      <c r="J98" s="1275"/>
    </row>
    <row r="99" spans="2:10" x14ac:dyDescent="0.25">
      <c r="B99" s="1271"/>
      <c r="C99" s="1271"/>
      <c r="D99" s="1271"/>
      <c r="E99" s="1271"/>
      <c r="F99" s="1271"/>
      <c r="G99" s="1271"/>
      <c r="H99" s="1293"/>
      <c r="I99" s="1293"/>
      <c r="J99" s="1275"/>
    </row>
    <row r="100" spans="2:10" x14ac:dyDescent="0.25">
      <c r="B100" s="1271"/>
      <c r="C100" s="1271"/>
      <c r="D100" s="1271"/>
      <c r="E100" s="1271"/>
      <c r="F100" s="1271"/>
      <c r="G100" s="1271"/>
      <c r="H100" s="1293"/>
      <c r="I100" s="1293"/>
      <c r="J100" s="1275"/>
    </row>
    <row r="101" spans="2:10" x14ac:dyDescent="0.25">
      <c r="B101" s="1271"/>
      <c r="C101" s="1271"/>
      <c r="D101" s="1271"/>
      <c r="E101" s="1271"/>
      <c r="F101" s="1271"/>
      <c r="G101" s="1271"/>
      <c r="H101" s="1293"/>
      <c r="I101" s="1293"/>
      <c r="J101" s="1275"/>
    </row>
    <row r="102" spans="2:10" ht="15.6" x14ac:dyDescent="0.3">
      <c r="B102" s="1271"/>
      <c r="C102" s="1271"/>
      <c r="D102" s="1271"/>
      <c r="E102" s="1271"/>
      <c r="F102" s="1271"/>
      <c r="G102" s="1271"/>
      <c r="H102" s="1294"/>
      <c r="I102" s="1294"/>
      <c r="J102" s="1275"/>
    </row>
    <row r="103" spans="2:10" x14ac:dyDescent="0.25">
      <c r="H103" s="1275"/>
      <c r="I103" s="1275"/>
      <c r="J103" s="1275"/>
    </row>
  </sheetData>
  <customSheetViews>
    <customSheetView guid="{074EB09C-6289-46D7-9513-012B68BCA7BF}" showPageBreaks="1">
      <selection activeCell="A3" sqref="A3"/>
      <pageMargins left="0.7" right="0.7" top="0.75" bottom="0.75" header="0.3" footer="0.3"/>
      <pageSetup orientation="portrait" r:id="rId1"/>
    </customSheetView>
  </customSheetViews>
  <mergeCells count="6">
    <mergeCell ref="B92:F92"/>
    <mergeCell ref="B97:F97"/>
    <mergeCell ref="B93:F93"/>
    <mergeCell ref="B94:F94"/>
    <mergeCell ref="B95:F95"/>
    <mergeCell ref="B96:F96"/>
  </mergeCells>
  <pageMargins left="0.24" right="0.7" top="0.41" bottom="0.75" header="0.3" footer="0.3"/>
  <pageSetup paperSize="17" scale="52"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54"/>
  <sheetViews>
    <sheetView topLeftCell="A2" zoomScaleNormal="100" workbookViewId="0">
      <pane xSplit="5" ySplit="4" topLeftCell="F6" activePane="bottomRight" state="frozen"/>
      <selection activeCell="A2" sqref="A2"/>
      <selection pane="topRight" activeCell="F2" sqref="F2"/>
      <selection pane="bottomLeft" activeCell="A6" sqref="A6"/>
      <selection pane="bottomRight"/>
    </sheetView>
  </sheetViews>
  <sheetFormatPr defaultRowHeight="13.2" x14ac:dyDescent="0.25"/>
  <cols>
    <col min="1" max="1" width="1.6640625" customWidth="1"/>
    <col min="2" max="2" width="9.109375" style="19"/>
    <col min="3" max="3" width="9.5546875" customWidth="1"/>
    <col min="4" max="4" width="35.109375" customWidth="1"/>
    <col min="5" max="5" width="19.33203125" customWidth="1"/>
    <col min="6" max="6" width="15.33203125" style="79" customWidth="1"/>
    <col min="7" max="7" width="16.5546875" style="79" customWidth="1"/>
    <col min="8" max="8" width="16.44140625" style="79" customWidth="1"/>
    <col min="9" max="9" width="15.44140625" style="79" customWidth="1"/>
    <col min="10" max="10" width="18.44140625" style="79" customWidth="1"/>
    <col min="11" max="11" width="20" style="79" customWidth="1"/>
    <col min="12" max="12" width="13.44140625" style="79" customWidth="1"/>
    <col min="13" max="13" width="15.44140625" style="79" customWidth="1"/>
    <col min="14" max="14" width="14.6640625" style="79" customWidth="1"/>
    <col min="15" max="15" width="12.5546875" style="79" customWidth="1"/>
    <col min="16" max="16" width="16.6640625" style="79" customWidth="1"/>
    <col min="17" max="17" width="15.109375" style="2285" customWidth="1"/>
    <col min="18" max="18" width="2.44140625" customWidth="1"/>
    <col min="19" max="19" width="42.6640625" customWidth="1"/>
  </cols>
  <sheetData>
    <row r="2" spans="2:19" ht="17.399999999999999" x14ac:dyDescent="0.3">
      <c r="C2" s="1565" t="s">
        <v>904</v>
      </c>
    </row>
    <row r="3" spans="2:19" ht="15" x14ac:dyDescent="0.25">
      <c r="C3" s="1566" t="s">
        <v>944</v>
      </c>
      <c r="E3" s="4509"/>
      <c r="F3" s="4756"/>
      <c r="G3" s="4756"/>
    </row>
    <row r="4" spans="2:19" ht="36.75" customHeight="1" thickBot="1" x14ac:dyDescent="0.35">
      <c r="D4" s="3369"/>
      <c r="F4" s="3379"/>
    </row>
    <row r="5" spans="2:19" ht="35.4" thickBot="1" x14ac:dyDescent="0.35">
      <c r="B5" s="153" t="s">
        <v>936</v>
      </c>
      <c r="C5" t="s">
        <v>609</v>
      </c>
      <c r="D5" t="s">
        <v>28</v>
      </c>
      <c r="E5" s="3370" t="s">
        <v>1213</v>
      </c>
      <c r="F5" s="2282" t="s">
        <v>9</v>
      </c>
      <c r="G5" s="2283" t="s">
        <v>10</v>
      </c>
      <c r="H5" s="2283" t="s">
        <v>11</v>
      </c>
      <c r="I5" s="2283" t="s">
        <v>12</v>
      </c>
      <c r="J5" s="2283" t="s">
        <v>13</v>
      </c>
      <c r="K5" s="2283" t="s">
        <v>14</v>
      </c>
      <c r="L5" s="2283" t="s">
        <v>15</v>
      </c>
      <c r="M5" s="2283" t="s">
        <v>16</v>
      </c>
      <c r="N5" s="2283" t="s">
        <v>134</v>
      </c>
      <c r="O5" s="2283" t="s">
        <v>135</v>
      </c>
      <c r="P5" s="2284" t="s">
        <v>18</v>
      </c>
      <c r="Q5" s="2286" t="s">
        <v>946</v>
      </c>
      <c r="S5" s="310" t="s">
        <v>932</v>
      </c>
    </row>
    <row r="6" spans="2:19" x14ac:dyDescent="0.25">
      <c r="C6" t="s">
        <v>608</v>
      </c>
      <c r="E6" s="2410"/>
      <c r="F6" s="2418"/>
      <c r="G6" s="2418"/>
      <c r="H6" s="2418"/>
      <c r="I6" s="2418"/>
      <c r="J6" s="2418"/>
      <c r="K6" s="2418"/>
      <c r="L6" s="2418"/>
      <c r="M6" s="2418"/>
      <c r="N6" s="2418"/>
      <c r="O6" s="2418"/>
      <c r="P6" s="2418"/>
    </row>
    <row r="7" spans="2:19" ht="13.8" x14ac:dyDescent="0.3">
      <c r="B7" s="19">
        <v>11</v>
      </c>
      <c r="C7" t="s">
        <v>630</v>
      </c>
      <c r="D7" t="s">
        <v>937</v>
      </c>
      <c r="E7" s="2280">
        <v>18230661</v>
      </c>
      <c r="F7" s="2418">
        <f>'11) Detail_REM Sch 203 Gas'!G7</f>
        <v>39953.771999999997</v>
      </c>
      <c r="G7" s="2418">
        <f>'11) Detail_REM Sch 203 Gas'!H7</f>
        <v>4374</v>
      </c>
      <c r="H7" s="2418">
        <f>'11) Detail_REM Sch 203 Gas'!I7</f>
        <v>27926.496359999997</v>
      </c>
      <c r="I7" s="2418">
        <f>'11) Detail_REM Sch 203 Gas'!J7</f>
        <v>2000</v>
      </c>
      <c r="J7" s="2418">
        <f>'11) Detail_REM Sch 203 Gas'!K7</f>
        <v>4800</v>
      </c>
      <c r="K7" s="2418">
        <f>'11) Detail_REM Sch 203 Gas'!L7</f>
        <v>9600</v>
      </c>
      <c r="L7" s="2418">
        <f>'11) Detail_REM Sch 203 Gas'!M7</f>
        <v>8076</v>
      </c>
      <c r="M7" s="2418">
        <f>'11) Detail_REM Sch 203 Gas'!N7</f>
        <v>594</v>
      </c>
      <c r="N7" s="2418">
        <f>'11) Detail_REM Sch 203 Gas'!O7</f>
        <v>1024121.575</v>
      </c>
      <c r="O7" s="2418">
        <f>'11) Detail_REM Sch 203 Gas'!P7</f>
        <v>0</v>
      </c>
      <c r="P7" s="2418">
        <f>'11) Detail_REM Sch 203 Gas'!Q7</f>
        <v>1121445.8433599998</v>
      </c>
      <c r="Q7" s="2285">
        <f>'11) Detail_REM Sch 203 Gas'!R7</f>
        <v>77991.520000000004</v>
      </c>
    </row>
    <row r="8" spans="2:19" ht="13.8" x14ac:dyDescent="0.3">
      <c r="B8" s="19" t="s">
        <v>938</v>
      </c>
      <c r="C8" t="s">
        <v>632</v>
      </c>
      <c r="D8" t="s">
        <v>633</v>
      </c>
      <c r="E8" s="2280">
        <v>18230635</v>
      </c>
      <c r="F8" s="2418">
        <f>'12a) Detail_214HmPrint Gas'!G7</f>
        <v>0</v>
      </c>
      <c r="G8" s="2418">
        <f>'12a) Detail_214HmPrint Gas'!H7</f>
        <v>0</v>
      </c>
      <c r="H8" s="2418">
        <f>'12a) Detail_214HmPrint Gas'!I7</f>
        <v>0</v>
      </c>
      <c r="I8" s="2418">
        <f>'12a) Detail_214HmPrint Gas'!J7</f>
        <v>0</v>
      </c>
      <c r="J8" s="2418">
        <f>'12a) Detail_214HmPrint Gas'!K7</f>
        <v>0</v>
      </c>
      <c r="K8" s="2418">
        <f>'12a) Detail_214HmPrint Gas'!L7</f>
        <v>0</v>
      </c>
      <c r="L8" s="2418">
        <f>'12a) Detail_214HmPrint Gas'!M7</f>
        <v>0</v>
      </c>
      <c r="M8" s="2418">
        <f>'12a) Detail_214HmPrint Gas'!N7</f>
        <v>0</v>
      </c>
      <c r="N8" s="2418">
        <f>'12a) Detail_214HmPrint Gas'!O7</f>
        <v>0</v>
      </c>
      <c r="O8" s="2418">
        <f>'12a) Detail_214HmPrint Gas'!P7</f>
        <v>0</v>
      </c>
      <c r="P8" s="2418">
        <f>'12a) Detail_214HmPrint Gas'!Q7</f>
        <v>0</v>
      </c>
      <c r="Q8" s="2285">
        <f>'12a) Detail_214HmPrint Gas'!R7</f>
        <v>0</v>
      </c>
    </row>
    <row r="9" spans="2:19" ht="13.8" x14ac:dyDescent="0.3">
      <c r="B9" s="19" t="s">
        <v>939</v>
      </c>
      <c r="C9" t="s">
        <v>632</v>
      </c>
      <c r="D9" t="s">
        <v>637</v>
      </c>
      <c r="E9" s="2280">
        <v>18230636</v>
      </c>
      <c r="F9" s="2418">
        <f>'12b) Detail_214WtrHeat Gas'!G7</f>
        <v>0</v>
      </c>
      <c r="G9" s="2418">
        <f>'12b) Detail_214WtrHeat Gas'!H7</f>
        <v>0</v>
      </c>
      <c r="H9" s="2418">
        <f>'12b) Detail_214WtrHeat Gas'!I7</f>
        <v>0</v>
      </c>
      <c r="I9" s="2418">
        <f>'12b) Detail_214WtrHeat Gas'!J7</f>
        <v>0</v>
      </c>
      <c r="J9" s="2418">
        <f>'12b) Detail_214WtrHeat Gas'!K7</f>
        <v>0</v>
      </c>
      <c r="K9" s="2418">
        <f>'12b) Detail_214WtrHeat Gas'!L7</f>
        <v>0</v>
      </c>
      <c r="L9" s="2418">
        <f>'12b) Detail_214WtrHeat Gas'!M7</f>
        <v>0</v>
      </c>
      <c r="M9" s="2418">
        <f>'12b) Detail_214WtrHeat Gas'!N7</f>
        <v>0</v>
      </c>
      <c r="N9" s="2418">
        <f>'12b) Detail_214WtrHeat Gas'!O7</f>
        <v>0</v>
      </c>
      <c r="O9" s="2418">
        <f>'12b) Detail_214WtrHeat Gas'!P7</f>
        <v>0</v>
      </c>
      <c r="P9" s="2418">
        <f>'12b) Detail_214WtrHeat Gas'!Q7</f>
        <v>0</v>
      </c>
      <c r="Q9" s="2285">
        <f>'12b) Detail_214WtrHeat Gas'!R7</f>
        <v>0</v>
      </c>
    </row>
    <row r="10" spans="2:19" ht="13.8" x14ac:dyDescent="0.3">
      <c r="B10" s="19" t="s">
        <v>940</v>
      </c>
      <c r="C10" t="s">
        <v>632</v>
      </c>
      <c r="D10" t="s">
        <v>644</v>
      </c>
      <c r="E10" s="2280">
        <v>18230637</v>
      </c>
      <c r="F10" s="2418">
        <f>'12c) Detail_214Wx Gas'!G7</f>
        <v>677013</v>
      </c>
      <c r="G10" s="2418">
        <f>'12c) Detail_214Wx Gas'!H7</f>
        <v>36450</v>
      </c>
      <c r="H10" s="2418">
        <f>'12c) Detail_214Wx Gas'!I7</f>
        <v>449481.69</v>
      </c>
      <c r="I10" s="2418">
        <f>'12c) Detail_214Wx Gas'!J7</f>
        <v>90000</v>
      </c>
      <c r="J10" s="2418">
        <f>'12c) Detail_214Wx Gas'!K7</f>
        <v>6000</v>
      </c>
      <c r="K10" s="2418">
        <f>'12c) Detail_214Wx Gas'!L7</f>
        <v>145748</v>
      </c>
      <c r="L10" s="2418">
        <f>'12c) Detail_214Wx Gas'!M7</f>
        <v>400000</v>
      </c>
      <c r="M10" s="2418">
        <f>'12c) Detail_214Wx Gas'!N7</f>
        <v>32400</v>
      </c>
      <c r="N10" s="2418">
        <f>'12c) Detail_214Wx Gas'!O7</f>
        <v>4237274.3599999994</v>
      </c>
      <c r="O10" s="2418">
        <f>'12c) Detail_214Wx Gas'!P7</f>
        <v>0</v>
      </c>
      <c r="P10" s="2418">
        <f>'12c) Detail_214Wx Gas'!Q7</f>
        <v>6074367.0499999989</v>
      </c>
      <c r="Q10" s="2285">
        <f>'12c) Detail_214Wx Gas'!R7</f>
        <v>1089808.9480000001</v>
      </c>
    </row>
    <row r="11" spans="2:19" ht="13.8" x14ac:dyDescent="0.3">
      <c r="B11" s="19" t="s">
        <v>941</v>
      </c>
      <c r="C11" t="s">
        <v>632</v>
      </c>
      <c r="D11" t="s">
        <v>649</v>
      </c>
      <c r="E11" s="2280">
        <v>18230638</v>
      </c>
      <c r="F11" s="2418">
        <f>'12d) Detail_214SpHeat Gas'!G7</f>
        <v>283499.19</v>
      </c>
      <c r="G11" s="2418">
        <f>'12d) Detail_214SpHeat Gas'!H7</f>
        <v>42525</v>
      </c>
      <c r="H11" s="2418">
        <f>'12d) Detail_214SpHeat Gas'!I7</f>
        <v>205395.23970000001</v>
      </c>
      <c r="I11" s="2418">
        <f>'12d) Detail_214SpHeat Gas'!J7</f>
        <v>100000</v>
      </c>
      <c r="J11" s="2418">
        <f>'12d) Detail_214SpHeat Gas'!K7</f>
        <v>10800</v>
      </c>
      <c r="K11" s="2418">
        <f>'12d) Detail_214SpHeat Gas'!L7</f>
        <v>36000</v>
      </c>
      <c r="L11" s="2418">
        <f>'12d) Detail_214SpHeat Gas'!M7</f>
        <v>30800</v>
      </c>
      <c r="M11" s="2418">
        <f>'12d) Detail_214SpHeat Gas'!N7</f>
        <v>20400</v>
      </c>
      <c r="N11" s="2418">
        <f>'12d) Detail_214SpHeat Gas'!O7</f>
        <v>3528800</v>
      </c>
      <c r="O11" s="2418">
        <f>'12d) Detail_214SpHeat Gas'!P7</f>
        <v>0</v>
      </c>
      <c r="P11" s="2418">
        <f>'12d) Detail_214SpHeat Gas'!Q7</f>
        <v>4258219.4297000002</v>
      </c>
      <c r="Q11" s="2285">
        <f>'12d) Detail_214SpHeat Gas'!R7</f>
        <v>1490588</v>
      </c>
    </row>
    <row r="12" spans="2:19" ht="13.8" x14ac:dyDescent="0.3">
      <c r="B12" s="19" t="s">
        <v>942</v>
      </c>
      <c r="C12" t="s">
        <v>632</v>
      </c>
      <c r="D12" t="s">
        <v>654</v>
      </c>
      <c r="E12" s="2280">
        <v>18230700</v>
      </c>
      <c r="F12" s="2418">
        <f>'12e) Detail_214ShwrHead Gas'!G7</f>
        <v>33850.649999999994</v>
      </c>
      <c r="G12" s="2418">
        <f>'12e) Detail_214ShwrHead Gas'!H7</f>
        <v>24300</v>
      </c>
      <c r="H12" s="2418">
        <f>'12e) Detail_214ShwrHead Gas'!I7</f>
        <v>36634.909499999994</v>
      </c>
      <c r="I12" s="2418">
        <f>'12e) Detail_214ShwrHead Gas'!J7</f>
        <v>89100</v>
      </c>
      <c r="J12" s="2418">
        <f>'12e) Detail_214ShwrHead Gas'!K7</f>
        <v>3000</v>
      </c>
      <c r="K12" s="2418">
        <f>'12e) Detail_214ShwrHead Gas'!L7</f>
        <v>64800</v>
      </c>
      <c r="L12" s="2418">
        <f>'12e) Detail_214ShwrHead Gas'!M7</f>
        <v>1000</v>
      </c>
      <c r="M12" s="2418">
        <f>'12e) Detail_214ShwrHead Gas'!N7</f>
        <v>1000</v>
      </c>
      <c r="N12" s="2418">
        <f>'12e) Detail_214ShwrHead Gas'!O7</f>
        <v>198000</v>
      </c>
      <c r="O12" s="2418">
        <f>'12e) Detail_214ShwrHead Gas'!P7</f>
        <v>0</v>
      </c>
      <c r="P12" s="2418">
        <f>'12e) Detail_214ShwrHead Gas'!Q7</f>
        <v>451685.55949999997</v>
      </c>
      <c r="Q12" s="2285">
        <f>'12e) Detail_214ShwrHead Gas'!R7</f>
        <v>145200</v>
      </c>
    </row>
    <row r="13" spans="2:19" s="3957" customFormat="1" ht="13.8" x14ac:dyDescent="0.3">
      <c r="B13" s="3958" t="s">
        <v>1219</v>
      </c>
      <c r="C13" s="3957" t="s">
        <v>632</v>
      </c>
      <c r="D13" s="3957" t="s">
        <v>416</v>
      </c>
      <c r="E13" s="4080" t="s">
        <v>1220</v>
      </c>
      <c r="F13" s="3919">
        <f>'12f) Detail_214HmApplSvgs Gas'!G7</f>
        <v>0</v>
      </c>
      <c r="G13" s="3919">
        <f>'12f) Detail_214HmApplSvgs Gas'!H7</f>
        <v>0</v>
      </c>
      <c r="H13" s="3919">
        <f>'12f) Detail_214HmApplSvgs Gas'!I7</f>
        <v>0</v>
      </c>
      <c r="I13" s="3919">
        <f>'12f) Detail_214HmApplSvgs Gas'!J7</f>
        <v>0</v>
      </c>
      <c r="J13" s="3919">
        <f>'12f) Detail_214HmApplSvgs Gas'!K7</f>
        <v>0</v>
      </c>
      <c r="K13" s="3919">
        <f>'12f) Detail_214HmApplSvgs Gas'!L7</f>
        <v>0</v>
      </c>
      <c r="L13" s="3919">
        <f>'12f) Detail_214HmApplSvgs Gas'!M7</f>
        <v>0</v>
      </c>
      <c r="M13" s="3919">
        <f>'12f) Detail_214HmApplSvgs Gas'!N7</f>
        <v>0</v>
      </c>
      <c r="N13" s="3919">
        <f>'12f) Detail_214HmApplSvgs Gas'!O7</f>
        <v>0</v>
      </c>
      <c r="O13" s="3919">
        <f>'12f) Detail_214HmApplSvgs Gas'!P7</f>
        <v>0</v>
      </c>
      <c r="P13" s="3919">
        <f>'12f) Detail_214HmApplSvgs Gas'!Q7</f>
        <v>0</v>
      </c>
      <c r="Q13" s="3954">
        <f>'12f) Detail_214HmApplSvgs Gas'!R7</f>
        <v>79834.649999999994</v>
      </c>
    </row>
    <row r="14" spans="2:19" ht="13.8" x14ac:dyDescent="0.3">
      <c r="B14" s="19">
        <v>13</v>
      </c>
      <c r="C14" t="s">
        <v>657</v>
      </c>
      <c r="D14" t="s">
        <v>658</v>
      </c>
      <c r="E14" s="2280">
        <v>18230442</v>
      </c>
      <c r="F14" s="2418">
        <f>'13) Detail_REM Sch 215 Gas'!G7</f>
        <v>15233</v>
      </c>
      <c r="G14" s="2418">
        <f>'13) Detail_REM Sch 215 Gas'!H7</f>
        <v>6683</v>
      </c>
      <c r="H14" s="2418">
        <f>'13) Detail_REM Sch 215 Gas'!I7</f>
        <v>13807.080000000002</v>
      </c>
      <c r="I14" s="2418">
        <f>'13) Detail_REM Sch 215 Gas'!J7</f>
        <v>72254</v>
      </c>
      <c r="J14" s="2418">
        <f>'13) Detail_REM Sch 215 Gas'!K7</f>
        <v>10000</v>
      </c>
      <c r="K14" s="2418">
        <f>'13) Detail_REM Sch 215 Gas'!L7</f>
        <v>5000</v>
      </c>
      <c r="L14" s="2418">
        <f>'13) Detail_REM Sch 215 Gas'!M7</f>
        <v>2400</v>
      </c>
      <c r="M14" s="2418">
        <f>'13) Detail_REM Sch 215 Gas'!N7</f>
        <v>10000</v>
      </c>
      <c r="N14" s="2418">
        <f>'13) Detail_REM Sch 215 Gas'!O7</f>
        <v>317500</v>
      </c>
      <c r="O14" s="2418">
        <f>'13) Detail_REM Sch 215 Gas'!P7</f>
        <v>0</v>
      </c>
      <c r="P14" s="2418">
        <f>'13) Detail_REM Sch 215 Gas'!Q7</f>
        <v>452877.08</v>
      </c>
      <c r="Q14" s="2285">
        <f>'13) Detail_REM Sch 215 Gas'!R7</f>
        <v>57800</v>
      </c>
    </row>
    <row r="15" spans="2:19" ht="13.8" x14ac:dyDescent="0.3">
      <c r="B15" s="19" t="s">
        <v>943</v>
      </c>
      <c r="C15" t="s">
        <v>657</v>
      </c>
      <c r="D15" t="s">
        <v>672</v>
      </c>
      <c r="E15" s="2280">
        <v>18230684</v>
      </c>
      <c r="F15" s="2418">
        <f>'13a) Detail_215MfgHomes Gas'!G7</f>
        <v>5996</v>
      </c>
      <c r="G15" s="2418">
        <f>'13a) Detail_215MfgHomes Gas'!H7</f>
        <v>4000</v>
      </c>
      <c r="H15" s="2418">
        <f>'13a) Detail_215MfgHomes Gas'!I7</f>
        <v>6297.48</v>
      </c>
      <c r="I15" s="2418">
        <f>'13a) Detail_215MfgHomes Gas'!J7</f>
        <v>4674</v>
      </c>
      <c r="J15" s="2418">
        <f>'13a) Detail_215MfgHomes Gas'!K7</f>
        <v>500</v>
      </c>
      <c r="K15" s="2418">
        <f>'13a) Detail_215MfgHomes Gas'!L7</f>
        <v>0</v>
      </c>
      <c r="L15" s="2418">
        <f>'13a) Detail_215MfgHomes Gas'!M7</f>
        <v>0</v>
      </c>
      <c r="M15" s="2418">
        <f>'13a) Detail_215MfgHomes Gas'!N7</f>
        <v>0</v>
      </c>
      <c r="N15" s="2418">
        <f>'13a) Detail_215MfgHomes Gas'!O7</f>
        <v>4500</v>
      </c>
      <c r="O15" s="2418">
        <f>'13a) Detail_215MfgHomes Gas'!P7</f>
        <v>0</v>
      </c>
      <c r="P15" s="2418">
        <f>'13a) Detail_215MfgHomes Gas'!Q7</f>
        <v>25967.48</v>
      </c>
      <c r="Q15" s="2285">
        <f>'13a) Detail_215MfgHomes Gas'!R7</f>
        <v>6000</v>
      </c>
    </row>
    <row r="16" spans="2:19" ht="13.8" x14ac:dyDescent="0.3">
      <c r="B16" s="19">
        <v>14</v>
      </c>
      <c r="C16" t="s">
        <v>685</v>
      </c>
      <c r="D16" t="s">
        <v>686</v>
      </c>
      <c r="E16" s="2280">
        <v>18230736</v>
      </c>
      <c r="F16" s="2418">
        <f>'14) Detail_REM Sch 217 Gas'!G7</f>
        <v>81467.199999999997</v>
      </c>
      <c r="G16" s="2418">
        <f>'14) Detail_REM Sch 217 Gas'!H7</f>
        <v>14580</v>
      </c>
      <c r="H16" s="2418">
        <f>'14) Detail_REM Sch 217 Gas'!I7</f>
        <v>60509.735999999997</v>
      </c>
      <c r="I16" s="2418">
        <f>'14) Detail_REM Sch 217 Gas'!J7</f>
        <v>15000</v>
      </c>
      <c r="J16" s="2418">
        <f>'14) Detail_REM Sch 217 Gas'!K7</f>
        <v>5960</v>
      </c>
      <c r="K16" s="2418">
        <f>'14) Detail_REM Sch 217 Gas'!L7</f>
        <v>0</v>
      </c>
      <c r="L16" s="2418">
        <f>'14) Detail_REM Sch 217 Gas'!M7</f>
        <v>500</v>
      </c>
      <c r="M16" s="2418">
        <f>'14) Detail_REM Sch 217 Gas'!N7</f>
        <v>4810</v>
      </c>
      <c r="N16" s="2418">
        <f>'14) Detail_REM Sch 217 Gas'!O7</f>
        <v>271978</v>
      </c>
      <c r="O16" s="2418">
        <f>'14) Detail_REM Sch 217 Gas'!P7</f>
        <v>0</v>
      </c>
      <c r="P16" s="2418">
        <f>'14) Detail_REM Sch 217 Gas'!Q7</f>
        <v>454804.93599999999</v>
      </c>
      <c r="Q16" s="2285">
        <f>'14) Detail_REM Sch 217 Gas'!R7</f>
        <v>49936</v>
      </c>
    </row>
    <row r="17" spans="2:17" ht="13.8" x14ac:dyDescent="0.3">
      <c r="B17" s="19">
        <v>15</v>
      </c>
      <c r="C17" t="s">
        <v>695</v>
      </c>
      <c r="D17" t="s">
        <v>696</v>
      </c>
      <c r="E17" s="2280">
        <v>18230673</v>
      </c>
      <c r="F17" s="2418">
        <f>'15) Detail_REM Sch 218 Gas'!G7</f>
        <v>70000</v>
      </c>
      <c r="G17" s="2418">
        <f>'15) Detail_REM Sch 218 Gas'!H7</f>
        <v>7100</v>
      </c>
      <c r="H17" s="2418">
        <f>'15) Detail_REM Sch 218 Gas'!I7</f>
        <v>48573</v>
      </c>
      <c r="I17" s="2418">
        <f>'15) Detail_REM Sch 218 Gas'!J7</f>
        <v>7500</v>
      </c>
      <c r="J17" s="2418">
        <f>'15) Detail_REM Sch 218 Gas'!K7</f>
        <v>5960</v>
      </c>
      <c r="K17" s="2418">
        <f>'15) Detail_REM Sch 218 Gas'!L7</f>
        <v>200</v>
      </c>
      <c r="L17" s="2418">
        <f>'15) Detail_REM Sch 218 Gas'!M7</f>
        <v>100</v>
      </c>
      <c r="M17" s="2418">
        <f>'15) Detail_REM Sch 218 Gas'!N7</f>
        <v>2970</v>
      </c>
      <c r="N17" s="2418">
        <f>'15) Detail_REM Sch 218 Gas'!O7</f>
        <v>523475.67000000004</v>
      </c>
      <c r="O17" s="2418">
        <f>'15) Detail_REM Sch 218 Gas'!P7</f>
        <v>0</v>
      </c>
      <c r="P17" s="2418">
        <f>'15) Detail_REM Sch 218 Gas'!Q7</f>
        <v>665878.67000000004</v>
      </c>
      <c r="Q17" s="2285">
        <f>'15) Detail_REM Sch 218 Gas'!R7</f>
        <v>100308.77579999999</v>
      </c>
    </row>
    <row r="18" spans="2:17" ht="13.8" x14ac:dyDescent="0.3">
      <c r="B18" s="19">
        <v>16</v>
      </c>
      <c r="C18" t="s">
        <v>697</v>
      </c>
      <c r="D18" t="s">
        <v>698</v>
      </c>
      <c r="E18" s="2280">
        <v>18230639</v>
      </c>
      <c r="F18" s="2418">
        <f>'16) Detail_REM Sch 249 Gas'!G7</f>
        <v>0</v>
      </c>
      <c r="G18" s="2418">
        <f>'16) Detail_REM Sch 249 Gas'!H7</f>
        <v>0</v>
      </c>
      <c r="H18" s="2418">
        <f>'16) Detail_REM Sch 249 Gas'!I7</f>
        <v>0</v>
      </c>
      <c r="I18" s="2418">
        <f>'16) Detail_REM Sch 249 Gas'!J7</f>
        <v>0</v>
      </c>
      <c r="J18" s="2418">
        <f>'16) Detail_REM Sch 249 Gas'!K7</f>
        <v>0</v>
      </c>
      <c r="K18" s="2418">
        <f>'16) Detail_REM Sch 249 Gas'!L7</f>
        <v>0</v>
      </c>
      <c r="L18" s="2418">
        <f>'16) Detail_REM Sch 249 Gas'!M7</f>
        <v>0</v>
      </c>
      <c r="M18" s="2418">
        <f>'16) Detail_REM Sch 249 Gas'!N7</f>
        <v>0</v>
      </c>
      <c r="N18" s="2418">
        <f>'16) Detail_REM Sch 249 Gas'!O7</f>
        <v>0</v>
      </c>
      <c r="O18" s="2418">
        <f>'16) Detail_REM Sch 249 Gas'!P7</f>
        <v>0</v>
      </c>
      <c r="P18" s="2418">
        <f>'16) Detail_REM Sch 249 Gas'!Q7</f>
        <v>0</v>
      </c>
      <c r="Q18" s="2285">
        <f>'16) Detail_REM Sch 249 Gas'!R7</f>
        <v>0</v>
      </c>
    </row>
    <row r="19" spans="2:17" ht="13.8" x14ac:dyDescent="0.3">
      <c r="B19" s="19" t="s">
        <v>945</v>
      </c>
      <c r="C19" t="s">
        <v>697</v>
      </c>
      <c r="D19" t="s">
        <v>699</v>
      </c>
      <c r="E19" s="2280">
        <v>18230738</v>
      </c>
      <c r="F19" s="2418">
        <f>'16a) Detail_249HmEnrgyRpt Gas'!G7</f>
        <v>16925.324999999997</v>
      </c>
      <c r="G19" s="2418">
        <f>'16a) Detail_249HmEnrgyRpt Gas'!H7</f>
        <v>12150</v>
      </c>
      <c r="H19" s="2418">
        <f>'16a) Detail_249HmEnrgyRpt Gas'!I7</f>
        <v>18317.454749999997</v>
      </c>
      <c r="I19" s="2418">
        <f>'16a) Detail_249HmEnrgyRpt Gas'!J7</f>
        <v>0</v>
      </c>
      <c r="J19" s="2418">
        <f>'16a) Detail_249HmEnrgyRpt Gas'!K7</f>
        <v>0</v>
      </c>
      <c r="K19" s="2418">
        <f>'16a) Detail_249HmEnrgyRpt Gas'!L7</f>
        <v>74298</v>
      </c>
      <c r="L19" s="2418">
        <f>'16a) Detail_249HmEnrgyRpt Gas'!M7</f>
        <v>0</v>
      </c>
      <c r="M19" s="2418">
        <f>'16a) Detail_249HmEnrgyRpt Gas'!N7</f>
        <v>0</v>
      </c>
      <c r="N19" s="2418">
        <f>'16a) Detail_249HmEnrgyRpt Gas'!O7</f>
        <v>74298</v>
      </c>
      <c r="O19" s="2418">
        <f>'16a) Detail_249HmEnrgyRpt Gas'!P7</f>
        <v>0</v>
      </c>
      <c r="P19" s="2418">
        <f>'16a) Detail_249HmEnrgyRpt Gas'!Q7</f>
        <v>195988.77974999999</v>
      </c>
      <c r="Q19" s="2285">
        <f>'16a) Detail_249HmEnrgyRpt Gas'!R7</f>
        <v>693448</v>
      </c>
    </row>
    <row r="20" spans="2:17" s="2288" customFormat="1" x14ac:dyDescent="0.25">
      <c r="B20" s="2287"/>
      <c r="D20" s="838" t="s">
        <v>841</v>
      </c>
      <c r="E20" s="2416"/>
      <c r="F20" s="2290">
        <f>SUM(F7:F19)</f>
        <v>1223938.1370000001</v>
      </c>
      <c r="G20" s="2290">
        <f t="shared" ref="G20:Q20" si="0">SUM(G7:G19)</f>
        <v>152162</v>
      </c>
      <c r="H20" s="2290">
        <f t="shared" si="0"/>
        <v>866943.08630999993</v>
      </c>
      <c r="I20" s="2290">
        <f t="shared" si="0"/>
        <v>380528</v>
      </c>
      <c r="J20" s="2290">
        <f t="shared" si="0"/>
        <v>47020</v>
      </c>
      <c r="K20" s="2290">
        <f t="shared" si="0"/>
        <v>335646</v>
      </c>
      <c r="L20" s="2290">
        <f t="shared" si="0"/>
        <v>442876</v>
      </c>
      <c r="M20" s="2290">
        <f t="shared" si="0"/>
        <v>72174</v>
      </c>
      <c r="N20" s="2290">
        <f t="shared" si="0"/>
        <v>10179947.604999999</v>
      </c>
      <c r="O20" s="2290">
        <f t="shared" si="0"/>
        <v>0</v>
      </c>
      <c r="P20" s="2290">
        <f t="shared" si="0"/>
        <v>13701234.82831</v>
      </c>
      <c r="Q20" s="2291">
        <f t="shared" si="0"/>
        <v>3790915.8938000002</v>
      </c>
    </row>
    <row r="21" spans="2:17" x14ac:dyDescent="0.25">
      <c r="E21" s="2410"/>
      <c r="F21" s="2418"/>
      <c r="G21" s="2418"/>
      <c r="H21" s="2418"/>
      <c r="I21" s="2418"/>
      <c r="J21" s="2418"/>
      <c r="K21" s="2418"/>
      <c r="L21" s="2418"/>
      <c r="M21" s="2418"/>
      <c r="N21" s="2418"/>
      <c r="O21" s="2418"/>
      <c r="P21" s="2418"/>
    </row>
    <row r="22" spans="2:17" x14ac:dyDescent="0.25">
      <c r="E22" s="2410"/>
      <c r="F22" s="2418"/>
      <c r="G22" s="2418"/>
      <c r="H22" s="2418"/>
      <c r="I22" s="2418"/>
      <c r="J22" s="2418"/>
      <c r="K22" s="2418"/>
      <c r="L22" s="2418"/>
      <c r="M22" s="2418"/>
      <c r="N22" s="2418"/>
      <c r="O22" s="2418"/>
      <c r="P22" s="2418"/>
    </row>
    <row r="23" spans="2:17" x14ac:dyDescent="0.25">
      <c r="C23" t="s">
        <v>843</v>
      </c>
      <c r="E23" s="2410"/>
      <c r="F23" s="2418"/>
      <c r="G23" s="2418"/>
      <c r="H23" s="2418"/>
      <c r="I23" s="2418"/>
      <c r="J23" s="2418"/>
      <c r="K23" s="2418"/>
      <c r="L23" s="2418"/>
      <c r="M23" s="2418"/>
      <c r="N23" s="2418"/>
      <c r="O23" s="2418"/>
      <c r="P23" s="2418"/>
    </row>
    <row r="24" spans="2:17" ht="13.8" x14ac:dyDescent="0.3">
      <c r="B24" s="19">
        <v>25</v>
      </c>
      <c r="C24" t="s">
        <v>836</v>
      </c>
      <c r="D24" t="s">
        <v>828</v>
      </c>
      <c r="E24" s="2280">
        <v>18230731</v>
      </c>
      <c r="F24" s="2418">
        <f>'25) Detail_BEM Sch 205 Gas'!C8</f>
        <v>897400</v>
      </c>
      <c r="G24" s="2418">
        <f>'25) Detail_BEM Sch 205 Gas'!D8</f>
        <v>34000</v>
      </c>
      <c r="H24" s="2418">
        <f>'25) Detail_BEM Sch 205 Gas'!E8</f>
        <v>586800</v>
      </c>
      <c r="I24" s="2418">
        <f>'25) Detail_BEM Sch 205 Gas'!F8</f>
        <v>18000</v>
      </c>
      <c r="J24" s="2418">
        <f>'25) Detail_BEM Sch 205 Gas'!G8</f>
        <v>17400</v>
      </c>
      <c r="K24" s="2418">
        <f>'25) Detail_BEM Sch 205 Gas'!H8</f>
        <v>221500</v>
      </c>
      <c r="L24" s="2418">
        <f>'25) Detail_BEM Sch 205 Gas'!I8</f>
        <v>5740</v>
      </c>
      <c r="M24" s="2418">
        <f>'25) Detail_BEM Sch 205 Gas'!J8</f>
        <v>4400</v>
      </c>
      <c r="N24" s="2418">
        <f>'25) Detail_BEM Sch 205 Gas'!K8</f>
        <v>4059500</v>
      </c>
      <c r="O24" s="2418"/>
      <c r="P24" s="2418">
        <f>'25) Detail_BEM Sch 205 Gas'!L8</f>
        <v>5844740</v>
      </c>
      <c r="Q24" s="2285">
        <f>'25) Detail_BEM Sch 205 Gas'!M8</f>
        <v>952000</v>
      </c>
    </row>
    <row r="25" spans="2:17" ht="13.8" x14ac:dyDescent="0.3">
      <c r="B25" s="19">
        <v>26</v>
      </c>
      <c r="C25" t="s">
        <v>837</v>
      </c>
      <c r="D25" t="s">
        <v>830</v>
      </c>
      <c r="E25" s="2280">
        <v>18230691</v>
      </c>
      <c r="F25" s="2418">
        <f>'26) Detail_BEM Sch 208 Gas'!C8</f>
        <v>513822</v>
      </c>
      <c r="G25" s="2418">
        <f>'26) Detail_BEM Sch 208 Gas'!D8</f>
        <v>21870</v>
      </c>
      <c r="H25" s="2418">
        <f>'26) Detail_BEM Sch 208 Gas'!E8</f>
        <v>337485.96</v>
      </c>
      <c r="I25" s="2418">
        <f>'26) Detail_BEM Sch 208 Gas'!F8</f>
        <v>12000</v>
      </c>
      <c r="J25" s="2418">
        <f>'26) Detail_BEM Sch 208 Gas'!G8</f>
        <v>6195.1999999999989</v>
      </c>
      <c r="K25" s="2418">
        <f>'26) Detail_BEM Sch 208 Gas'!H8</f>
        <v>314500</v>
      </c>
      <c r="L25" s="2418">
        <f>'26) Detail_BEM Sch 208 Gas'!I8</f>
        <v>38046.5</v>
      </c>
      <c r="M25" s="2418">
        <f>'26) Detail_BEM Sch 208 Gas'!J8</f>
        <v>1580.8</v>
      </c>
      <c r="N25" s="2418">
        <f>'26) Detail_BEM Sch 208 Gas'!K8</f>
        <v>756000</v>
      </c>
      <c r="O25" s="2418"/>
      <c r="P25" s="2418">
        <f>'26) Detail_BEM Sch 208 Gas'!L8</f>
        <v>2133240</v>
      </c>
      <c r="Q25" s="2285">
        <f>'26) Detail_BEM Sch 208 Gas'!M8</f>
        <v>1800000</v>
      </c>
    </row>
    <row r="26" spans="2:17" ht="13.8" x14ac:dyDescent="0.3">
      <c r="B26" s="19">
        <v>27</v>
      </c>
      <c r="C26" t="s">
        <v>838</v>
      </c>
      <c r="D26" t="s">
        <v>829</v>
      </c>
      <c r="E26" s="2280">
        <v>18230706</v>
      </c>
      <c r="F26" s="2418">
        <f>'27) Detail_BEM Sch 251 Gas'!C8</f>
        <v>286800</v>
      </c>
      <c r="G26" s="2418">
        <f>'27) Detail_BEM Sch 251 Gas'!D8</f>
        <v>34000</v>
      </c>
      <c r="H26" s="2418">
        <f>'27) Detail_BEM Sch 251 Gas'!E8</f>
        <v>202200</v>
      </c>
      <c r="I26" s="2418">
        <f>'27) Detail_BEM Sch 251 Gas'!F8</f>
        <v>9000</v>
      </c>
      <c r="J26" s="2418">
        <f>'27) Detail_BEM Sch 251 Gas'!G8</f>
        <v>14400</v>
      </c>
      <c r="K26" s="2418">
        <f>'27) Detail_BEM Sch 251 Gas'!H8</f>
        <v>28500</v>
      </c>
      <c r="L26" s="2418">
        <f>'27) Detail_BEM Sch 251 Gas'!I8</f>
        <v>0</v>
      </c>
      <c r="M26" s="2418">
        <f>'27) Detail_BEM Sch 251 Gas'!J8</f>
        <v>3800</v>
      </c>
      <c r="N26" s="2418">
        <f>'27) Detail_BEM Sch 251 Gas'!K8</f>
        <v>640000</v>
      </c>
      <c r="O26" s="2418"/>
      <c r="P26" s="2418">
        <f>'27) Detail_BEM Sch 251 Gas'!L8</f>
        <v>1218700</v>
      </c>
      <c r="Q26" s="2285">
        <f>'27) Detail_BEM Sch 251 Gas'!M8</f>
        <v>200000</v>
      </c>
    </row>
    <row r="27" spans="2:17" ht="13.8" x14ac:dyDescent="0.3">
      <c r="B27" s="19">
        <v>28</v>
      </c>
      <c r="C27" t="s">
        <v>839</v>
      </c>
      <c r="D27" t="s">
        <v>834</v>
      </c>
      <c r="E27" s="2280">
        <v>18230694</v>
      </c>
      <c r="F27" s="2418">
        <f>'28) Detail_BEM Sch 261 Gas'!C8</f>
        <v>9000</v>
      </c>
      <c r="G27" s="2418">
        <f>'28) Detail_BEM Sch 261 Gas'!D8</f>
        <v>0</v>
      </c>
      <c r="H27" s="2418">
        <f>'28) Detail_BEM Sch 261 Gas'!E8</f>
        <v>5600</v>
      </c>
      <c r="I27" s="2418">
        <f>'28) Detail_BEM Sch 261 Gas'!F8</f>
        <v>0</v>
      </c>
      <c r="J27" s="2418">
        <f>'28) Detail_BEM Sch 261 Gas'!G8</f>
        <v>0</v>
      </c>
      <c r="K27" s="2418">
        <f>'28) Detail_BEM Sch 261 Gas'!H8</f>
        <v>0</v>
      </c>
      <c r="L27" s="2418">
        <f>'28) Detail_BEM Sch 261 Gas'!I8</f>
        <v>40000</v>
      </c>
      <c r="M27" s="2418">
        <f>'28) Detail_BEM Sch 261 Gas'!J8</f>
        <v>0</v>
      </c>
      <c r="N27" s="2418">
        <f>'28) Detail_BEM Sch 261 Gas'!K8</f>
        <v>0</v>
      </c>
      <c r="O27" s="2418"/>
      <c r="P27" s="2418">
        <f>'28) Detail_BEM Sch 261 Gas'!L8</f>
        <v>54600</v>
      </c>
      <c r="Q27" s="2285">
        <f>'28) Detail_BEM Sch 261 Gas'!M8</f>
        <v>0</v>
      </c>
    </row>
    <row r="28" spans="2:17" ht="13.8" x14ac:dyDescent="0.3">
      <c r="B28" s="19">
        <v>29</v>
      </c>
      <c r="C28" t="s">
        <v>840</v>
      </c>
      <c r="D28" t="s">
        <v>835</v>
      </c>
      <c r="E28" s="2280">
        <v>18230697</v>
      </c>
      <c r="F28" s="2418">
        <f>'29) Detail_BEM Sch 262 Gas'!C8</f>
        <v>119400</v>
      </c>
      <c r="G28" s="2418">
        <f>'29) Detail_BEM Sch 262 Gas'!D8</f>
        <v>17000</v>
      </c>
      <c r="H28" s="2418">
        <f>'29) Detail_BEM Sch 262 Gas'!E8</f>
        <v>86000</v>
      </c>
      <c r="I28" s="2418">
        <f>'29) Detail_BEM Sch 262 Gas'!F8</f>
        <v>12000</v>
      </c>
      <c r="J28" s="2418">
        <f>'29) Detail_BEM Sch 262 Gas'!G8</f>
        <v>800</v>
      </c>
      <c r="K28" s="2418">
        <f>'29) Detail_BEM Sch 262 Gas'!H8</f>
        <v>17300</v>
      </c>
      <c r="L28" s="2418">
        <f>'29) Detail_BEM Sch 262 Gas'!I8</f>
        <v>4300</v>
      </c>
      <c r="M28" s="2418">
        <f>'29) Detail_BEM Sch 262 Gas'!J8</f>
        <v>200</v>
      </c>
      <c r="N28" s="2418">
        <f>'29) Detail_BEM Sch 262 Gas'!K8</f>
        <v>1054800</v>
      </c>
      <c r="O28" s="2418"/>
      <c r="P28" s="2418">
        <f>'29) Detail_BEM Sch 262 Gas'!L8</f>
        <v>1311800</v>
      </c>
      <c r="Q28" s="2285">
        <f>'29) Detail_BEM Sch 262 Gas'!M8</f>
        <v>2806000</v>
      </c>
    </row>
    <row r="29" spans="2:17" s="2288" customFormat="1" x14ac:dyDescent="0.25">
      <c r="B29" s="2287"/>
      <c r="D29" s="838" t="s">
        <v>842</v>
      </c>
      <c r="E29" s="2416"/>
      <c r="F29" s="2290">
        <f t="shared" ref="F29:Q29" si="1">SUM(F24:F28)</f>
        <v>1826422</v>
      </c>
      <c r="G29" s="2290">
        <f t="shared" si="1"/>
        <v>106870</v>
      </c>
      <c r="H29" s="2290">
        <f t="shared" si="1"/>
        <v>1218085.96</v>
      </c>
      <c r="I29" s="2290">
        <f t="shared" si="1"/>
        <v>51000</v>
      </c>
      <c r="J29" s="2290">
        <f t="shared" si="1"/>
        <v>38795.199999999997</v>
      </c>
      <c r="K29" s="2290">
        <f t="shared" si="1"/>
        <v>581800</v>
      </c>
      <c r="L29" s="2290">
        <f t="shared" si="1"/>
        <v>88086.5</v>
      </c>
      <c r="M29" s="2290">
        <f t="shared" si="1"/>
        <v>9980.7999999999993</v>
      </c>
      <c r="N29" s="2290">
        <f t="shared" si="1"/>
        <v>6510300</v>
      </c>
      <c r="O29" s="2290">
        <f t="shared" si="1"/>
        <v>0</v>
      </c>
      <c r="P29" s="2290">
        <f t="shared" si="1"/>
        <v>10563080</v>
      </c>
      <c r="Q29" s="2291">
        <f t="shared" si="1"/>
        <v>5758000</v>
      </c>
    </row>
    <row r="30" spans="2:17" x14ac:dyDescent="0.25">
      <c r="E30" s="2410"/>
      <c r="F30" s="2418"/>
      <c r="G30" s="2418"/>
      <c r="H30" s="2418"/>
      <c r="I30" s="2418"/>
      <c r="J30" s="2418"/>
      <c r="K30" s="2418"/>
      <c r="L30" s="2418"/>
      <c r="M30" s="2418"/>
      <c r="N30" s="2418"/>
      <c r="O30" s="2418"/>
      <c r="P30" s="2418"/>
    </row>
    <row r="31" spans="2:17" x14ac:dyDescent="0.25">
      <c r="C31" t="s">
        <v>849</v>
      </c>
      <c r="E31" s="2410"/>
      <c r="F31" s="2418"/>
      <c r="G31" s="2418"/>
      <c r="H31" s="2418"/>
      <c r="I31" s="2418"/>
      <c r="J31" s="2418"/>
      <c r="K31" s="2418"/>
      <c r="L31" s="2418"/>
      <c r="M31" s="2418"/>
      <c r="N31" s="2418"/>
      <c r="O31" s="2418"/>
      <c r="P31" s="2418"/>
    </row>
    <row r="32" spans="2:17" x14ac:dyDescent="0.25">
      <c r="B32" s="19">
        <v>37</v>
      </c>
      <c r="C32" s="3369" t="s">
        <v>1212</v>
      </c>
      <c r="D32" t="s">
        <v>850</v>
      </c>
      <c r="E32" s="1568"/>
      <c r="F32" s="2418"/>
      <c r="G32" s="2418"/>
      <c r="H32" s="2418"/>
      <c r="I32" s="2418"/>
      <c r="J32" s="2418"/>
      <c r="K32" s="2418"/>
      <c r="L32" s="2418"/>
      <c r="M32" s="2418"/>
      <c r="N32" s="2418"/>
      <c r="O32" s="2418"/>
      <c r="P32" s="2418"/>
    </row>
    <row r="33" spans="2:19" ht="13.8" x14ac:dyDescent="0.3">
      <c r="B33" s="19" t="s">
        <v>947</v>
      </c>
      <c r="D33" t="s">
        <v>851</v>
      </c>
      <c r="E33" s="2280">
        <v>18230704</v>
      </c>
      <c r="F33" s="2418">
        <f>'37a) Detail_PSCE_EAs Gas'!G7</f>
        <v>179743.19999999998</v>
      </c>
      <c r="G33" s="2418">
        <f>'37a) Detail_PSCE_EAs Gas'!H7</f>
        <v>0</v>
      </c>
      <c r="H33" s="2418">
        <f>'37a) Detail_PSCE_EAs Gas'!I7</f>
        <v>113238.21599999999</v>
      </c>
      <c r="I33" s="2418">
        <f>'37a) Detail_PSCE_EAs Gas'!J7</f>
        <v>0</v>
      </c>
      <c r="J33" s="2418">
        <f>'37a) Detail_PSCE_EAs Gas'!K7</f>
        <v>8710</v>
      </c>
      <c r="K33" s="2418">
        <f>'37a) Detail_PSCE_EAs Gas'!L7</f>
        <v>6292</v>
      </c>
      <c r="L33" s="2418">
        <f>'37a) Detail_PSCE_EAs Gas'!M7</f>
        <v>1560</v>
      </c>
      <c r="M33" s="2418">
        <f>'37a) Detail_PSCE_EAs Gas'!N7</f>
        <v>0</v>
      </c>
      <c r="N33" s="2418">
        <f>'37a) Detail_PSCE_EAs Gas'!O7</f>
        <v>0</v>
      </c>
      <c r="O33" s="2418">
        <f>'37a) Detail_PSCE_EAs Gas'!P7</f>
        <v>0</v>
      </c>
      <c r="P33" s="2418">
        <f>'37a) Detail_PSCE_EAs Gas'!Q7+'37a) Detail_PSCE_EAs Gas'!Q8</f>
        <v>309543.41599999997</v>
      </c>
    </row>
    <row r="34" spans="2:19" ht="13.8" x14ac:dyDescent="0.3">
      <c r="B34" s="19" t="s">
        <v>948</v>
      </c>
      <c r="D34" t="s">
        <v>852</v>
      </c>
      <c r="E34" s="2280">
        <v>18230653</v>
      </c>
      <c r="F34" s="2418">
        <f>'37b) Detail_PSCE_Events Gas'!G7</f>
        <v>52168.43</v>
      </c>
      <c r="G34" s="2418">
        <f>'37b) Detail_PSCE_Events Gas'!H7</f>
        <v>0</v>
      </c>
      <c r="H34" s="2418">
        <f>'37b) Detail_PSCE_Events Gas'!I7</f>
        <v>32866.1109</v>
      </c>
      <c r="I34" s="2418">
        <f>'37b) Detail_PSCE_Events Gas'!J7</f>
        <v>4547.6000000000004</v>
      </c>
      <c r="J34" s="2418">
        <f>'37b) Detail_PSCE_Events Gas'!K7</f>
        <v>452.28</v>
      </c>
      <c r="K34" s="2418">
        <f>'37b) Detail_PSCE_Events Gas'!L7</f>
        <v>31568</v>
      </c>
      <c r="L34" s="2418">
        <f>'37b) Detail_PSCE_Events Gas'!M7</f>
        <v>1800</v>
      </c>
      <c r="M34" s="2418">
        <f>'37b) Detail_PSCE_Events Gas'!N7</f>
        <v>1170</v>
      </c>
      <c r="N34" s="2418">
        <f>'37b) Detail_PSCE_Events Gas'!O7</f>
        <v>0</v>
      </c>
      <c r="O34" s="2418">
        <f>'37b) Detail_PSCE_Events Gas'!P7</f>
        <v>0</v>
      </c>
      <c r="P34" s="2418">
        <f>'37b) Detail_PSCE_Events Gas'!Q7+'37b) Detail_PSCE_Events Gas'!Q8</f>
        <v>124572.4209</v>
      </c>
    </row>
    <row r="35" spans="2:19" ht="13.8" x14ac:dyDescent="0.3">
      <c r="B35" s="19" t="s">
        <v>949</v>
      </c>
      <c r="D35" t="s">
        <v>853</v>
      </c>
      <c r="E35" s="2280">
        <v>18230685</v>
      </c>
      <c r="F35" s="2418">
        <f>'37c) Detail_PSCE_Broch Gas'!G10</f>
        <v>0</v>
      </c>
      <c r="G35" s="2418">
        <f>'37c) Detail_PSCE_Broch Gas'!H10</f>
        <v>0</v>
      </c>
      <c r="H35" s="2418">
        <f>'37c) Detail_PSCE_Broch Gas'!I10</f>
        <v>0</v>
      </c>
      <c r="I35" s="2418">
        <f>'37c) Detail_PSCE_Broch Gas'!J10</f>
        <v>8278</v>
      </c>
      <c r="J35" s="2418">
        <f>'37c) Detail_PSCE_Broch Gas'!K10</f>
        <v>0</v>
      </c>
      <c r="K35" s="2418">
        <f>'37c) Detail_PSCE_Broch Gas'!L10</f>
        <v>650</v>
      </c>
      <c r="L35" s="2418">
        <f>'37c) Detail_PSCE_Broch Gas'!M10</f>
        <v>7410</v>
      </c>
      <c r="M35" s="2418">
        <f>'37c) Detail_PSCE_Broch Gas'!N10</f>
        <v>0</v>
      </c>
      <c r="N35" s="2418">
        <f>'37c) Detail_PSCE_Broch Gas'!O10</f>
        <v>0</v>
      </c>
      <c r="O35" s="2418">
        <f>'37c) Detail_PSCE_Broch Gas'!P10</f>
        <v>0</v>
      </c>
      <c r="P35" s="2418">
        <f>'37c) Detail_PSCE_Broch Gas'!Q10+'37c) Detail_PSCE_Broch Gas'!Q11</f>
        <v>16338</v>
      </c>
    </row>
    <row r="36" spans="2:19" ht="13.8" x14ac:dyDescent="0.3">
      <c r="B36" s="19" t="s">
        <v>950</v>
      </c>
      <c r="D36" t="s">
        <v>854</v>
      </c>
      <c r="E36" s="2280">
        <v>18230671</v>
      </c>
      <c r="F36" s="2418">
        <f>'37d) Detail_PSCE_Edu Gas'!G7</f>
        <v>16593</v>
      </c>
      <c r="G36" s="2418">
        <f>'37d) Detail_PSCE_Edu Gas'!H7</f>
        <v>0</v>
      </c>
      <c r="H36" s="2418">
        <f>'37d) Detail_PSCE_Edu Gas'!I7</f>
        <v>10453.59</v>
      </c>
      <c r="I36" s="2418">
        <f>'37d) Detail_PSCE_Edu Gas'!J7</f>
        <v>0</v>
      </c>
      <c r="J36" s="2418">
        <f>'37d) Detail_PSCE_Edu Gas'!K7</f>
        <v>370</v>
      </c>
      <c r="K36" s="2418">
        <f>'37d) Detail_PSCE_Edu Gas'!L7</f>
        <v>8450</v>
      </c>
      <c r="L36" s="2418">
        <f>'37d) Detail_PSCE_Edu Gas'!M7</f>
        <v>2600</v>
      </c>
      <c r="M36" s="2418">
        <f>'37d) Detail_PSCE_Edu Gas'!N7</f>
        <v>0</v>
      </c>
      <c r="N36" s="2418">
        <f>'37d) Detail_PSCE_Edu Gas'!O7</f>
        <v>0</v>
      </c>
      <c r="O36" s="2418">
        <f>'37d) Detail_PSCE_Edu Gas'!P7</f>
        <v>0</v>
      </c>
      <c r="P36" s="2418">
        <f>'37d) Detail_PSCE_Edu Gas'!Q7</f>
        <v>38466.589999999997</v>
      </c>
    </row>
    <row r="37" spans="2:19" ht="13.8" x14ac:dyDescent="0.3">
      <c r="B37" s="19">
        <v>38</v>
      </c>
      <c r="C37" s="3369" t="s">
        <v>1212</v>
      </c>
      <c r="D37" t="s">
        <v>855</v>
      </c>
      <c r="E37" s="1567"/>
      <c r="F37" s="2418"/>
      <c r="G37" s="2418"/>
      <c r="H37" s="2418"/>
      <c r="I37" s="2418"/>
      <c r="J37" s="2418"/>
      <c r="K37" s="2418"/>
      <c r="L37" s="2418"/>
      <c r="M37" s="2418"/>
      <c r="N37" s="2418"/>
      <c r="O37" s="2418"/>
      <c r="P37" s="2418"/>
    </row>
    <row r="38" spans="2:19" ht="13.8" x14ac:dyDescent="0.3">
      <c r="B38" s="19" t="s">
        <v>951</v>
      </c>
      <c r="D38" t="s">
        <v>856</v>
      </c>
      <c r="E38" s="2280">
        <v>18230737</v>
      </c>
      <c r="F38" s="2418">
        <f>'38a) Detail_PSWE_Main Grn Gas'!E11</f>
        <v>0</v>
      </c>
      <c r="G38" s="2418">
        <f>'38a) Detail_PSWE_Main Grn Gas'!F11</f>
        <v>0</v>
      </c>
      <c r="H38" s="2418">
        <f>'38a) Detail_PSWE_Main Grn Gas'!G11</f>
        <v>0</v>
      </c>
      <c r="I38" s="2418">
        <f>'38a) Detail_PSWE_Main Grn Gas'!H11</f>
        <v>0</v>
      </c>
      <c r="J38" s="2418">
        <f>'38a) Detail_PSWE_Main Grn Gas'!I11</f>
        <v>0</v>
      </c>
      <c r="K38" s="2418">
        <f>'38a) Detail_PSWE_Main Grn Gas'!J11</f>
        <v>190780</v>
      </c>
      <c r="L38" s="2418">
        <f>'38a) Detail_PSWE_Main Grn Gas'!K11</f>
        <v>0</v>
      </c>
      <c r="M38" s="2418">
        <f>'38a) Detail_PSWE_Main Grn Gas'!L11</f>
        <v>0</v>
      </c>
      <c r="N38" s="2418">
        <f>'38a) Detail_PSWE_Main Grn Gas'!M11</f>
        <v>0</v>
      </c>
      <c r="O38" s="2418"/>
      <c r="P38" s="2418">
        <f>'38a) Detail_PSWE_Main Grn Gas'!N11</f>
        <v>190780</v>
      </c>
    </row>
    <row r="39" spans="2:19" ht="13.8" x14ac:dyDescent="0.3">
      <c r="B39" s="19" t="s">
        <v>952</v>
      </c>
      <c r="D39" t="s">
        <v>857</v>
      </c>
      <c r="E39" s="2280">
        <v>18230732</v>
      </c>
      <c r="F39" s="2418">
        <f>'38b) Detail_PSWE_Mkt Int Gas'!E11</f>
        <v>47502</v>
      </c>
      <c r="G39" s="2418">
        <f>'38b) Detail_PSWE_Mkt Int Gas'!F11</f>
        <v>0</v>
      </c>
      <c r="H39" s="2418">
        <f>'38b) Detail_PSWE_Mkt Int Gas'!G11</f>
        <v>29926.260000000002</v>
      </c>
      <c r="I39" s="2418">
        <f>'38b) Detail_PSWE_Mkt Int Gas'!H11</f>
        <v>0</v>
      </c>
      <c r="J39" s="2418">
        <f>'38b) Detail_PSWE_Mkt Int Gas'!I11</f>
        <v>5200</v>
      </c>
      <c r="K39" s="2418">
        <f>'38b) Detail_PSWE_Mkt Int Gas'!J11</f>
        <v>22100</v>
      </c>
      <c r="L39" s="2418">
        <f>'38b) Detail_PSWE_Mkt Int Gas'!K11</f>
        <v>0</v>
      </c>
      <c r="M39" s="2418">
        <f>'38b) Detail_PSWE_Mkt Int Gas'!L11</f>
        <v>0</v>
      </c>
      <c r="N39" s="2418">
        <f>'38b) Detail_PSWE_Mkt Int Gas'!M11</f>
        <v>0</v>
      </c>
      <c r="O39" s="2418"/>
      <c r="P39" s="2418">
        <f>'38b) Detail_PSWE_Mkt Int Gas'!N11</f>
        <v>104728.26000000001</v>
      </c>
    </row>
    <row r="40" spans="2:19" ht="13.8" x14ac:dyDescent="0.3">
      <c r="B40" s="19">
        <v>39</v>
      </c>
      <c r="D40" t="s">
        <v>80</v>
      </c>
      <c r="E40" s="2280">
        <v>18230657</v>
      </c>
      <c r="F40" s="2418">
        <f>'39) Detail_PS_EE Comm Gas'!E12</f>
        <v>50590</v>
      </c>
      <c r="G40" s="2418">
        <f>'39) Detail_PS_EE Comm Gas'!F12</f>
        <v>0</v>
      </c>
      <c r="H40" s="2418">
        <f>'39) Detail_PS_EE Comm Gas'!G12</f>
        <v>31871.7</v>
      </c>
      <c r="I40" s="2418">
        <f>'39) Detail_PS_EE Comm Gas'!H12</f>
        <v>0</v>
      </c>
      <c r="J40" s="2418">
        <f>'39) Detail_PS_EE Comm Gas'!I12</f>
        <v>2080</v>
      </c>
      <c r="K40" s="2418">
        <f>'39) Detail_PS_EE Comm Gas'!J12</f>
        <v>1690</v>
      </c>
      <c r="L40" s="2418">
        <f>'39) Detail_PS_EE Comm Gas'!K12</f>
        <v>0</v>
      </c>
      <c r="M40" s="2418">
        <f>'39) Detail_PS_EE Comm Gas'!L12</f>
        <v>0</v>
      </c>
      <c r="N40" s="2418">
        <f>'39) Detail_PS_EE Comm Gas'!M12</f>
        <v>0</v>
      </c>
      <c r="O40" s="2418"/>
      <c r="P40" s="2418">
        <f>'39) Detail_PS_EE Comm Gas'!N12</f>
        <v>86231.7</v>
      </c>
    </row>
    <row r="41" spans="2:19" ht="13.8" x14ac:dyDescent="0.3">
      <c r="B41" s="19">
        <v>40</v>
      </c>
      <c r="D41" s="55" t="s">
        <v>858</v>
      </c>
      <c r="E41" s="2280">
        <v>18230698</v>
      </c>
      <c r="F41" s="2418">
        <f>'40) Detail_PS_Trade Ally gas'!E11</f>
        <v>0</v>
      </c>
      <c r="G41" s="2418">
        <f>'40) Detail_PS_Trade Ally gas'!F11</f>
        <v>0</v>
      </c>
      <c r="H41" s="2418">
        <f>'40) Detail_PS_Trade Ally gas'!G11</f>
        <v>0</v>
      </c>
      <c r="I41" s="2418">
        <f>'40) Detail_PS_Trade Ally gas'!H11</f>
        <v>0</v>
      </c>
      <c r="J41" s="2418">
        <f>'40) Detail_PS_Trade Ally gas'!I11</f>
        <v>0</v>
      </c>
      <c r="K41" s="2418">
        <f>'40) Detail_PS_Trade Ally gas'!J11</f>
        <v>0</v>
      </c>
      <c r="L41" s="2418">
        <f>'40) Detail_PS_Trade Ally gas'!K11</f>
        <v>0</v>
      </c>
      <c r="M41" s="2418">
        <f>'40) Detail_PS_Trade Ally gas'!L11</f>
        <v>36000</v>
      </c>
      <c r="N41" s="2418">
        <f>'40) Detail_PS_Trade Ally gas'!M11</f>
        <v>0</v>
      </c>
      <c r="O41" s="2418"/>
      <c r="P41" s="2418">
        <f>'40) Detail_PS_Trade Ally gas'!N11</f>
        <v>36000</v>
      </c>
      <c r="S41" t="s">
        <v>934</v>
      </c>
    </row>
    <row r="42" spans="2:19" ht="13.8" x14ac:dyDescent="0.3">
      <c r="B42" s="19">
        <v>41</v>
      </c>
      <c r="D42" t="s">
        <v>119</v>
      </c>
      <c r="E42" s="2280" t="s">
        <v>105</v>
      </c>
      <c r="F42" s="2418">
        <f>'41) Detail_PS_Mktg Rsch gas'!E12</f>
        <v>57557</v>
      </c>
      <c r="G42" s="2418">
        <f>'41) Detail_PS_Mktg Rsch gas'!F12</f>
        <v>0</v>
      </c>
      <c r="H42" s="2418">
        <f>'41) Detail_PS_Mktg Rsch gas'!G12</f>
        <v>36260.910000000003</v>
      </c>
      <c r="I42" s="2418">
        <f>'41) Detail_PS_Mktg Rsch gas'!H12</f>
        <v>0</v>
      </c>
      <c r="J42" s="2418">
        <f>'41) Detail_PS_Mktg Rsch gas'!I12</f>
        <v>975</v>
      </c>
      <c r="K42" s="2418">
        <f>'41) Detail_PS_Mktg Rsch gas'!J12</f>
        <v>87750</v>
      </c>
      <c r="L42" s="2418">
        <f>'41) Detail_PS_Mktg Rsch gas'!K12</f>
        <v>400</v>
      </c>
      <c r="M42" s="2418">
        <f>'41) Detail_PS_Mktg Rsch gas'!L12</f>
        <v>300</v>
      </c>
      <c r="N42" s="2418">
        <f>'41) Detail_PS_Mktg Rsch gas'!M12</f>
        <v>0</v>
      </c>
      <c r="O42" s="2418"/>
      <c r="P42" s="2418">
        <f>'41) Detail_PS_Mktg Rsch gas'!N12</f>
        <v>183242.91</v>
      </c>
    </row>
    <row r="43" spans="2:19" s="2288" customFormat="1" ht="13.8" x14ac:dyDescent="0.3">
      <c r="B43" s="2287"/>
      <c r="D43" s="838" t="s">
        <v>859</v>
      </c>
      <c r="E43" s="2292"/>
      <c r="F43" s="2290">
        <f>SUM(F33:F42)</f>
        <v>404153.63</v>
      </c>
      <c r="G43" s="2290">
        <f t="shared" ref="G43:P43" si="2">SUM(G33:G42)</f>
        <v>0</v>
      </c>
      <c r="H43" s="2290">
        <f t="shared" si="2"/>
        <v>254616.78690000001</v>
      </c>
      <c r="I43" s="2290">
        <f t="shared" si="2"/>
        <v>12825.6</v>
      </c>
      <c r="J43" s="2290">
        <f t="shared" si="2"/>
        <v>17787.28</v>
      </c>
      <c r="K43" s="2290">
        <f t="shared" si="2"/>
        <v>349280</v>
      </c>
      <c r="L43" s="2290">
        <f t="shared" si="2"/>
        <v>13770</v>
      </c>
      <c r="M43" s="2290">
        <f t="shared" si="2"/>
        <v>37470</v>
      </c>
      <c r="N43" s="2290">
        <f t="shared" si="2"/>
        <v>0</v>
      </c>
      <c r="O43" s="2290">
        <f t="shared" si="2"/>
        <v>0</v>
      </c>
      <c r="P43" s="2290">
        <f t="shared" si="2"/>
        <v>1089903.2969</v>
      </c>
      <c r="Q43" s="2291"/>
    </row>
    <row r="44" spans="2:19" ht="13.8" x14ac:dyDescent="0.3">
      <c r="E44" s="2280"/>
      <c r="F44" s="2418"/>
      <c r="G44" s="2418"/>
      <c r="H44" s="2418"/>
      <c r="I44" s="2418"/>
      <c r="J44" s="2418"/>
      <c r="K44" s="2418"/>
      <c r="L44" s="2418"/>
      <c r="M44" s="2418"/>
      <c r="N44" s="2418"/>
      <c r="O44" s="2418"/>
      <c r="P44" s="2418"/>
    </row>
    <row r="45" spans="2:19" ht="13.8" x14ac:dyDescent="0.3">
      <c r="C45" t="s">
        <v>860</v>
      </c>
      <c r="E45" s="2280"/>
      <c r="F45" s="2418"/>
      <c r="G45" s="2418"/>
      <c r="H45" s="2418"/>
      <c r="I45" s="2418"/>
      <c r="J45" s="2418"/>
      <c r="K45" s="2418"/>
      <c r="L45" s="2418"/>
      <c r="M45" s="2418"/>
      <c r="N45" s="2418"/>
      <c r="O45" s="2418"/>
      <c r="P45" s="2418"/>
    </row>
    <row r="46" spans="2:19" ht="13.8" x14ac:dyDescent="0.3">
      <c r="B46" s="19">
        <v>46</v>
      </c>
      <c r="D46" t="s">
        <v>85</v>
      </c>
      <c r="E46" s="2280">
        <v>18230703</v>
      </c>
      <c r="F46" s="2418">
        <f>'46) Detail_R&amp;C_Supp Crv gas'!E11</f>
        <v>33913</v>
      </c>
      <c r="G46" s="2418">
        <f>'46) Detail_R&amp;C_Supp Crv gas'!F11</f>
        <v>0</v>
      </c>
      <c r="H46" s="2418">
        <f>'46) Detail_R&amp;C_Supp Crv gas'!G11</f>
        <v>21365.190000000002</v>
      </c>
      <c r="I46" s="2418">
        <f>'46) Detail_R&amp;C_Supp Crv gas'!H11</f>
        <v>0</v>
      </c>
      <c r="J46" s="2418">
        <f>'46) Detail_R&amp;C_Supp Crv gas'!I11</f>
        <v>650</v>
      </c>
      <c r="K46" s="2418">
        <f>'46) Detail_R&amp;C_Supp Crv gas'!J11</f>
        <v>44200</v>
      </c>
      <c r="L46" s="2418">
        <f>'46) Detail_R&amp;C_Supp Crv gas'!K11</f>
        <v>0</v>
      </c>
      <c r="M46" s="2418">
        <f>'46) Detail_R&amp;C_Supp Crv gas'!L11</f>
        <v>0</v>
      </c>
      <c r="N46" s="2418">
        <f>'46) Detail_R&amp;C_Supp Crv gas'!M11</f>
        <v>0</v>
      </c>
      <c r="O46" s="2418"/>
      <c r="P46" s="2418">
        <f>'46) Detail_R&amp;C_Supp Crv gas'!N11</f>
        <v>100128.19</v>
      </c>
    </row>
    <row r="47" spans="2:19" ht="13.8" x14ac:dyDescent="0.3">
      <c r="B47" s="19">
        <v>47</v>
      </c>
      <c r="D47" t="s">
        <v>120</v>
      </c>
      <c r="E47" s="2280">
        <v>18230670</v>
      </c>
      <c r="F47" s="2418">
        <f>'47) Detail_R&amp;C_Strat Pln Gas'!E12</f>
        <v>43168</v>
      </c>
      <c r="G47" s="2418">
        <f>'47) Detail_R&amp;C_Strat Pln Gas'!F12</f>
        <v>0</v>
      </c>
      <c r="H47" s="2418">
        <f>'47) Detail_R&amp;C_Strat Pln Gas'!G12</f>
        <v>27195.84</v>
      </c>
      <c r="I47" s="2418">
        <f>'47) Detail_R&amp;C_Strat Pln Gas'!H12</f>
        <v>0</v>
      </c>
      <c r="J47" s="2418">
        <f>'47) Detail_R&amp;C_Strat Pln Gas'!I12</f>
        <v>910</v>
      </c>
      <c r="K47" s="2418">
        <f>'47) Detail_R&amp;C_Strat Pln Gas'!J12</f>
        <v>16900</v>
      </c>
      <c r="L47" s="2418">
        <f>'47) Detail_R&amp;C_Strat Pln Gas'!K12</f>
        <v>390</v>
      </c>
      <c r="M47" s="2418">
        <f>'47) Detail_R&amp;C_Strat Pln Gas'!L12</f>
        <v>260</v>
      </c>
      <c r="N47" s="2418">
        <f>'47) Detail_R&amp;C_Strat Pln Gas'!M12</f>
        <v>0</v>
      </c>
      <c r="O47" s="2418"/>
      <c r="P47" s="2418">
        <f>'47) Detail_R&amp;C_Strat Pln Gas'!N12</f>
        <v>88823.84</v>
      </c>
    </row>
    <row r="48" spans="2:19" ht="13.8" x14ac:dyDescent="0.3">
      <c r="B48" s="19">
        <v>48</v>
      </c>
      <c r="D48" t="s">
        <v>88</v>
      </c>
      <c r="E48" s="2280">
        <v>18230699</v>
      </c>
      <c r="F48" s="2418">
        <f>'48) Detail_R&amp;C_Eval Gas'!E11</f>
        <v>93380</v>
      </c>
      <c r="G48" s="2418">
        <f>'48) Detail_R&amp;C_Eval Gas'!F11</f>
        <v>0</v>
      </c>
      <c r="H48" s="2418">
        <f>'48) Detail_R&amp;C_Eval Gas'!G11</f>
        <v>58829.4</v>
      </c>
      <c r="I48" s="2418">
        <f>'48) Detail_R&amp;C_Eval Gas'!H11</f>
        <v>0</v>
      </c>
      <c r="J48" s="2418">
        <f>'48) Detail_R&amp;C_Eval Gas'!I11</f>
        <v>7000</v>
      </c>
      <c r="K48" s="2418">
        <f>'48) Detail_R&amp;C_Eval Gas'!J11</f>
        <v>790000</v>
      </c>
      <c r="L48" s="2418">
        <f>'48) Detail_R&amp;C_Eval Gas'!K11</f>
        <v>0</v>
      </c>
      <c r="M48" s="2418">
        <f>'48) Detail_R&amp;C_Eval Gas'!L11</f>
        <v>0</v>
      </c>
      <c r="N48" s="2418">
        <f>'48) Detail_R&amp;C_Eval Gas'!M11</f>
        <v>0</v>
      </c>
      <c r="O48" s="2418"/>
      <c r="P48" s="2418">
        <f>'48) Detail_R&amp;C_Eval Gas'!N11</f>
        <v>949209.4</v>
      </c>
      <c r="S48" t="s">
        <v>934</v>
      </c>
    </row>
    <row r="49" spans="2:17" ht="13.8" x14ac:dyDescent="0.3">
      <c r="B49" s="19">
        <v>49</v>
      </c>
      <c r="D49" s="55" t="s">
        <v>861</v>
      </c>
      <c r="E49" s="2610">
        <v>18230688</v>
      </c>
      <c r="F49" s="2418">
        <f>'49) Detail_R&amp;C_Support Gas'!E11</f>
        <v>70000</v>
      </c>
      <c r="G49" s="2418">
        <f>'49) Detail_R&amp;C_Support Gas'!F11</f>
        <v>0</v>
      </c>
      <c r="H49" s="2418">
        <f>'49) Detail_R&amp;C_Support Gas'!G11</f>
        <v>44100</v>
      </c>
      <c r="I49" s="2418">
        <f>'49) Detail_R&amp;C_Support Gas'!H11</f>
        <v>0</v>
      </c>
      <c r="J49" s="2418">
        <f>'49) Detail_R&amp;C_Support Gas'!I11</f>
        <v>2400</v>
      </c>
      <c r="K49" s="2418">
        <f>'49) Detail_R&amp;C_Support Gas'!J11</f>
        <v>6000</v>
      </c>
      <c r="L49" s="2418">
        <f>'49) Detail_R&amp;C_Support Gas'!K11</f>
        <v>0</v>
      </c>
      <c r="M49" s="2418">
        <f>'49) Detail_R&amp;C_Support Gas'!L11</f>
        <v>0</v>
      </c>
      <c r="N49" s="2418">
        <f>'49) Detail_R&amp;C_Support Gas'!M11</f>
        <v>0</v>
      </c>
      <c r="P49" s="2418">
        <f>'49) Detail_R&amp;C_Support Gas'!N11</f>
        <v>122500</v>
      </c>
    </row>
    <row r="50" spans="2:17" s="2288" customFormat="1" ht="13.8" x14ac:dyDescent="0.3">
      <c r="B50" s="2287"/>
      <c r="D50" s="838" t="s">
        <v>862</v>
      </c>
      <c r="E50" s="2292"/>
      <c r="F50" s="2290">
        <f>SUM(F46:F49)</f>
        <v>240461</v>
      </c>
      <c r="G50" s="2290">
        <f t="shared" ref="G50:O50" si="3">SUM(G46:G49)</f>
        <v>0</v>
      </c>
      <c r="H50" s="2290">
        <f t="shared" si="3"/>
        <v>151490.43</v>
      </c>
      <c r="I50" s="2290">
        <f t="shared" si="3"/>
        <v>0</v>
      </c>
      <c r="J50" s="2290">
        <f t="shared" si="3"/>
        <v>10960</v>
      </c>
      <c r="K50" s="2290">
        <f t="shared" si="3"/>
        <v>857100</v>
      </c>
      <c r="L50" s="2290">
        <f t="shared" si="3"/>
        <v>390</v>
      </c>
      <c r="M50" s="2290">
        <f t="shared" si="3"/>
        <v>260</v>
      </c>
      <c r="N50" s="2290">
        <f t="shared" si="3"/>
        <v>0</v>
      </c>
      <c r="O50" s="2290">
        <f t="shared" si="3"/>
        <v>0</v>
      </c>
      <c r="P50" s="2290">
        <f>SUM(P46:P49)</f>
        <v>1260661.43</v>
      </c>
      <c r="Q50" s="2291"/>
    </row>
    <row r="51" spans="2:17" ht="13.8" x14ac:dyDescent="0.3">
      <c r="E51" s="2280"/>
      <c r="F51" s="2418"/>
      <c r="G51" s="2418"/>
      <c r="H51" s="2418"/>
      <c r="I51" s="2418"/>
      <c r="J51" s="2418"/>
      <c r="K51" s="2418"/>
      <c r="L51" s="2418"/>
      <c r="M51" s="2418"/>
      <c r="N51" s="2418"/>
      <c r="O51" s="2418"/>
      <c r="P51" s="2418"/>
    </row>
    <row r="52" spans="2:17" s="2288" customFormat="1" x14ac:dyDescent="0.25">
      <c r="B52" s="2287"/>
      <c r="D52" s="838" t="s">
        <v>869</v>
      </c>
      <c r="E52" s="2416"/>
      <c r="F52" s="2290">
        <f t="shared" ref="F52:Q52" si="4">F20+F29+F43+F50</f>
        <v>3694974.767</v>
      </c>
      <c r="G52" s="2290">
        <f t="shared" si="4"/>
        <v>259032</v>
      </c>
      <c r="H52" s="2290">
        <f t="shared" si="4"/>
        <v>2491136.26321</v>
      </c>
      <c r="I52" s="2290">
        <f t="shared" si="4"/>
        <v>444353.6</v>
      </c>
      <c r="J52" s="2290">
        <f t="shared" si="4"/>
        <v>114562.48</v>
      </c>
      <c r="K52" s="2290">
        <f t="shared" si="4"/>
        <v>2123826</v>
      </c>
      <c r="L52" s="2290">
        <f t="shared" si="4"/>
        <v>545122.5</v>
      </c>
      <c r="M52" s="2290">
        <f t="shared" si="4"/>
        <v>119884.8</v>
      </c>
      <c r="N52" s="2290">
        <f t="shared" si="4"/>
        <v>16690247.604999999</v>
      </c>
      <c r="O52" s="2290">
        <f t="shared" si="4"/>
        <v>0</v>
      </c>
      <c r="P52" s="2290">
        <f t="shared" si="4"/>
        <v>26614879.555209998</v>
      </c>
      <c r="Q52" s="2291">
        <f t="shared" si="4"/>
        <v>9548915.8937999997</v>
      </c>
    </row>
    <row r="54" spans="2:17" s="2583" customFormat="1" ht="102" x14ac:dyDescent="0.25">
      <c r="B54" s="2582"/>
      <c r="D54" s="2581" t="s">
        <v>1023</v>
      </c>
      <c r="E54" s="2585" t="s">
        <v>1024</v>
      </c>
      <c r="F54" s="2586" t="s">
        <v>1025</v>
      </c>
      <c r="G54" s="2587"/>
      <c r="H54" s="2588" t="s">
        <v>1026</v>
      </c>
      <c r="I54" s="2586" t="s">
        <v>1027</v>
      </c>
      <c r="J54" s="2586" t="s">
        <v>1028</v>
      </c>
      <c r="K54" s="2586" t="s">
        <v>1029</v>
      </c>
      <c r="L54" s="2586" t="s">
        <v>1030</v>
      </c>
      <c r="M54" s="2586" t="s">
        <v>1031</v>
      </c>
      <c r="N54" s="2586" t="s">
        <v>1032</v>
      </c>
      <c r="O54" s="2586" t="s">
        <v>1033</v>
      </c>
      <c r="P54" s="2584"/>
      <c r="Q54" s="2590"/>
    </row>
  </sheetData>
  <customSheetViews>
    <customSheetView guid="{074EB09C-6289-46D7-9513-012B68BCA7BF}" showPageBreaks="1" topLeftCell="D5">
      <pane xSplit="2" ySplit="1" topLeftCell="K6" activePane="bottomRight" state="frozen"/>
      <selection pane="bottomRight"/>
      <pageMargins left="0.7" right="0.7" top="0.75" bottom="0.75" header="0.3" footer="0.3"/>
      <pageSetup paperSize="17" scale="70" orientation="landscape" r:id="rId1"/>
    </customSheetView>
  </customSheetViews>
  <mergeCells count="1">
    <mergeCell ref="F3:G3"/>
  </mergeCells>
  <hyperlinks>
    <hyperlink ref="E19" location="'16a) Detail_249HmEnrgyRpt Gas'!A1" display="'16a) Detail_249HmEnrgyRpt Gas'!A1"/>
    <hyperlink ref="E18" location="'16) Detail_REM Sch 249 Gas'!A1" display="'16) Detail_REM Sch 249 Gas'!A1"/>
    <hyperlink ref="E7" location="'11) Detail_REM Sch 203 Gas'!A1" display="'11) Detail_REM Sch 203 Gas'!A1"/>
    <hyperlink ref="E8" location="'12a) Detail_214HmPrint Gas'!A1" display="'12a) Detail_214HmPrint Gas'!A1"/>
    <hyperlink ref="E9" location="'12b) Detail_214WtrHeat Gas'!A1" display="'12b) Detail_214WtrHeat Gas'!A1"/>
    <hyperlink ref="E10" location="'12c) Detail_214Wx Gas'!A1" display="'12c) Detail_214Wx Gas'!A1"/>
    <hyperlink ref="E11" location="'12d) Detail_214SpHeat Gas'!A1" display="'12d) Detail_214SpHeat Gas'!A1"/>
    <hyperlink ref="E14" location="'13a) Detail_215MfgHomes Gas'!A1" display="'13a) Detail_215MfgHomes Gas'!A1"/>
    <hyperlink ref="E15" location="'13) Detail_REM Sch 215 Gas'!A1" display="'13) Detail_REM Sch 215 Gas'!A1"/>
    <hyperlink ref="E16" location="'14) Detail_REM Sch 217 Gas'!A1" display="'14) Detail_REM Sch 217 Gas'!A1"/>
    <hyperlink ref="E17" location="'15) Detail_REM Sch 218 Gas'!A1" display="'15) Detail_REM Sch 218 Gas'!A1"/>
    <hyperlink ref="E12" location="'12e) Detail_214ShwrHead Gas'!A1" display="'12e) Detail_214ShwrHead Gas'!A1"/>
    <hyperlink ref="E24" location="'25) Detail_BEM Sch 205 Gas'!A1" display="'25) Detail_BEM Sch 205 Gas'!A1"/>
    <hyperlink ref="E25" location="'26) Detail_BEM Sch 208 Gas'!A1" display="'26) Detail_BEM Sch 208 Gas'!A1"/>
    <hyperlink ref="E26" location="'27) Detail_BEM Sch 251 Gas'!A1" display="'27) Detail_BEM Sch 251 Gas'!A1"/>
    <hyperlink ref="E27" location="'28) Detail_BEM Sch 261 Gas'!A1" display="'28) Detail_BEM Sch 261 Gas'!A1"/>
    <hyperlink ref="E28" location="'29) Detail_BEM Sch 262 Gas'!A1" display="'29) Detail_BEM Sch 262 Gas'!A1"/>
    <hyperlink ref="E38" location="'38a) Detail_PSWE_Main Grn Gas'!A1" display="'38a) Detail_PSWE_Main Grn Gas'!A1"/>
    <hyperlink ref="E39" location="'38b) Detail_PSWE_Mkt Int Gas'!A1" display="'38b) Detail_PSWE_Mkt Int Gas'!A1"/>
    <hyperlink ref="E40" location="'39) Detail_PS_EE Comm Gas'!A1" display="'39) Detail_PS_EE Comm Gas'!A1"/>
    <hyperlink ref="E41" location="'40) Detail_PS_Trade Ally gas'!A1" display="'40) Detail_PS_Trade Ally gas'!A1"/>
    <hyperlink ref="E42" location="'41) Detail_PS_Mktg Rsch gas'!A1" display="'41) Detail_PS_Mktg Rsch gas'!A1"/>
    <hyperlink ref="E46" location="'46) Detail_R&amp;C_Supp Crv gas'!A1" display="'46) Detail_R&amp;C_Supp Crv gas'!A1"/>
    <hyperlink ref="E47" location="'47) Detail_R&amp;C_Strat Pln Gas'!A1" display="TBD"/>
    <hyperlink ref="E48" location="'48) Detail_R&amp;C_Eval Gas'!A1" display="'48) Detail_R&amp;C_Eval Gas'!A1"/>
    <hyperlink ref="E33" location="'37a) Detail_PSCE_EAs Gas'!A1" display="'37a) Detail_PSCE_EAs Gas'!A1"/>
    <hyperlink ref="E35" location="'37c) Detail_PSCE_Broch Gas'!A1" display="'37c) Detail_PSCE_Broch Gas'!A1"/>
    <hyperlink ref="E36" location="'37d) Detail_PSCE_Edu Gas'!A1" display="'37d) Detail_PSCE_Edu Gas'!A1"/>
    <hyperlink ref="E34" location="'37b) Detail_PSCE_Events Gas'!A1" display="'37b) Detail_PSCE_Events Gas'!A1"/>
    <hyperlink ref="E49" r:id="rId2" location="'49) Detail_R&amp;C_Support Gas'!A1" display="\\Sestdpt1.puget.com\sopscci\Budget &amp; Administration\WUTC_Filing_Program_Planning\2012_2013 Program Planning\2012-2013 BCP\Exhibit 1_Budgets\Exhibit 1 details_ANDY ONLY ACCESS!\Exhibit 1 complete for BCP_MASTER_07222011.xlsx - '49) Detail_R&amp;C_Support Gas'!A1"/>
    <hyperlink ref="E13" location="'12f) Detail_214HmApplSvgs Gas'!A1" display="Savings Only"/>
  </hyperlinks>
  <pageMargins left="0.35" right="0.31" top="0.75" bottom="0.75" header="0.31" footer="0.3"/>
  <pageSetup paperSize="17" scale="70" orientation="landscape"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
  <sheetViews>
    <sheetView workbookViewId="0">
      <pane xSplit="1" ySplit="1" topLeftCell="G2" activePane="bottomRight" state="frozen"/>
      <selection pane="topRight" activeCell="B1" sqref="B1"/>
      <selection pane="bottomLeft" activeCell="A2" sqref="A2"/>
      <selection pane="bottomRight" activeCell="C69" sqref="C69"/>
    </sheetView>
  </sheetViews>
  <sheetFormatPr defaultRowHeight="13.2" x14ac:dyDescent="0.25"/>
  <cols>
    <col min="1" max="1" width="16.109375" customWidth="1"/>
    <col min="2" max="3" width="23.88671875" customWidth="1"/>
    <col min="4" max="4" width="21" customWidth="1"/>
    <col min="5" max="5" width="18.6640625" customWidth="1"/>
    <col min="6" max="15" width="16.6640625" customWidth="1"/>
    <col min="16" max="16" width="26.44140625" customWidth="1"/>
  </cols>
  <sheetData>
    <row r="1" spans="1:16" ht="45" customHeight="1" x14ac:dyDescent="0.25">
      <c r="A1" s="3369"/>
      <c r="B1" s="3369"/>
      <c r="C1" s="3370"/>
      <c r="D1" s="3"/>
      <c r="E1" s="3369"/>
      <c r="F1" s="3369"/>
      <c r="G1" s="3369"/>
      <c r="H1" s="3369"/>
      <c r="I1" s="3369"/>
      <c r="J1" s="3369"/>
      <c r="K1" s="3369"/>
      <c r="L1" s="3369"/>
      <c r="M1" s="3369"/>
      <c r="N1" s="3369"/>
      <c r="O1" s="3369"/>
    </row>
    <row r="2" spans="1:16" ht="18" thickBot="1" x14ac:dyDescent="0.35">
      <c r="A2" s="3369"/>
      <c r="B2" s="1" t="s">
        <v>845</v>
      </c>
      <c r="C2" s="2296"/>
      <c r="D2" s="3370"/>
      <c r="E2" s="3"/>
      <c r="F2" s="3369"/>
      <c r="G2" s="3369"/>
      <c r="H2" s="3369"/>
      <c r="I2" s="3369"/>
      <c r="J2" s="3369"/>
      <c r="K2" s="3369"/>
      <c r="L2" s="3369"/>
      <c r="M2" s="3369"/>
      <c r="N2" s="3369"/>
      <c r="O2" s="3369"/>
    </row>
    <row r="3" spans="1:16" ht="15.6" thickBot="1" x14ac:dyDescent="0.3">
      <c r="A3" s="3369"/>
      <c r="B3" s="5" t="s">
        <v>5</v>
      </c>
      <c r="C3" s="171"/>
      <c r="D3" s="6" t="s">
        <v>78</v>
      </c>
      <c r="E3" s="104">
        <v>18230421</v>
      </c>
      <c r="F3" s="3369"/>
      <c r="G3" s="3369"/>
      <c r="H3" s="3369"/>
      <c r="I3" s="3369"/>
      <c r="J3" s="3369"/>
      <c r="K3" s="3369"/>
      <c r="L3" s="3369"/>
      <c r="M3" s="3369"/>
      <c r="N3" s="3369"/>
      <c r="O3" s="3369"/>
    </row>
    <row r="4" spans="1:16" x14ac:dyDescent="0.25">
      <c r="A4" s="3369"/>
      <c r="B4" s="3369"/>
      <c r="C4" s="3370"/>
      <c r="D4" s="3"/>
      <c r="E4" s="3369"/>
      <c r="F4" s="3369"/>
      <c r="G4" s="3369"/>
      <c r="H4" s="3369"/>
      <c r="I4" s="3369"/>
      <c r="J4" s="3369"/>
      <c r="K4" s="3369"/>
      <c r="L4" s="3369"/>
      <c r="M4" s="3369"/>
      <c r="N4" s="3369"/>
      <c r="O4" s="3369"/>
    </row>
    <row r="5" spans="1:16" ht="13.8" thickBot="1" x14ac:dyDescent="0.3">
      <c r="A5" s="71"/>
      <c r="B5" s="3369"/>
      <c r="C5" s="3369"/>
      <c r="D5" s="3370"/>
      <c r="E5" s="107" t="s">
        <v>1286</v>
      </c>
      <c r="F5" s="3369"/>
      <c r="G5" s="3369"/>
      <c r="H5" s="3369"/>
      <c r="I5" s="3369"/>
      <c r="J5" s="3369"/>
      <c r="K5" s="3369"/>
      <c r="L5" s="3369"/>
      <c r="M5" s="3369"/>
      <c r="N5" s="3369"/>
      <c r="O5" s="3369"/>
    </row>
    <row r="6" spans="1:16" ht="26.4" x14ac:dyDescent="0.3">
      <c r="B6" s="3882"/>
      <c r="C6" s="3369"/>
      <c r="D6" s="3369"/>
      <c r="E6" s="108" t="s">
        <v>9</v>
      </c>
      <c r="F6" s="108" t="s">
        <v>10</v>
      </c>
      <c r="G6" s="108" t="s">
        <v>11</v>
      </c>
      <c r="H6" s="109" t="s">
        <v>12</v>
      </c>
      <c r="I6" s="110" t="s">
        <v>13</v>
      </c>
      <c r="J6" s="108" t="s">
        <v>14</v>
      </c>
      <c r="K6" s="108" t="s">
        <v>15</v>
      </c>
      <c r="L6" s="108" t="s">
        <v>16</v>
      </c>
      <c r="M6" s="108" t="s">
        <v>17</v>
      </c>
      <c r="N6" s="111" t="s">
        <v>18</v>
      </c>
      <c r="O6" s="1333" t="s">
        <v>136</v>
      </c>
      <c r="P6" s="2428" t="s">
        <v>19</v>
      </c>
    </row>
    <row r="7" spans="1:16" x14ac:dyDescent="0.25">
      <c r="A7" s="112"/>
      <c r="B7" s="55"/>
      <c r="C7" s="55"/>
      <c r="D7" s="114" t="s">
        <v>20</v>
      </c>
      <c r="E7" s="115"/>
      <c r="F7" s="115"/>
      <c r="G7" s="115"/>
      <c r="H7" s="116"/>
      <c r="I7" s="117"/>
      <c r="J7" s="115"/>
      <c r="K7" s="115"/>
      <c r="L7" s="115"/>
      <c r="M7" s="115"/>
      <c r="N7" s="118">
        <v>4625000</v>
      </c>
      <c r="O7" s="115"/>
      <c r="P7" s="1475" t="s">
        <v>21</v>
      </c>
    </row>
    <row r="8" spans="1:16" x14ac:dyDescent="0.25">
      <c r="A8" s="112"/>
      <c r="B8" s="55"/>
      <c r="C8" s="55"/>
      <c r="D8" s="114" t="s">
        <v>22</v>
      </c>
      <c r="E8" s="1463"/>
      <c r="F8" s="1463"/>
      <c r="G8" s="1463"/>
      <c r="H8" s="1463"/>
      <c r="I8" s="1463"/>
      <c r="J8" s="1463">
        <v>5260640</v>
      </c>
      <c r="K8" s="1463"/>
      <c r="L8" s="1463"/>
      <c r="M8" s="1463"/>
      <c r="N8" s="124">
        <f>SUM(E8:M8)</f>
        <v>5260640</v>
      </c>
      <c r="O8" s="3840">
        <v>23500000</v>
      </c>
      <c r="P8" s="1476">
        <f>(N8-N7)/N7</f>
        <v>0.13743567567567569</v>
      </c>
    </row>
    <row r="9" spans="1:16" x14ac:dyDescent="0.25">
      <c r="A9" s="112"/>
      <c r="B9" s="55"/>
      <c r="C9" s="55"/>
      <c r="D9" s="55">
        <v>2012</v>
      </c>
      <c r="E9" s="121">
        <f>SUM(B23:B25)</f>
        <v>0</v>
      </c>
      <c r="F9" s="121">
        <f>SUM(B29:B31)</f>
        <v>0</v>
      </c>
      <c r="G9" s="121">
        <f>(SUM(B23:B25)+SUM(B29:B31))*0.63</f>
        <v>0</v>
      </c>
      <c r="H9" s="121">
        <f>SUM(B44:B48)+SUM(B52:B57)</f>
        <v>0</v>
      </c>
      <c r="I9" s="122">
        <f>SUM(B60:B64)</f>
        <v>0</v>
      </c>
      <c r="J9" s="121">
        <f>SUM(B68:B73)</f>
        <v>5260640</v>
      </c>
      <c r="K9" s="121">
        <f>SUM(B76:B82)</f>
        <v>0</v>
      </c>
      <c r="L9" s="121">
        <f>SUM(B85:B90)</f>
        <v>0</v>
      </c>
      <c r="M9" s="123"/>
      <c r="N9" s="124">
        <f>SUM(E9:M9)</f>
        <v>5260640</v>
      </c>
      <c r="O9" s="3841">
        <f>H21</f>
        <v>19414500</v>
      </c>
      <c r="P9" s="1476">
        <f>(N9-N8)/N8</f>
        <v>0</v>
      </c>
    </row>
    <row r="10" spans="1:16" x14ac:dyDescent="0.25">
      <c r="A10" s="112"/>
      <c r="B10" s="55"/>
      <c r="C10" s="55"/>
      <c r="D10" s="55">
        <v>2013</v>
      </c>
      <c r="E10" s="121">
        <f>SUM(C23:C25)</f>
        <v>0</v>
      </c>
      <c r="F10" s="121">
        <f>SUM(C29:C31)</f>
        <v>0</v>
      </c>
      <c r="G10" s="121">
        <f>(SUM(C23:C25)+SUM(C29:C31))*0.63</f>
        <v>0</v>
      </c>
      <c r="H10" s="121">
        <f>SUM(C44:C48)+SUM(C52:C57)</f>
        <v>0</v>
      </c>
      <c r="I10" s="122">
        <f>SUM(C60:C64)</f>
        <v>0</v>
      </c>
      <c r="J10" s="121">
        <f>SUM(C68:C73)</f>
        <v>5260640</v>
      </c>
      <c r="K10" s="121">
        <f>SUM(C76:C82)</f>
        <v>0</v>
      </c>
      <c r="L10" s="121">
        <f>SUM(C85:C90)</f>
        <v>0</v>
      </c>
      <c r="M10" s="123"/>
      <c r="N10" s="124">
        <f>SUM(E10:M10)</f>
        <v>5260640</v>
      </c>
      <c r="O10" s="3841">
        <f>I21</f>
        <v>19414500</v>
      </c>
      <c r="P10" s="1476">
        <f>(N10-N9)/N9</f>
        <v>0</v>
      </c>
    </row>
    <row r="11" spans="1:16" ht="13.8" thickBot="1" x14ac:dyDescent="0.3">
      <c r="A11" s="71"/>
      <c r="B11" s="19"/>
      <c r="C11" s="19"/>
      <c r="D11" s="126" t="s">
        <v>23</v>
      </c>
      <c r="E11" s="127">
        <f>SUM(E9:E10)</f>
        <v>0</v>
      </c>
      <c r="F11" s="127">
        <f t="shared" ref="F11:M11" si="0">SUM(F9:F10)</f>
        <v>0</v>
      </c>
      <c r="G11" s="127">
        <f t="shared" si="0"/>
        <v>0</v>
      </c>
      <c r="H11" s="127">
        <f t="shared" si="0"/>
        <v>0</v>
      </c>
      <c r="I11" s="127">
        <f t="shared" si="0"/>
        <v>0</v>
      </c>
      <c r="J11" s="127">
        <f t="shared" si="0"/>
        <v>10521280</v>
      </c>
      <c r="K11" s="127">
        <f t="shared" si="0"/>
        <v>0</v>
      </c>
      <c r="L11" s="127">
        <f t="shared" si="0"/>
        <v>0</v>
      </c>
      <c r="M11" s="128">
        <f t="shared" si="0"/>
        <v>0</v>
      </c>
      <c r="N11" s="129">
        <f>SUM(N9:N10)</f>
        <v>10521280</v>
      </c>
      <c r="O11" s="3842">
        <f t="shared" ref="O11" si="1">SUM(O9:O10)</f>
        <v>38829000</v>
      </c>
      <c r="P11" s="19"/>
    </row>
    <row r="12" spans="1:16" ht="26.4" x14ac:dyDescent="0.25">
      <c r="A12" s="71"/>
      <c r="B12" s="3369"/>
      <c r="C12" s="3369"/>
      <c r="D12" s="3370"/>
      <c r="E12" s="3"/>
      <c r="F12" s="3369"/>
      <c r="G12" s="3369"/>
      <c r="H12" s="3369"/>
      <c r="I12" s="3369"/>
      <c r="J12" s="3369"/>
      <c r="K12" s="3369"/>
      <c r="L12" s="3369"/>
      <c r="M12" s="71" t="s">
        <v>24</v>
      </c>
      <c r="N12" s="3369"/>
      <c r="O12" s="3369"/>
    </row>
    <row r="13" spans="1:16" x14ac:dyDescent="0.25">
      <c r="A13" s="71"/>
      <c r="B13" s="3369"/>
      <c r="C13" s="3369"/>
      <c r="D13" s="3370"/>
      <c r="E13" s="3"/>
      <c r="F13" s="3369"/>
      <c r="G13" s="3369"/>
      <c r="H13" s="3369"/>
      <c r="I13" s="3369"/>
      <c r="J13" s="3369"/>
      <c r="K13" s="3369"/>
      <c r="L13" s="3369"/>
      <c r="M13" s="71" t="s">
        <v>25</v>
      </c>
      <c r="N13" s="3369"/>
      <c r="O13" s="3369"/>
    </row>
    <row r="14" spans="1:16" ht="15.6" x14ac:dyDescent="0.3">
      <c r="A14" s="71"/>
      <c r="B14" s="4781" t="s">
        <v>26</v>
      </c>
      <c r="C14" s="4783"/>
      <c r="D14" s="4783"/>
      <c r="E14" s="4782"/>
      <c r="F14" s="3839"/>
      <c r="G14" s="3839"/>
      <c r="H14" s="3369"/>
      <c r="I14" s="3369"/>
      <c r="J14" s="3369"/>
      <c r="K14" s="3369"/>
      <c r="L14" s="3369"/>
      <c r="M14" s="3369"/>
      <c r="N14" s="3369"/>
      <c r="O14" s="3369"/>
    </row>
    <row r="15" spans="1:16" ht="15.6" x14ac:dyDescent="0.3">
      <c r="A15" s="112"/>
      <c r="B15" s="173"/>
      <c r="C15" s="132"/>
      <c r="D15" s="132"/>
      <c r="E15" s="132"/>
      <c r="F15" s="132"/>
      <c r="G15" s="132"/>
      <c r="H15" s="55"/>
      <c r="I15" s="55"/>
      <c r="J15" s="55"/>
      <c r="K15" s="55"/>
      <c r="L15" s="55"/>
      <c r="M15" s="55"/>
      <c r="N15" s="55"/>
      <c r="O15" s="55"/>
    </row>
    <row r="16" spans="1:16" ht="15.6" x14ac:dyDescent="0.3">
      <c r="A16" s="112"/>
      <c r="B16" s="132"/>
      <c r="C16" s="132"/>
      <c r="D16" s="132"/>
      <c r="E16" s="132"/>
      <c r="F16" s="132"/>
      <c r="G16" s="132"/>
      <c r="H16" s="55"/>
      <c r="I16" s="55"/>
      <c r="J16" s="55"/>
      <c r="K16" s="55"/>
      <c r="L16" s="55"/>
      <c r="M16" s="55"/>
      <c r="N16" s="55"/>
      <c r="O16" s="55"/>
    </row>
    <row r="17" spans="1:15" ht="15.6" x14ac:dyDescent="0.3">
      <c r="A17" s="71"/>
      <c r="B17" s="4779" t="s">
        <v>27</v>
      </c>
      <c r="C17" s="4779"/>
      <c r="D17" s="45" t="s">
        <v>28</v>
      </c>
      <c r="E17" s="46" t="s">
        <v>29</v>
      </c>
      <c r="F17" s="3369"/>
      <c r="G17" s="3369"/>
      <c r="H17" s="3369"/>
      <c r="I17" s="3369"/>
      <c r="J17" s="3369"/>
      <c r="K17" s="3369"/>
      <c r="L17" s="3369"/>
      <c r="M17" s="3369"/>
      <c r="N17" s="3369"/>
      <c r="O17" s="3369"/>
    </row>
    <row r="18" spans="1:15" ht="15.6" x14ac:dyDescent="0.3">
      <c r="A18" s="71"/>
      <c r="B18" s="4780" t="s">
        <v>30</v>
      </c>
      <c r="C18" s="4780"/>
      <c r="D18" s="45"/>
      <c r="E18" s="46"/>
      <c r="F18" s="3369"/>
      <c r="G18" s="3369"/>
      <c r="H18" s="3369"/>
      <c r="I18" s="3369"/>
      <c r="J18" s="3372"/>
      <c r="K18" s="3372"/>
      <c r="L18" s="3372"/>
      <c r="M18" s="3372"/>
      <c r="N18" s="3369"/>
      <c r="O18" s="3369"/>
    </row>
    <row r="19" spans="1:15" ht="46.8" x14ac:dyDescent="0.3">
      <c r="A19" s="71"/>
      <c r="B19" s="3835">
        <v>2012</v>
      </c>
      <c r="C19" s="3835">
        <v>2013</v>
      </c>
      <c r="D19" s="71" t="s">
        <v>89</v>
      </c>
      <c r="E19" s="134" t="s">
        <v>32</v>
      </c>
      <c r="F19" s="3369"/>
      <c r="G19" s="3369"/>
      <c r="H19" s="4781" t="s">
        <v>1199</v>
      </c>
      <c r="I19" s="4782"/>
      <c r="J19" s="3839"/>
      <c r="K19" s="3839"/>
      <c r="L19" s="3839"/>
      <c r="M19" s="3839"/>
      <c r="N19" s="3369"/>
      <c r="O19" s="3369"/>
    </row>
    <row r="20" spans="1:15" x14ac:dyDescent="0.25">
      <c r="A20" s="71"/>
      <c r="B20" s="178" t="s">
        <v>9</v>
      </c>
      <c r="C20" s="178" t="s">
        <v>9</v>
      </c>
      <c r="D20" s="141"/>
      <c r="E20" s="142">
        <f>SUM(B23:B25)+SUM(C23:C25)</f>
        <v>0</v>
      </c>
      <c r="F20" s="3369"/>
      <c r="G20" s="3369"/>
      <c r="H20" s="19">
        <v>2012</v>
      </c>
      <c r="I20" s="19">
        <v>2013</v>
      </c>
      <c r="J20" s="3369"/>
      <c r="K20" s="3369"/>
      <c r="L20" s="3369"/>
      <c r="M20" s="3369"/>
      <c r="N20" s="3369"/>
      <c r="O20" s="3369"/>
    </row>
    <row r="21" spans="1:15" x14ac:dyDescent="0.25">
      <c r="A21" s="71"/>
      <c r="B21" s="179"/>
      <c r="C21" s="179"/>
      <c r="D21" s="3370"/>
      <c r="E21" s="54"/>
      <c r="F21" s="3369"/>
      <c r="G21" s="3369"/>
      <c r="H21" s="3843">
        <v>19414500</v>
      </c>
      <c r="I21" s="3843">
        <v>19414500</v>
      </c>
      <c r="J21" s="3369"/>
      <c r="K21" s="3369"/>
      <c r="L21" s="3369"/>
      <c r="M21" s="3369"/>
      <c r="N21" s="3369"/>
      <c r="O21" s="3369"/>
    </row>
    <row r="22" spans="1:15" x14ac:dyDescent="0.25">
      <c r="A22" s="71"/>
      <c r="B22" s="180" t="s">
        <v>33</v>
      </c>
      <c r="C22" s="180" t="s">
        <v>33</v>
      </c>
      <c r="D22" s="146" t="s">
        <v>7</v>
      </c>
      <c r="E22" s="54"/>
      <c r="F22" s="147" t="s">
        <v>7</v>
      </c>
      <c r="G22" s="3369"/>
      <c r="H22" s="3369"/>
      <c r="I22" s="3369"/>
      <c r="J22" s="3369"/>
      <c r="K22" s="3369"/>
      <c r="L22" s="3369"/>
      <c r="M22" s="3369" t="s">
        <v>110</v>
      </c>
      <c r="N22" s="86">
        <f>660485-N9</f>
        <v>-4600155</v>
      </c>
      <c r="O22" s="3369"/>
    </row>
    <row r="23" spans="1:15" x14ac:dyDescent="0.25">
      <c r="A23" s="71"/>
      <c r="B23" s="181"/>
      <c r="C23" s="182"/>
      <c r="D23" s="148"/>
      <c r="E23" s="54"/>
      <c r="F23" s="149"/>
      <c r="G23" s="3369"/>
      <c r="H23" s="3369"/>
      <c r="I23" s="3369"/>
      <c r="J23" s="3369"/>
      <c r="K23" s="3369"/>
      <c r="L23" s="3369"/>
      <c r="M23" s="3369" t="s">
        <v>111</v>
      </c>
      <c r="N23" s="86">
        <f>550235-N10</f>
        <v>-4710405</v>
      </c>
      <c r="O23" s="3369"/>
    </row>
    <row r="24" spans="1:15" x14ac:dyDescent="0.25">
      <c r="A24" s="71"/>
      <c r="B24" s="183"/>
      <c r="C24" s="183"/>
      <c r="D24" s="3370"/>
      <c r="E24" s="54"/>
      <c r="F24" s="3369"/>
      <c r="G24" s="3369"/>
      <c r="H24" s="3369"/>
      <c r="I24" s="3369"/>
      <c r="J24" s="3369"/>
      <c r="K24" s="3369"/>
      <c r="L24" s="3369"/>
      <c r="M24" s="3369"/>
      <c r="N24" s="3369"/>
      <c r="O24" s="3369"/>
    </row>
    <row r="25" spans="1:15" x14ac:dyDescent="0.25">
      <c r="A25" s="71"/>
      <c r="B25" s="183"/>
      <c r="C25" s="183"/>
      <c r="D25" s="3370"/>
      <c r="E25" s="54"/>
      <c r="F25" s="3369"/>
      <c r="G25" s="3369"/>
      <c r="H25" s="3369"/>
      <c r="I25" s="3369"/>
      <c r="J25" s="3369"/>
      <c r="K25" s="3369"/>
      <c r="L25" s="3369"/>
      <c r="M25" s="3369"/>
      <c r="N25" s="3369"/>
      <c r="O25" s="3369"/>
    </row>
    <row r="26" spans="1:15" x14ac:dyDescent="0.25">
      <c r="A26" s="112"/>
      <c r="B26" s="178" t="s">
        <v>10</v>
      </c>
      <c r="C26" s="178" t="s">
        <v>10</v>
      </c>
      <c r="D26" s="141"/>
      <c r="E26" s="142">
        <f>SUM(B29:B32)+SUM(C29:C32)</f>
        <v>0</v>
      </c>
      <c r="F26" s="55"/>
      <c r="G26" s="55"/>
      <c r="H26" s="55"/>
      <c r="I26" s="55"/>
      <c r="J26" s="55"/>
      <c r="K26" s="55"/>
      <c r="L26" s="55"/>
      <c r="M26" s="55"/>
      <c r="N26" s="55"/>
      <c r="O26" s="55"/>
    </row>
    <row r="27" spans="1:15" x14ac:dyDescent="0.25">
      <c r="A27" s="71"/>
      <c r="B27" s="184"/>
      <c r="C27" s="184"/>
      <c r="D27" s="155"/>
      <c r="E27" s="54"/>
      <c r="F27" s="3369"/>
      <c r="G27" s="3369"/>
      <c r="H27" s="3369"/>
      <c r="I27" s="3369"/>
      <c r="J27" s="3369"/>
      <c r="K27" s="3369"/>
      <c r="L27" s="3369"/>
      <c r="M27" s="3369"/>
      <c r="N27" s="3369"/>
      <c r="O27" s="3369"/>
    </row>
    <row r="28" spans="1:15" x14ac:dyDescent="0.25">
      <c r="A28" s="112"/>
      <c r="B28" s="180" t="s">
        <v>33</v>
      </c>
      <c r="C28" s="180" t="s">
        <v>33</v>
      </c>
      <c r="D28" s="155"/>
      <c r="E28" s="54"/>
      <c r="F28" s="55"/>
      <c r="G28" s="55"/>
      <c r="H28" s="55"/>
      <c r="I28" s="55"/>
      <c r="J28" s="55"/>
      <c r="K28" s="55"/>
      <c r="L28" s="55"/>
      <c r="M28" s="55"/>
      <c r="N28" s="55"/>
      <c r="O28" s="55"/>
    </row>
    <row r="29" spans="1:15" x14ac:dyDescent="0.25">
      <c r="A29" s="71"/>
      <c r="B29" s="88"/>
      <c r="C29" s="185"/>
      <c r="D29" s="153"/>
      <c r="E29" s="54"/>
      <c r="F29" s="3369"/>
      <c r="G29" s="3369"/>
      <c r="H29" s="3369"/>
      <c r="I29" s="3369"/>
      <c r="J29" s="3369"/>
      <c r="K29" s="3369"/>
      <c r="L29" s="3369"/>
      <c r="M29" s="3369"/>
      <c r="N29" s="3369"/>
      <c r="O29" s="3369"/>
    </row>
    <row r="30" spans="1:15" x14ac:dyDescent="0.25">
      <c r="A30" s="71"/>
      <c r="B30" s="185"/>
      <c r="C30" s="185"/>
      <c r="D30" s="153"/>
      <c r="E30" s="54"/>
      <c r="F30" s="3369"/>
      <c r="G30" s="3369"/>
      <c r="H30" s="3369"/>
      <c r="I30" s="3369"/>
      <c r="J30" s="3369"/>
      <c r="K30" s="3369"/>
      <c r="L30" s="3369"/>
      <c r="M30" s="3369"/>
      <c r="N30" s="3369"/>
      <c r="O30" s="3369"/>
    </row>
    <row r="31" spans="1:15" x14ac:dyDescent="0.25">
      <c r="A31" s="71"/>
      <c r="B31" s="19"/>
      <c r="C31" s="19"/>
      <c r="D31" s="153"/>
      <c r="E31" s="54"/>
      <c r="F31" s="3369"/>
      <c r="G31" s="3369"/>
      <c r="H31" s="3369"/>
      <c r="I31" s="3369"/>
      <c r="J31" s="3369"/>
      <c r="K31" s="3369"/>
      <c r="L31" s="3369"/>
      <c r="M31" s="3369"/>
      <c r="N31" s="3369"/>
      <c r="O31" s="3369"/>
    </row>
    <row r="32" spans="1:15" x14ac:dyDescent="0.25">
      <c r="A32" s="71"/>
      <c r="B32" s="19"/>
      <c r="C32" s="19"/>
      <c r="D32" s="153"/>
      <c r="E32" s="54"/>
      <c r="F32" s="3369"/>
      <c r="G32" s="3369"/>
      <c r="H32" s="3369"/>
      <c r="I32" s="3369"/>
      <c r="J32" s="3369"/>
      <c r="K32" s="3369"/>
      <c r="L32" s="3369"/>
      <c r="M32" s="3369"/>
      <c r="N32" s="3369"/>
      <c r="O32" s="3369"/>
    </row>
    <row r="33" spans="1:15" x14ac:dyDescent="0.25">
      <c r="A33" s="71"/>
      <c r="B33" s="178" t="s">
        <v>11</v>
      </c>
      <c r="C33" s="178" t="s">
        <v>11</v>
      </c>
      <c r="D33" s="141"/>
      <c r="E33" s="142">
        <f>E20*0.63</f>
        <v>0</v>
      </c>
      <c r="F33" s="3369"/>
      <c r="G33" s="3369"/>
      <c r="H33" s="3369"/>
      <c r="I33" s="3369"/>
      <c r="J33" s="3369"/>
      <c r="K33" s="3369"/>
      <c r="L33" s="3369"/>
      <c r="M33" s="3369"/>
      <c r="N33" s="3369"/>
      <c r="O33" s="3369"/>
    </row>
    <row r="34" spans="1:15" x14ac:dyDescent="0.25">
      <c r="A34" s="71"/>
      <c r="B34" s="179"/>
      <c r="C34" s="179"/>
      <c r="D34" s="3370"/>
      <c r="E34" s="70"/>
      <c r="F34" s="3369"/>
      <c r="G34" s="3369"/>
      <c r="H34" s="3369"/>
      <c r="I34" s="3369"/>
      <c r="J34" s="3369"/>
      <c r="K34" s="3369"/>
      <c r="L34" s="3369"/>
      <c r="M34" s="3369"/>
      <c r="N34" s="3369"/>
      <c r="O34" s="3369"/>
    </row>
    <row r="35" spans="1:15" x14ac:dyDescent="0.25">
      <c r="A35" s="1472"/>
      <c r="B35" s="186" t="s">
        <v>38</v>
      </c>
      <c r="C35" s="186" t="s">
        <v>38</v>
      </c>
      <c r="D35" s="146" t="s">
        <v>7</v>
      </c>
      <c r="E35" s="54"/>
      <c r="F35" s="161"/>
      <c r="G35" s="3369"/>
      <c r="H35" s="3369"/>
      <c r="I35" s="3369"/>
      <c r="J35" s="3369"/>
      <c r="K35" s="3369"/>
      <c r="L35" s="3369"/>
      <c r="M35" s="3369"/>
      <c r="N35" s="3369"/>
      <c r="O35" s="3369"/>
    </row>
    <row r="36" spans="1:15" x14ac:dyDescent="0.25">
      <c r="A36" s="71"/>
      <c r="B36" s="19"/>
      <c r="C36" s="19"/>
      <c r="D36" s="153" t="s">
        <v>7</v>
      </c>
      <c r="E36" s="54"/>
      <c r="F36" s="3369"/>
      <c r="G36" s="3369"/>
      <c r="H36" s="3369"/>
      <c r="I36" s="3369"/>
      <c r="J36" s="3369"/>
      <c r="K36" s="3369"/>
      <c r="L36" s="3369"/>
      <c r="M36" s="3369"/>
      <c r="N36" s="3369"/>
      <c r="O36" s="3369"/>
    </row>
    <row r="37" spans="1:15" x14ac:dyDescent="0.25">
      <c r="A37" s="112"/>
      <c r="B37" s="178" t="s">
        <v>39</v>
      </c>
      <c r="C37" s="178" t="s">
        <v>39</v>
      </c>
      <c r="D37" s="141"/>
      <c r="E37" s="142">
        <f>SUM(B39:B41)+SUM(C39:C41)</f>
        <v>0</v>
      </c>
      <c r="F37" s="55"/>
      <c r="G37" s="55"/>
      <c r="H37" s="55"/>
      <c r="I37" s="55"/>
      <c r="J37" s="55"/>
      <c r="K37" s="55"/>
      <c r="L37" s="55"/>
      <c r="M37" s="55"/>
      <c r="N37" s="55"/>
      <c r="O37" s="55"/>
    </row>
    <row r="38" spans="1:15" x14ac:dyDescent="0.25">
      <c r="A38" s="71"/>
      <c r="B38" s="184"/>
      <c r="C38" s="184"/>
      <c r="D38" s="155"/>
      <c r="E38" s="54"/>
      <c r="F38" s="3369"/>
      <c r="G38" s="3369"/>
      <c r="H38" s="3369"/>
      <c r="I38" s="3369"/>
      <c r="J38" s="3369"/>
      <c r="K38" s="3369"/>
      <c r="L38" s="3369"/>
      <c r="M38" s="3369"/>
      <c r="N38" s="3369"/>
      <c r="O38" s="3369"/>
    </row>
    <row r="39" spans="1:15" x14ac:dyDescent="0.25">
      <c r="A39" s="71"/>
      <c r="B39" s="3369"/>
      <c r="C39" s="185"/>
      <c r="D39" s="153"/>
      <c r="E39" s="54"/>
      <c r="F39" s="3369"/>
      <c r="G39" s="3369"/>
      <c r="H39" s="3369"/>
      <c r="I39" s="3369"/>
      <c r="J39" s="3369"/>
      <c r="K39" s="3369"/>
      <c r="L39" s="3369"/>
      <c r="M39" s="3369"/>
      <c r="N39" s="3369"/>
      <c r="O39" s="3369"/>
    </row>
    <row r="40" spans="1:15" x14ac:dyDescent="0.25">
      <c r="A40" s="71"/>
      <c r="B40" s="19"/>
      <c r="C40" s="19"/>
      <c r="D40" s="153"/>
      <c r="E40" s="54"/>
      <c r="F40" s="3369"/>
      <c r="G40" s="3369"/>
      <c r="H40" s="3369"/>
      <c r="I40" s="3369"/>
      <c r="J40" s="3369"/>
      <c r="K40" s="3369"/>
      <c r="L40" s="3369"/>
      <c r="M40" s="3369"/>
      <c r="N40" s="3369"/>
      <c r="O40" s="3369"/>
    </row>
    <row r="41" spans="1:15" x14ac:dyDescent="0.25">
      <c r="A41" s="71"/>
      <c r="B41" s="19"/>
      <c r="C41" s="19"/>
      <c r="D41" s="153"/>
      <c r="E41" s="54"/>
      <c r="F41" s="3369"/>
      <c r="G41" s="3369"/>
      <c r="H41" s="3369"/>
      <c r="I41" s="3369"/>
      <c r="J41" s="3369"/>
      <c r="K41" s="3369"/>
      <c r="L41" s="3369"/>
      <c r="M41" s="3369"/>
      <c r="N41" s="3369"/>
      <c r="O41" s="3369"/>
    </row>
    <row r="42" spans="1:15" x14ac:dyDescent="0.25">
      <c r="A42" s="71"/>
      <c r="B42" s="178" t="s">
        <v>12</v>
      </c>
      <c r="C42" s="178" t="s">
        <v>12</v>
      </c>
      <c r="D42" s="141"/>
      <c r="E42" s="142">
        <f>SUM(B44:B49)+SUM(C44:C49)</f>
        <v>0</v>
      </c>
      <c r="F42" s="3369"/>
      <c r="G42" s="3369"/>
      <c r="H42" s="3369"/>
      <c r="I42" s="3369"/>
      <c r="J42" s="3369"/>
      <c r="K42" s="3369"/>
      <c r="L42" s="3369"/>
      <c r="M42" s="3369"/>
      <c r="N42" s="3369"/>
      <c r="O42" s="3369"/>
    </row>
    <row r="43" spans="1:15" x14ac:dyDescent="0.25">
      <c r="A43" s="71"/>
      <c r="B43" s="187"/>
      <c r="C43" s="187"/>
      <c r="D43" s="153"/>
      <c r="E43" s="54"/>
      <c r="F43" s="3369"/>
      <c r="G43" s="3369"/>
      <c r="H43" s="3369"/>
      <c r="I43" s="3369"/>
      <c r="J43" s="3369"/>
      <c r="K43" s="3369"/>
      <c r="L43" s="3369"/>
      <c r="M43" s="3369"/>
      <c r="N43" s="3369"/>
      <c r="O43" s="3369"/>
    </row>
    <row r="44" spans="1:15" x14ac:dyDescent="0.25">
      <c r="A44" s="71"/>
      <c r="B44" s="19"/>
      <c r="C44" s="19"/>
      <c r="D44" s="153"/>
      <c r="E44" s="54"/>
      <c r="F44" s="3369"/>
      <c r="G44" s="3369"/>
      <c r="H44" s="3369"/>
      <c r="I44" s="3369"/>
      <c r="J44" s="3369"/>
      <c r="K44" s="3369"/>
      <c r="L44" s="3369"/>
      <c r="M44" s="3369"/>
      <c r="N44" s="3369"/>
      <c r="O44" s="3369"/>
    </row>
    <row r="45" spans="1:15" x14ac:dyDescent="0.25">
      <c r="A45" s="71"/>
      <c r="B45" s="19"/>
      <c r="C45" s="19"/>
      <c r="D45" s="153"/>
      <c r="E45" s="54"/>
      <c r="F45" s="3369"/>
      <c r="G45" s="3369"/>
      <c r="H45" s="3369"/>
      <c r="I45" s="3369"/>
      <c r="J45" s="3369"/>
      <c r="K45" s="3369"/>
      <c r="L45" s="3369"/>
      <c r="M45" s="3369"/>
      <c r="N45" s="3369"/>
      <c r="O45" s="3369"/>
    </row>
    <row r="46" spans="1:15" x14ac:dyDescent="0.25">
      <c r="A46" s="71"/>
      <c r="B46" s="19"/>
      <c r="C46" s="19"/>
      <c r="D46" s="153"/>
      <c r="E46" s="54"/>
      <c r="F46" s="3369"/>
      <c r="G46" s="3369"/>
      <c r="H46" s="3369"/>
      <c r="I46" s="3369"/>
      <c r="J46" s="3369"/>
      <c r="K46" s="3369"/>
      <c r="L46" s="3369"/>
      <c r="M46" s="3369"/>
      <c r="N46" s="3369"/>
      <c r="O46" s="3369"/>
    </row>
    <row r="47" spans="1:15" x14ac:dyDescent="0.25">
      <c r="A47" s="71"/>
      <c r="B47" s="19"/>
      <c r="C47" s="19"/>
      <c r="D47" s="153"/>
      <c r="E47" s="54"/>
      <c r="F47" s="3369"/>
      <c r="G47" s="3369"/>
      <c r="H47" s="3369"/>
      <c r="I47" s="3369"/>
      <c r="J47" s="3369"/>
      <c r="K47" s="3369"/>
      <c r="L47" s="3369"/>
      <c r="M47" s="3369"/>
      <c r="N47" s="3369"/>
      <c r="O47" s="3369"/>
    </row>
    <row r="48" spans="1:15" x14ac:dyDescent="0.25">
      <c r="A48" s="71"/>
      <c r="B48" s="19"/>
      <c r="C48" s="19"/>
      <c r="D48" s="153"/>
      <c r="E48" s="54"/>
      <c r="F48" s="3369"/>
      <c r="G48" s="3369"/>
      <c r="H48" s="3369"/>
      <c r="I48" s="3369"/>
      <c r="J48" s="3369"/>
      <c r="K48" s="3369"/>
      <c r="L48" s="3369"/>
      <c r="M48" s="3369"/>
      <c r="N48" s="3369"/>
      <c r="O48" s="3369"/>
    </row>
    <row r="49" spans="1:15" x14ac:dyDescent="0.25">
      <c r="A49" s="71"/>
      <c r="B49" s="19"/>
      <c r="C49" s="19"/>
      <c r="D49" s="153"/>
      <c r="E49" s="54"/>
      <c r="F49" s="3369"/>
      <c r="G49" s="3369"/>
      <c r="H49" s="3369"/>
      <c r="I49" s="3369"/>
      <c r="J49" s="3369"/>
      <c r="K49" s="3369"/>
      <c r="L49" s="3369"/>
      <c r="M49" s="3369"/>
      <c r="N49" s="3369"/>
      <c r="O49" s="3369"/>
    </row>
    <row r="50" spans="1:15" x14ac:dyDescent="0.25">
      <c r="A50" s="71"/>
      <c r="B50" s="178" t="s">
        <v>40</v>
      </c>
      <c r="C50" s="178" t="s">
        <v>40</v>
      </c>
      <c r="D50" s="141"/>
      <c r="E50" s="142">
        <f>SUM(B52:B57)+SUM(C52:C57)</f>
        <v>0</v>
      </c>
      <c r="F50" s="3369"/>
      <c r="G50" s="3369"/>
      <c r="H50" s="3369"/>
      <c r="I50" s="3369"/>
      <c r="J50" s="3369"/>
      <c r="K50" s="3369"/>
      <c r="L50" s="3369"/>
      <c r="M50" s="3369"/>
      <c r="N50" s="3369"/>
      <c r="O50" s="3369"/>
    </row>
    <row r="51" spans="1:15" x14ac:dyDescent="0.25">
      <c r="A51" s="71"/>
      <c r="B51" s="184"/>
      <c r="C51" s="184"/>
      <c r="D51" s="3369"/>
      <c r="E51" s="75"/>
      <c r="F51" s="3369"/>
      <c r="G51" s="3369"/>
      <c r="H51" s="3369"/>
      <c r="I51" s="3369"/>
      <c r="J51" s="3369"/>
      <c r="K51" s="3369"/>
      <c r="L51" s="3369"/>
      <c r="M51" s="3369"/>
      <c r="N51" s="3369"/>
      <c r="O51" s="3369"/>
    </row>
    <row r="52" spans="1:15" x14ac:dyDescent="0.25">
      <c r="A52" s="71"/>
      <c r="B52" s="188"/>
      <c r="C52" s="188"/>
      <c r="D52" s="3369"/>
      <c r="E52" s="75"/>
      <c r="F52" s="3369"/>
      <c r="G52" s="3369"/>
      <c r="H52" s="3369"/>
      <c r="I52" s="3369"/>
      <c r="J52" s="3369"/>
      <c r="K52" s="3369"/>
      <c r="L52" s="3369"/>
      <c r="M52" s="3369"/>
      <c r="N52" s="3369"/>
      <c r="O52" s="3369"/>
    </row>
    <row r="53" spans="1:15" x14ac:dyDescent="0.25">
      <c r="A53" s="71"/>
      <c r="B53" s="188"/>
      <c r="C53" s="188"/>
      <c r="D53" s="3369"/>
      <c r="E53" s="75"/>
      <c r="F53" s="3369"/>
      <c r="G53" s="3369"/>
      <c r="H53" s="3369"/>
      <c r="I53" s="3369"/>
      <c r="J53" s="3369"/>
      <c r="K53" s="3369"/>
      <c r="L53" s="3369"/>
      <c r="M53" s="3369"/>
      <c r="N53" s="3369"/>
      <c r="O53" s="3369"/>
    </row>
    <row r="54" spans="1:15" x14ac:dyDescent="0.25">
      <c r="A54" s="71"/>
      <c r="B54" s="188"/>
      <c r="C54" s="188"/>
      <c r="D54" s="3369"/>
      <c r="E54" s="75"/>
      <c r="F54" s="3369"/>
      <c r="G54" s="3369"/>
      <c r="H54" s="3369"/>
      <c r="I54" s="3369"/>
      <c r="J54" s="3369"/>
      <c r="K54" s="3369"/>
      <c r="L54" s="3369"/>
      <c r="M54" s="3369"/>
      <c r="N54" s="3369"/>
      <c r="O54" s="3369"/>
    </row>
    <row r="55" spans="1:15" x14ac:dyDescent="0.25">
      <c r="A55" s="71"/>
      <c r="B55" s="188"/>
      <c r="C55" s="188"/>
      <c r="D55" s="3369"/>
      <c r="E55" s="75"/>
      <c r="F55" s="3369"/>
      <c r="G55" s="3369"/>
      <c r="H55" s="3369"/>
      <c r="I55" s="3369"/>
      <c r="J55" s="3369"/>
      <c r="K55" s="3369"/>
      <c r="L55" s="3369"/>
      <c r="M55" s="3369"/>
      <c r="N55" s="3369"/>
      <c r="O55" s="3369"/>
    </row>
    <row r="56" spans="1:15" x14ac:dyDescent="0.25">
      <c r="A56" s="71"/>
      <c r="B56" s="3369"/>
      <c r="C56" s="3369"/>
      <c r="D56" s="3369"/>
      <c r="E56" s="75"/>
      <c r="F56" s="3369"/>
      <c r="G56" s="3369"/>
      <c r="H56" s="3369"/>
      <c r="I56" s="3369"/>
      <c r="J56" s="3369"/>
      <c r="K56" s="3369"/>
      <c r="L56" s="3369"/>
      <c r="M56" s="3369"/>
      <c r="N56" s="3369"/>
      <c r="O56" s="3369"/>
    </row>
    <row r="57" spans="1:15" x14ac:dyDescent="0.25">
      <c r="A57" s="71"/>
      <c r="B57" s="3369"/>
      <c r="C57" s="3369"/>
      <c r="D57" s="3370"/>
      <c r="E57" s="54"/>
      <c r="F57" s="3369"/>
      <c r="G57" s="3369"/>
      <c r="H57" s="3369"/>
      <c r="I57" s="3369"/>
      <c r="J57" s="3369"/>
      <c r="K57" s="3369"/>
      <c r="L57" s="3369"/>
      <c r="M57" s="3369"/>
      <c r="N57" s="3369"/>
      <c r="O57" s="3369"/>
    </row>
    <row r="58" spans="1:15" x14ac:dyDescent="0.25">
      <c r="A58" s="71"/>
      <c r="B58" s="178" t="s">
        <v>13</v>
      </c>
      <c r="C58" s="178" t="s">
        <v>13</v>
      </c>
      <c r="D58" s="141"/>
      <c r="E58" s="142">
        <f>SUM(B60:B65)+SUM(C60:C65)</f>
        <v>0</v>
      </c>
      <c r="F58" s="3369"/>
      <c r="G58" s="3369"/>
      <c r="H58" s="3369"/>
      <c r="I58" s="3369"/>
      <c r="J58" s="3369"/>
      <c r="K58" s="3369"/>
      <c r="L58" s="3369"/>
      <c r="M58" s="3369"/>
      <c r="N58" s="3369"/>
      <c r="O58" s="3369"/>
    </row>
    <row r="59" spans="1:15" x14ac:dyDescent="0.25">
      <c r="A59" s="71"/>
      <c r="B59" s="179"/>
      <c r="C59" s="179"/>
      <c r="D59" s="3370"/>
      <c r="E59" s="54"/>
      <c r="F59" s="3369"/>
      <c r="G59" s="3369"/>
      <c r="H59" s="3369"/>
      <c r="I59" s="3369"/>
      <c r="J59" s="3369"/>
      <c r="K59" s="3369"/>
      <c r="L59" s="3369"/>
      <c r="M59" s="3369"/>
      <c r="N59" s="3369"/>
      <c r="O59" s="3369"/>
    </row>
    <row r="60" spans="1:15" x14ac:dyDescent="0.25">
      <c r="A60" s="71"/>
      <c r="B60" s="3369"/>
      <c r="C60" s="3369"/>
      <c r="D60" s="164" t="s">
        <v>72</v>
      </c>
      <c r="E60" s="54"/>
      <c r="F60" s="3369"/>
      <c r="G60" s="3369"/>
      <c r="H60" s="3369"/>
      <c r="I60" s="3369"/>
      <c r="J60" s="3369"/>
      <c r="K60" s="3369"/>
      <c r="L60" s="3369"/>
      <c r="M60" s="3369"/>
      <c r="N60" s="3369"/>
      <c r="O60" s="3369"/>
    </row>
    <row r="61" spans="1:15" x14ac:dyDescent="0.25">
      <c r="A61" s="71"/>
      <c r="B61" s="3369" t="s">
        <v>7</v>
      </c>
      <c r="C61" s="3369"/>
      <c r="D61" s="164" t="s">
        <v>42</v>
      </c>
      <c r="E61" s="54"/>
      <c r="F61" s="3369"/>
      <c r="G61" s="3369"/>
      <c r="H61" s="3369"/>
      <c r="I61" s="3369"/>
      <c r="J61" s="3369"/>
      <c r="K61" s="3369"/>
      <c r="L61" s="3369"/>
      <c r="M61" s="3369"/>
      <c r="N61" s="3369"/>
      <c r="O61" s="3369"/>
    </row>
    <row r="62" spans="1:15" x14ac:dyDescent="0.25">
      <c r="A62" s="71"/>
      <c r="B62" s="3369"/>
      <c r="C62" s="3369"/>
      <c r="D62" s="164" t="s">
        <v>43</v>
      </c>
      <c r="E62" s="54"/>
      <c r="F62" s="3369"/>
      <c r="G62" s="3369"/>
      <c r="H62" s="3369"/>
      <c r="I62" s="3369"/>
      <c r="J62" s="3369"/>
      <c r="K62" s="3369"/>
      <c r="L62" s="3369"/>
      <c r="M62" s="3369"/>
      <c r="N62" s="3369"/>
      <c r="O62" s="3369"/>
    </row>
    <row r="63" spans="1:15" x14ac:dyDescent="0.25">
      <c r="A63" s="71"/>
      <c r="B63" s="3369"/>
      <c r="C63" s="3369"/>
      <c r="D63" s="164" t="s">
        <v>62</v>
      </c>
      <c r="E63" s="54"/>
      <c r="F63" s="3369"/>
      <c r="G63" s="3369"/>
      <c r="H63" s="3369"/>
      <c r="I63" s="3369"/>
      <c r="J63" s="3369"/>
      <c r="K63" s="3369"/>
      <c r="L63" s="3369"/>
      <c r="M63" s="3369"/>
      <c r="N63" s="3369"/>
      <c r="O63" s="3369"/>
    </row>
    <row r="64" spans="1:15" x14ac:dyDescent="0.25">
      <c r="A64" s="71"/>
      <c r="B64" s="3372"/>
      <c r="C64" s="3372"/>
      <c r="D64" s="164" t="s">
        <v>45</v>
      </c>
      <c r="E64" s="54"/>
      <c r="F64" s="3369"/>
      <c r="G64" s="3369"/>
      <c r="H64" s="3369"/>
      <c r="I64" s="3369"/>
      <c r="J64" s="3369"/>
      <c r="K64" s="3369"/>
      <c r="L64" s="3369"/>
      <c r="M64" s="3369"/>
      <c r="N64" s="3369"/>
      <c r="O64" s="3369"/>
    </row>
    <row r="65" spans="1:15" x14ac:dyDescent="0.25">
      <c r="A65" s="71"/>
      <c r="B65" s="3372"/>
      <c r="C65" s="3372"/>
      <c r="D65" s="164"/>
      <c r="E65" s="54"/>
      <c r="F65" s="3369"/>
      <c r="G65" s="3369"/>
      <c r="H65" s="3369"/>
      <c r="I65" s="3369"/>
      <c r="J65" s="3369"/>
      <c r="K65" s="3369"/>
      <c r="L65" s="3369"/>
      <c r="M65" s="3369"/>
      <c r="N65" s="3369"/>
      <c r="O65" s="3369"/>
    </row>
    <row r="66" spans="1:15" x14ac:dyDescent="0.25">
      <c r="A66" s="71"/>
      <c r="B66" s="178" t="s">
        <v>14</v>
      </c>
      <c r="C66" s="178" t="s">
        <v>14</v>
      </c>
      <c r="D66" s="141"/>
      <c r="E66" s="142">
        <f>SUM(B68:B73)+SUM(C68:C73)</f>
        <v>10521280</v>
      </c>
      <c r="F66" s="3369"/>
      <c r="G66" s="3369"/>
      <c r="H66" s="3369"/>
      <c r="I66" s="3369"/>
      <c r="J66" s="3369"/>
      <c r="K66" s="3369"/>
      <c r="L66" s="3369"/>
      <c r="M66" s="3369"/>
      <c r="N66" s="3369"/>
      <c r="O66" s="3369"/>
    </row>
    <row r="67" spans="1:15" x14ac:dyDescent="0.25">
      <c r="A67" s="166"/>
      <c r="B67" s="179"/>
      <c r="C67" s="179"/>
      <c r="D67" s="3370"/>
      <c r="E67" s="54"/>
      <c r="F67" s="3369"/>
      <c r="G67" s="3369"/>
      <c r="H67" s="3369"/>
      <c r="I67" s="3369"/>
      <c r="J67" s="3369"/>
      <c r="K67" s="3369"/>
      <c r="L67" s="3369"/>
      <c r="M67" s="3369"/>
      <c r="N67" s="3369"/>
      <c r="O67" s="3369"/>
    </row>
    <row r="68" spans="1:15" ht="26.4" x14ac:dyDescent="0.25">
      <c r="A68" s="71"/>
      <c r="B68" s="86">
        <v>5260640</v>
      </c>
      <c r="C68" s="86">
        <v>5260640</v>
      </c>
      <c r="D68" s="164" t="s">
        <v>1198</v>
      </c>
      <c r="E68" s="54"/>
      <c r="F68" s="3369"/>
      <c r="G68" s="3369"/>
      <c r="H68" s="3369"/>
      <c r="I68" s="3369"/>
      <c r="J68" s="3369"/>
      <c r="K68" s="3369"/>
      <c r="L68" s="3369"/>
      <c r="M68" s="3369"/>
      <c r="N68" s="3369"/>
      <c r="O68" s="3369"/>
    </row>
    <row r="69" spans="1:15" ht="12" customHeight="1" x14ac:dyDescent="0.25">
      <c r="A69" s="71"/>
      <c r="B69" s="86"/>
      <c r="C69" s="86"/>
      <c r="D69" s="3836" t="s">
        <v>1295</v>
      </c>
      <c r="E69" s="2408"/>
      <c r="F69" s="3369"/>
      <c r="G69" s="3369"/>
      <c r="H69" s="3369"/>
      <c r="I69" s="3369"/>
      <c r="J69" s="3369"/>
      <c r="K69" s="3369"/>
      <c r="L69" s="3369"/>
      <c r="M69" s="3369"/>
      <c r="N69" s="3369"/>
      <c r="O69" s="3369"/>
    </row>
    <row r="70" spans="1:15" x14ac:dyDescent="0.25">
      <c r="A70" s="71"/>
      <c r="B70" s="86"/>
      <c r="C70" s="189"/>
      <c r="D70" s="3836" t="s">
        <v>1296</v>
      </c>
      <c r="E70" s="2408"/>
      <c r="F70" s="3369"/>
      <c r="G70" s="3369"/>
      <c r="H70" s="3369"/>
      <c r="I70" s="3369"/>
      <c r="J70" s="3369"/>
      <c r="K70" s="3369"/>
      <c r="L70" s="3369"/>
      <c r="M70" s="3369"/>
      <c r="N70" s="3369"/>
      <c r="O70" s="3369"/>
    </row>
    <row r="71" spans="1:15" x14ac:dyDescent="0.25">
      <c r="A71" s="71"/>
      <c r="B71" s="86"/>
      <c r="C71" s="86"/>
      <c r="D71" s="164" t="s">
        <v>1297</v>
      </c>
      <c r="E71" s="54"/>
      <c r="F71" s="3369"/>
      <c r="G71" s="3369"/>
      <c r="H71" s="3369"/>
      <c r="I71" s="3369"/>
      <c r="J71" s="3369"/>
      <c r="K71" s="3369"/>
      <c r="L71" s="3369"/>
      <c r="M71" s="3369"/>
      <c r="N71" s="3369"/>
      <c r="O71" s="3369"/>
    </row>
    <row r="72" spans="1:15" x14ac:dyDescent="0.25">
      <c r="A72" s="71"/>
      <c r="B72" s="86"/>
      <c r="C72" s="86"/>
      <c r="D72" s="4513" t="s">
        <v>1298</v>
      </c>
      <c r="E72" s="54"/>
      <c r="F72" s="3369"/>
      <c r="G72" s="3369"/>
      <c r="H72" s="3369"/>
      <c r="I72" s="3369"/>
      <c r="J72" s="3369"/>
      <c r="K72" s="3369"/>
      <c r="L72" s="3369"/>
      <c r="M72" s="3369"/>
      <c r="N72" s="3369"/>
      <c r="O72" s="3369"/>
    </row>
    <row r="73" spans="1:15" x14ac:dyDescent="0.25">
      <c r="A73" s="71"/>
      <c r="B73" s="86"/>
      <c r="C73" s="86"/>
      <c r="D73" s="3370"/>
      <c r="E73" s="54"/>
      <c r="F73" s="3369"/>
      <c r="G73" s="3369"/>
      <c r="H73" s="3369"/>
      <c r="I73" s="3369"/>
      <c r="J73" s="3369"/>
      <c r="K73" s="3369"/>
      <c r="L73" s="3369"/>
      <c r="M73" s="3369"/>
      <c r="N73" s="3369"/>
      <c r="O73" s="3369"/>
    </row>
    <row r="74" spans="1:15" x14ac:dyDescent="0.25">
      <c r="A74" s="71"/>
      <c r="B74" s="178" t="s">
        <v>15</v>
      </c>
      <c r="C74" s="178" t="s">
        <v>15</v>
      </c>
      <c r="D74" s="141"/>
      <c r="E74" s="142">
        <f>SUM(B76:B82)+SUM(C76:C82)</f>
        <v>0</v>
      </c>
      <c r="F74" s="3369"/>
      <c r="G74" s="3369"/>
      <c r="H74" s="3369"/>
      <c r="I74" s="3369"/>
      <c r="J74" s="3369"/>
      <c r="K74" s="3369"/>
      <c r="L74" s="3369"/>
      <c r="M74" s="3369"/>
      <c r="N74" s="3369"/>
      <c r="O74" s="3369"/>
    </row>
    <row r="75" spans="1:15" x14ac:dyDescent="0.25">
      <c r="A75" s="71"/>
      <c r="B75" s="184"/>
      <c r="C75" s="184"/>
      <c r="D75" s="3370"/>
      <c r="E75" s="54"/>
      <c r="F75" s="3369"/>
      <c r="G75" s="3369"/>
      <c r="H75" s="3369"/>
      <c r="I75" s="3369"/>
      <c r="J75" s="3369"/>
      <c r="K75" s="3369"/>
      <c r="L75" s="3369"/>
      <c r="M75" s="3369"/>
      <c r="N75" s="3369"/>
      <c r="O75" s="3369"/>
    </row>
    <row r="76" spans="1:15" x14ac:dyDescent="0.25">
      <c r="A76" s="112"/>
      <c r="B76" s="188"/>
      <c r="C76" s="188"/>
      <c r="D76" s="167"/>
      <c r="E76" s="54"/>
      <c r="F76" s="55"/>
      <c r="G76" s="55"/>
      <c r="H76" s="55"/>
      <c r="I76" s="55"/>
      <c r="J76" s="55"/>
      <c r="K76" s="55"/>
      <c r="L76" s="55"/>
      <c r="M76" s="55"/>
      <c r="N76" s="55"/>
      <c r="O76" s="55"/>
    </row>
    <row r="77" spans="1:15" x14ac:dyDescent="0.25">
      <c r="A77" s="112"/>
      <c r="B77" s="188"/>
      <c r="C77" s="188"/>
      <c r="D77" s="167"/>
      <c r="E77" s="54"/>
      <c r="F77" s="55"/>
      <c r="G77" s="55"/>
      <c r="H77" s="55"/>
      <c r="I77" s="55"/>
      <c r="J77" s="55"/>
      <c r="K77" s="55"/>
      <c r="L77" s="55"/>
      <c r="M77" s="55"/>
      <c r="N77" s="55"/>
      <c r="O77" s="55"/>
    </row>
    <row r="78" spans="1:15" x14ac:dyDescent="0.25">
      <c r="A78" s="112"/>
      <c r="B78" s="188"/>
      <c r="C78" s="188"/>
      <c r="D78" s="167"/>
      <c r="E78" s="54"/>
      <c r="F78" s="55"/>
      <c r="G78" s="55"/>
      <c r="H78" s="55"/>
      <c r="I78" s="55"/>
      <c r="J78" s="55"/>
      <c r="K78" s="55"/>
      <c r="L78" s="55"/>
      <c r="M78" s="55"/>
      <c r="N78" s="55"/>
      <c r="O78" s="55"/>
    </row>
    <row r="79" spans="1:15" x14ac:dyDescent="0.25">
      <c r="A79" s="112"/>
      <c r="B79" s="188"/>
      <c r="C79" s="188"/>
      <c r="D79" s="167"/>
      <c r="E79" s="54"/>
      <c r="F79" s="55"/>
      <c r="G79" s="55"/>
      <c r="H79" s="55"/>
      <c r="I79" s="55"/>
      <c r="J79" s="55"/>
      <c r="K79" s="55"/>
      <c r="L79" s="55"/>
      <c r="M79" s="55"/>
      <c r="N79" s="55"/>
      <c r="O79" s="55"/>
    </row>
    <row r="80" spans="1:15" x14ac:dyDescent="0.25">
      <c r="A80" s="112"/>
      <c r="B80" s="188"/>
      <c r="C80" s="188"/>
      <c r="D80" s="167"/>
      <c r="E80" s="54"/>
      <c r="F80" s="55"/>
      <c r="G80" s="55"/>
      <c r="H80" s="55"/>
      <c r="I80" s="55"/>
      <c r="J80" s="55"/>
      <c r="K80" s="55"/>
      <c r="L80" s="55"/>
      <c r="M80" s="55"/>
      <c r="N80" s="55"/>
      <c r="O80" s="55"/>
    </row>
    <row r="81" spans="1:15" x14ac:dyDescent="0.25">
      <c r="A81" s="71"/>
      <c r="B81" s="3369"/>
      <c r="C81" s="3369"/>
      <c r="D81" s="153"/>
      <c r="E81" s="54"/>
      <c r="F81" s="3369"/>
      <c r="G81" s="3369"/>
      <c r="H81" s="3369"/>
      <c r="I81" s="3369"/>
      <c r="J81" s="3369"/>
      <c r="K81" s="3369"/>
      <c r="L81" s="3369"/>
      <c r="M81" s="3369"/>
      <c r="N81" s="3369"/>
      <c r="O81" s="3369"/>
    </row>
    <row r="82" spans="1:15" x14ac:dyDescent="0.25">
      <c r="A82" s="71"/>
      <c r="B82" s="3369"/>
      <c r="C82" s="3369"/>
      <c r="D82" s="153"/>
      <c r="E82" s="54"/>
      <c r="F82" s="3369"/>
      <c r="G82" s="3369"/>
      <c r="H82" s="3369"/>
      <c r="I82" s="3369"/>
      <c r="J82" s="3369"/>
      <c r="K82" s="3369"/>
      <c r="L82" s="3369"/>
      <c r="M82" s="3369"/>
      <c r="N82" s="3369"/>
      <c r="O82" s="3369"/>
    </row>
    <row r="83" spans="1:15" x14ac:dyDescent="0.25">
      <c r="A83" s="71"/>
      <c r="B83" s="178" t="s">
        <v>16</v>
      </c>
      <c r="C83" s="178" t="s">
        <v>16</v>
      </c>
      <c r="D83" s="141"/>
      <c r="E83" s="142">
        <f>SUM(B85:B90)+SUM(C85:C90)</f>
        <v>0</v>
      </c>
      <c r="F83" s="3369"/>
      <c r="G83" s="3369"/>
      <c r="H83" s="3369"/>
      <c r="I83" s="3369"/>
      <c r="J83" s="3369"/>
      <c r="K83" s="3369"/>
      <c r="L83" s="3369"/>
      <c r="M83" s="3369"/>
      <c r="N83" s="3369"/>
      <c r="O83" s="3369"/>
    </row>
    <row r="84" spans="1:15" x14ac:dyDescent="0.25">
      <c r="A84" s="112"/>
      <c r="B84" s="184"/>
      <c r="C84" s="184"/>
      <c r="D84" s="167"/>
      <c r="E84" s="54"/>
      <c r="F84" s="55"/>
      <c r="G84" s="55"/>
      <c r="H84" s="55"/>
      <c r="I84" s="55"/>
      <c r="J84" s="55"/>
      <c r="K84" s="55"/>
      <c r="L84" s="55"/>
      <c r="M84" s="55"/>
      <c r="N84" s="55"/>
      <c r="O84" s="55"/>
    </row>
    <row r="85" spans="1:15" x14ac:dyDescent="0.25">
      <c r="A85" s="112"/>
      <c r="B85" s="195"/>
      <c r="C85" s="195"/>
      <c r="D85" s="169"/>
      <c r="E85" s="54"/>
      <c r="F85" s="55"/>
      <c r="G85" s="55"/>
      <c r="H85" s="55"/>
      <c r="I85" s="55"/>
      <c r="J85" s="55"/>
      <c r="K85" s="55"/>
      <c r="L85" s="55"/>
      <c r="M85" s="55"/>
      <c r="N85" s="55"/>
      <c r="O85" s="55"/>
    </row>
    <row r="86" spans="1:15" x14ac:dyDescent="0.25">
      <c r="A86" s="112"/>
      <c r="B86" s="196"/>
      <c r="C86" s="196"/>
      <c r="D86" s="55"/>
      <c r="E86" s="54"/>
      <c r="F86" s="55"/>
      <c r="G86" s="55"/>
      <c r="H86" s="55"/>
      <c r="I86" s="55"/>
      <c r="J86" s="55"/>
      <c r="K86" s="55"/>
      <c r="L86" s="55"/>
      <c r="M86" s="55"/>
      <c r="N86" s="55"/>
      <c r="O86" s="55"/>
    </row>
    <row r="87" spans="1:15" x14ac:dyDescent="0.25">
      <c r="A87" s="112"/>
      <c r="B87" s="195"/>
      <c r="C87" s="195"/>
      <c r="D87" s="169"/>
      <c r="E87" s="54"/>
      <c r="F87" s="55"/>
      <c r="G87" s="55"/>
      <c r="H87" s="55"/>
      <c r="I87" s="55"/>
      <c r="J87" s="55"/>
      <c r="K87" s="55"/>
      <c r="L87" s="55"/>
      <c r="M87" s="55"/>
      <c r="N87" s="55"/>
      <c r="O87" s="55"/>
    </row>
    <row r="88" spans="1:15" x14ac:dyDescent="0.25">
      <c r="A88" s="112"/>
      <c r="B88" s="195"/>
      <c r="C88" s="195"/>
      <c r="D88" s="167"/>
      <c r="E88" s="54"/>
      <c r="F88" s="55"/>
      <c r="G88" s="55"/>
      <c r="H88" s="55"/>
      <c r="I88" s="55"/>
      <c r="J88" s="55"/>
      <c r="K88" s="55"/>
      <c r="L88" s="55"/>
      <c r="M88" s="55"/>
      <c r="N88" s="55"/>
      <c r="O88" s="55"/>
    </row>
    <row r="89" spans="1:15" x14ac:dyDescent="0.25">
      <c r="A89" s="112"/>
      <c r="B89" s="195"/>
      <c r="C89" s="195"/>
      <c r="D89" s="167"/>
      <c r="E89" s="54"/>
      <c r="F89" s="55"/>
      <c r="G89" s="55"/>
      <c r="H89" s="55"/>
      <c r="I89" s="55"/>
      <c r="J89" s="55"/>
      <c r="K89" s="55"/>
      <c r="L89" s="55"/>
      <c r="M89" s="55"/>
      <c r="N89" s="55"/>
      <c r="O89" s="55"/>
    </row>
    <row r="90" spans="1:15" x14ac:dyDescent="0.25">
      <c r="A90" s="71"/>
      <c r="B90" s="183"/>
      <c r="C90" s="183"/>
      <c r="D90" s="3370"/>
      <c r="E90" s="54"/>
      <c r="F90" s="3369"/>
      <c r="G90" s="3369"/>
      <c r="H90" s="3369"/>
      <c r="I90" s="3369"/>
      <c r="J90" s="3369"/>
      <c r="K90" s="3369"/>
      <c r="L90" s="3369"/>
      <c r="M90" s="3369"/>
      <c r="N90" s="3369"/>
      <c r="O90" s="3369"/>
    </row>
    <row r="91" spans="1:15" ht="26.4" x14ac:dyDescent="0.25">
      <c r="A91" s="71"/>
      <c r="B91" s="178" t="s">
        <v>17</v>
      </c>
      <c r="C91" s="178" t="s">
        <v>17</v>
      </c>
      <c r="D91" s="141"/>
      <c r="E91" s="142">
        <f>SUM(B93:B96)+SUM(C93:C96)</f>
        <v>0</v>
      </c>
      <c r="F91" s="3369"/>
      <c r="G91" s="3369"/>
      <c r="H91" s="3369"/>
      <c r="I91" s="3369"/>
      <c r="J91" s="3369"/>
      <c r="K91" s="3369"/>
      <c r="L91" s="3369"/>
      <c r="M91" s="3369"/>
      <c r="N91" s="3369"/>
      <c r="O91" s="3369"/>
    </row>
    <row r="92" spans="1:15" x14ac:dyDescent="0.25">
      <c r="A92" s="112"/>
      <c r="B92" s="184"/>
      <c r="C92" s="184"/>
      <c r="D92" s="167"/>
      <c r="E92" s="54"/>
      <c r="F92" s="55"/>
      <c r="G92" s="55"/>
      <c r="H92" s="55"/>
      <c r="I92" s="55"/>
      <c r="J92" s="55"/>
      <c r="K92" s="55"/>
      <c r="L92" s="55"/>
      <c r="M92" s="55"/>
      <c r="N92" s="55"/>
      <c r="O92" s="55"/>
    </row>
    <row r="93" spans="1:15" x14ac:dyDescent="0.25">
      <c r="A93" s="112"/>
      <c r="B93" s="3837"/>
      <c r="C93" s="3837"/>
      <c r="D93" s="167"/>
      <c r="E93" s="84"/>
      <c r="F93" s="55"/>
      <c r="G93" s="55"/>
      <c r="H93" s="55"/>
      <c r="I93" s="55"/>
      <c r="J93" s="55"/>
      <c r="K93" s="55"/>
      <c r="L93" s="55"/>
      <c r="M93" s="55"/>
      <c r="N93" s="55"/>
      <c r="O93" s="55"/>
    </row>
    <row r="94" spans="1:15" x14ac:dyDescent="0.25">
      <c r="A94" s="71"/>
      <c r="B94" s="3838"/>
      <c r="C94" s="3838"/>
      <c r="D94" s="3370"/>
      <c r="E94" s="3"/>
      <c r="F94" s="3369"/>
      <c r="G94" s="3369"/>
      <c r="H94" s="3369"/>
      <c r="I94" s="3369"/>
      <c r="J94" s="3369"/>
      <c r="K94" s="3369"/>
      <c r="L94" s="3369"/>
      <c r="M94" s="3369"/>
      <c r="N94" s="3369"/>
      <c r="O94" s="3369"/>
    </row>
    <row r="95" spans="1:15" x14ac:dyDescent="0.25">
      <c r="A95" s="71"/>
      <c r="B95" s="3838"/>
      <c r="C95" s="3838"/>
      <c r="D95" s="3370"/>
      <c r="E95" s="3"/>
      <c r="F95" s="3369"/>
      <c r="G95" s="3369"/>
      <c r="H95" s="3369"/>
      <c r="I95" s="3369"/>
      <c r="J95" s="3369"/>
      <c r="K95" s="3369"/>
      <c r="L95" s="3369"/>
      <c r="M95" s="3369"/>
      <c r="N95" s="3369"/>
      <c r="O95" s="3369"/>
    </row>
    <row r="96" spans="1:15" x14ac:dyDescent="0.25">
      <c r="A96" s="71"/>
      <c r="B96" s="3838"/>
      <c r="C96" s="3838"/>
      <c r="D96" s="3370"/>
      <c r="E96" s="3"/>
      <c r="F96" s="3369"/>
      <c r="G96" s="3369"/>
      <c r="H96" s="3369"/>
      <c r="I96" s="3369"/>
      <c r="J96" s="3369"/>
      <c r="K96" s="3369"/>
      <c r="L96" s="3369"/>
      <c r="M96" s="3369"/>
      <c r="N96" s="3369"/>
      <c r="O96" s="3369"/>
    </row>
    <row r="97" spans="2:3" x14ac:dyDescent="0.25">
      <c r="B97" s="88" t="s">
        <v>55</v>
      </c>
      <c r="C97" s="3369"/>
    </row>
    <row r="98" spans="2:3" x14ac:dyDescent="0.25">
      <c r="B98" s="88" t="s">
        <v>56</v>
      </c>
      <c r="C98" s="3369"/>
    </row>
    <row r="99" spans="2:3" x14ac:dyDescent="0.25">
      <c r="B99" s="88" t="s">
        <v>57</v>
      </c>
      <c r="C99" s="3369"/>
    </row>
  </sheetData>
  <customSheetViews>
    <customSheetView guid="{074EB09C-6289-46D7-9513-012B68BCA7BF}" showPageBreaks="1">
      <pageMargins left="0.7" right="0.7" top="0.75" bottom="0.75" header="0.3" footer="0.3"/>
      <pageSetup orientation="portrait" r:id="rId1"/>
    </customSheetView>
  </customSheetViews>
  <mergeCells count="4">
    <mergeCell ref="B17:C17"/>
    <mergeCell ref="B18:C18"/>
    <mergeCell ref="H19:I19"/>
    <mergeCell ref="B14:E14"/>
  </mergeCells>
  <pageMargins left="0.22" right="0.21" top="0.75" bottom="0.75" header="0.3" footer="0.3"/>
  <pageSetup paperSize="17" scale="49" orientation="landscape"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3"/>
  <sheetViews>
    <sheetView workbookViewId="0">
      <pane xSplit="1" ySplit="1" topLeftCell="B38" activePane="bottomRight" state="frozen"/>
      <selection pane="topRight" activeCell="B1" sqref="B1"/>
      <selection pane="bottomLeft" activeCell="A2" sqref="A2"/>
      <selection pane="bottomRight" activeCell="E67" sqref="E67"/>
    </sheetView>
  </sheetViews>
  <sheetFormatPr defaultRowHeight="13.2" x14ac:dyDescent="0.25"/>
  <cols>
    <col min="1" max="1" width="15.5546875" style="3369" customWidth="1"/>
    <col min="2" max="2" width="56" bestFit="1" customWidth="1"/>
    <col min="3" max="3" width="13.109375" customWidth="1"/>
    <col min="4" max="4" width="13.44140625" customWidth="1"/>
    <col min="5" max="5" width="15.109375" customWidth="1"/>
    <col min="6" max="6" width="16.109375" customWidth="1"/>
    <col min="7" max="7" width="17.88671875" bestFit="1" customWidth="1"/>
    <col min="8" max="8" width="15.44140625" customWidth="1"/>
    <col min="9" max="9" width="17.109375" customWidth="1"/>
    <col min="10" max="10" width="15.44140625" customWidth="1"/>
    <col min="11" max="11" width="20.5546875" customWidth="1"/>
    <col min="12" max="12" width="15" customWidth="1"/>
    <col min="13" max="13" width="15.5546875" customWidth="1"/>
    <col min="14" max="14" width="19.5546875" customWidth="1"/>
  </cols>
  <sheetData>
    <row r="1" spans="2:14" ht="45.75" customHeight="1" x14ac:dyDescent="0.4">
      <c r="B1" s="2692" t="s">
        <v>1062</v>
      </c>
      <c r="C1" s="2693"/>
      <c r="D1" s="2693"/>
      <c r="E1" s="2720"/>
      <c r="F1" s="2694"/>
      <c r="G1" s="2694"/>
      <c r="H1" s="2678"/>
      <c r="I1" s="2678"/>
      <c r="J1" s="2678"/>
      <c r="K1" s="2678"/>
      <c r="L1" s="2678"/>
      <c r="M1" s="2678"/>
      <c r="N1" s="2678"/>
    </row>
    <row r="2" spans="2:14" ht="21" x14ac:dyDescent="0.4">
      <c r="B2" s="2692"/>
      <c r="C2" s="2693"/>
      <c r="D2" s="2693"/>
      <c r="E2" s="2720"/>
      <c r="F2" s="2694"/>
      <c r="G2" s="2694"/>
      <c r="H2" s="2678"/>
      <c r="I2" s="2678"/>
      <c r="J2" s="2678"/>
      <c r="K2" s="2678"/>
      <c r="L2" s="2678"/>
      <c r="M2" s="2678"/>
      <c r="N2" s="2678"/>
    </row>
    <row r="3" spans="2:14" ht="39.6" x14ac:dyDescent="0.25">
      <c r="B3" s="3880"/>
      <c r="C3" s="2756" t="s">
        <v>9</v>
      </c>
      <c r="D3" s="2685" t="s">
        <v>10</v>
      </c>
      <c r="E3" s="2685" t="s">
        <v>701</v>
      </c>
      <c r="F3" s="2686" t="s">
        <v>12</v>
      </c>
      <c r="G3" s="2686" t="s">
        <v>13</v>
      </c>
      <c r="H3" s="2686" t="s">
        <v>14</v>
      </c>
      <c r="I3" s="2686" t="s">
        <v>15</v>
      </c>
      <c r="J3" s="2686" t="s">
        <v>16</v>
      </c>
      <c r="K3" s="2686" t="s">
        <v>702</v>
      </c>
      <c r="L3" s="2686" t="s">
        <v>18</v>
      </c>
      <c r="M3" s="2759" t="s">
        <v>136</v>
      </c>
      <c r="N3" s="2687" t="s">
        <v>19</v>
      </c>
    </row>
    <row r="4" spans="2:14" ht="26.4" x14ac:dyDescent="0.25">
      <c r="B4" s="2762" t="s">
        <v>703</v>
      </c>
      <c r="C4" s="2763"/>
      <c r="D4" s="2763"/>
      <c r="E4" s="2763"/>
      <c r="F4" s="2763"/>
      <c r="G4" s="2763"/>
      <c r="H4" s="2763"/>
      <c r="I4" s="2763"/>
      <c r="J4" s="2763"/>
      <c r="K4" s="2764"/>
      <c r="L4" s="2766">
        <v>0</v>
      </c>
      <c r="M4" s="2765"/>
      <c r="N4" s="2780" t="s">
        <v>21</v>
      </c>
    </row>
    <row r="5" spans="2:14" x14ac:dyDescent="0.25">
      <c r="B5" s="2754" t="s">
        <v>704</v>
      </c>
      <c r="C5" s="2753"/>
      <c r="D5" s="2753">
        <v>0</v>
      </c>
      <c r="E5" s="2753">
        <v>0</v>
      </c>
      <c r="F5" s="2753">
        <v>0</v>
      </c>
      <c r="G5" s="2753">
        <v>0</v>
      </c>
      <c r="H5" s="2753">
        <v>0</v>
      </c>
      <c r="I5" s="2753">
        <v>0</v>
      </c>
      <c r="J5" s="2753">
        <v>0</v>
      </c>
      <c r="K5" s="2755">
        <v>0</v>
      </c>
      <c r="L5" s="2757">
        <v>0</v>
      </c>
      <c r="M5" s="2758">
        <v>0</v>
      </c>
      <c r="N5" s="2780" t="s">
        <v>21</v>
      </c>
    </row>
    <row r="6" spans="2:14" x14ac:dyDescent="0.25">
      <c r="B6" s="2681">
        <v>2012</v>
      </c>
      <c r="C6" s="2736">
        <f>C17</f>
        <v>191100</v>
      </c>
      <c r="D6" s="2737">
        <v>0</v>
      </c>
      <c r="E6" s="2737">
        <f>C38</f>
        <v>120400</v>
      </c>
      <c r="F6" s="2737">
        <v>0</v>
      </c>
      <c r="G6" s="2737">
        <v>0</v>
      </c>
      <c r="H6" s="2737">
        <v>0</v>
      </c>
      <c r="I6" s="2737">
        <v>0</v>
      </c>
      <c r="J6" s="2737">
        <v>0</v>
      </c>
      <c r="K6" s="2738">
        <v>0</v>
      </c>
      <c r="L6" s="2738">
        <f>SUM(C6:K6)</f>
        <v>311500</v>
      </c>
      <c r="M6" s="2760">
        <v>8078500</v>
      </c>
      <c r="N6" s="2780" t="s">
        <v>21</v>
      </c>
    </row>
    <row r="7" spans="2:14" ht="13.8" thickBot="1" x14ac:dyDescent="0.3">
      <c r="B7" s="2746">
        <v>2013</v>
      </c>
      <c r="C7" s="2736">
        <f>D17</f>
        <v>191100</v>
      </c>
      <c r="D7" s="2737">
        <v>0</v>
      </c>
      <c r="E7" s="2737">
        <f>D38</f>
        <v>120400</v>
      </c>
      <c r="F7" s="2737">
        <v>0</v>
      </c>
      <c r="G7" s="2737">
        <v>0</v>
      </c>
      <c r="H7" s="2775">
        <v>0</v>
      </c>
      <c r="I7" s="2734">
        <v>0</v>
      </c>
      <c r="J7" s="2734">
        <v>0</v>
      </c>
      <c r="K7" s="2751">
        <v>0</v>
      </c>
      <c r="L7" s="2738">
        <f>SUM(C7:K7)</f>
        <v>311500</v>
      </c>
      <c r="M7" s="2760">
        <v>8078500</v>
      </c>
      <c r="N7" s="2767">
        <v>0</v>
      </c>
    </row>
    <row r="8" spans="2:14" ht="13.8" thickBot="1" x14ac:dyDescent="0.3">
      <c r="B8" s="2715" t="s">
        <v>178</v>
      </c>
      <c r="C8" s="2747">
        <f>SUM(C6:C7)</f>
        <v>382200</v>
      </c>
      <c r="D8" s="2748">
        <v>0</v>
      </c>
      <c r="E8" s="2748">
        <f>SUM(E6:E7)</f>
        <v>240800</v>
      </c>
      <c r="F8" s="2748">
        <v>0</v>
      </c>
      <c r="G8" s="2748">
        <v>0</v>
      </c>
      <c r="H8" s="2748">
        <v>0</v>
      </c>
      <c r="I8" s="2748">
        <v>0</v>
      </c>
      <c r="J8" s="2748">
        <v>0</v>
      </c>
      <c r="K8" s="2752">
        <v>0</v>
      </c>
      <c r="L8" s="2748">
        <f>SUM(L4:L7)</f>
        <v>623000</v>
      </c>
      <c r="M8" s="2761">
        <v>16157000</v>
      </c>
      <c r="N8" s="2678"/>
    </row>
    <row r="9" spans="2:14" ht="17.399999999999999" x14ac:dyDescent="0.3">
      <c r="B9" s="2715"/>
      <c r="C9" s="2693"/>
      <c r="D9" s="2693"/>
      <c r="E9" s="2720"/>
      <c r="F9" s="2694"/>
      <c r="G9" s="2694"/>
      <c r="H9" s="2678"/>
      <c r="I9" s="2678"/>
      <c r="J9" s="2678"/>
      <c r="K9" s="2678"/>
      <c r="L9" s="2678"/>
      <c r="M9" s="2678"/>
      <c r="N9" s="2678"/>
    </row>
    <row r="10" spans="2:14" ht="17.399999999999999" x14ac:dyDescent="0.3">
      <c r="B10" s="2695" t="s">
        <v>705</v>
      </c>
      <c r="C10" s="2741">
        <v>2012</v>
      </c>
      <c r="D10" s="2742">
        <v>2013</v>
      </c>
      <c r="E10" s="2742" t="s">
        <v>29</v>
      </c>
      <c r="F10" s="2743"/>
      <c r="G10" s="2717"/>
      <c r="H10" s="2717"/>
      <c r="I10" s="2717"/>
      <c r="J10" s="2678"/>
      <c r="K10" s="2678"/>
      <c r="L10" s="2678"/>
      <c r="M10" s="2678"/>
      <c r="N10" s="2678"/>
    </row>
    <row r="11" spans="2:14" ht="17.399999999999999" x14ac:dyDescent="0.3">
      <c r="B11" s="2739"/>
      <c r="C11" s="2678"/>
      <c r="D11" s="2678"/>
      <c r="E11" s="2678"/>
      <c r="F11" s="2724"/>
      <c r="G11" s="2704"/>
      <c r="H11" s="2704"/>
      <c r="I11" s="3830" t="s">
        <v>706</v>
      </c>
      <c r="J11" s="3821"/>
      <c r="K11" s="3821"/>
      <c r="L11" s="2699"/>
      <c r="M11" s="2678"/>
      <c r="N11" s="2678"/>
    </row>
    <row r="12" spans="2:14" x14ac:dyDescent="0.25">
      <c r="B12" s="2689" t="s">
        <v>707</v>
      </c>
      <c r="C12" s="2723">
        <v>0</v>
      </c>
      <c r="D12" s="2771">
        <v>0</v>
      </c>
      <c r="E12" s="2772">
        <v>0</v>
      </c>
      <c r="F12" s="2704"/>
      <c r="G12" s="2704"/>
      <c r="H12" s="2704"/>
      <c r="I12" s="3822" t="s">
        <v>755</v>
      </c>
      <c r="J12" s="3823">
        <v>0</v>
      </c>
      <c r="K12" s="3821"/>
      <c r="L12" s="2678"/>
      <c r="M12" s="2678"/>
      <c r="N12" s="2678"/>
    </row>
    <row r="13" spans="2:14" ht="17.399999999999999" x14ac:dyDescent="0.3">
      <c r="B13" s="2696"/>
      <c r="C13" s="2724"/>
      <c r="D13" s="2680"/>
      <c r="E13" s="2725"/>
      <c r="F13" s="2704"/>
      <c r="G13" s="2704"/>
      <c r="H13" s="2704"/>
      <c r="I13" s="3822" t="s">
        <v>709</v>
      </c>
      <c r="J13" s="3824">
        <v>18200</v>
      </c>
      <c r="K13" s="3821"/>
      <c r="L13" s="2678"/>
      <c r="M13" s="2678"/>
      <c r="N13" s="2678"/>
    </row>
    <row r="14" spans="2:14" x14ac:dyDescent="0.25">
      <c r="B14" s="2689" t="s">
        <v>713</v>
      </c>
      <c r="C14" s="2726"/>
      <c r="D14" s="2680"/>
      <c r="E14" s="2725"/>
      <c r="F14" s="2700"/>
      <c r="G14" s="2700"/>
      <c r="H14" s="2700"/>
      <c r="I14" s="3822" t="s">
        <v>1197</v>
      </c>
      <c r="J14" s="3824">
        <v>364000</v>
      </c>
      <c r="K14" s="3818"/>
      <c r="L14" s="2678"/>
      <c r="M14" s="2678"/>
      <c r="N14" s="2678"/>
    </row>
    <row r="15" spans="2:14" x14ac:dyDescent="0.25">
      <c r="B15" s="2703" t="s">
        <v>715</v>
      </c>
      <c r="C15" s="2796">
        <v>9100</v>
      </c>
      <c r="D15" s="2768">
        <v>9100</v>
      </c>
      <c r="E15" s="2745">
        <f>SUM(C15:D15)</f>
        <v>18200</v>
      </c>
      <c r="F15" s="2716">
        <v>0.1</v>
      </c>
      <c r="G15" s="2705" t="s">
        <v>716</v>
      </c>
      <c r="H15" s="2701"/>
      <c r="I15" s="3822" t="s">
        <v>526</v>
      </c>
      <c r="J15" s="3820">
        <v>0</v>
      </c>
      <c r="K15" s="3818"/>
      <c r="L15" s="2678"/>
      <c r="M15" s="2678"/>
      <c r="N15" s="2678"/>
    </row>
    <row r="16" spans="2:14" x14ac:dyDescent="0.25">
      <c r="B16" s="3809" t="s">
        <v>1195</v>
      </c>
      <c r="C16" s="3813">
        <v>182000</v>
      </c>
      <c r="D16" s="3812">
        <v>182000</v>
      </c>
      <c r="E16" s="3811">
        <f>SUM(C16:D16)</f>
        <v>364000</v>
      </c>
      <c r="F16" s="2716"/>
      <c r="G16" s="2705"/>
      <c r="H16" s="2701"/>
      <c r="I16" s="3822" t="s">
        <v>714</v>
      </c>
      <c r="J16" s="3820">
        <v>0</v>
      </c>
      <c r="K16" s="3818"/>
      <c r="L16" s="2678"/>
      <c r="M16" s="2678"/>
      <c r="N16" s="2678"/>
    </row>
    <row r="17" spans="2:12" x14ac:dyDescent="0.25">
      <c r="B17" s="3814" t="s">
        <v>1196</v>
      </c>
      <c r="C17" s="3810">
        <f>SUM(C15:C16)</f>
        <v>191100</v>
      </c>
      <c r="D17" s="3810">
        <f t="shared" ref="D17:E17" si="0">SUM(D15:D16)</f>
        <v>191100</v>
      </c>
      <c r="E17" s="3810">
        <f t="shared" si="0"/>
        <v>382200</v>
      </c>
      <c r="F17" s="2716"/>
      <c r="G17" s="2705"/>
      <c r="H17" s="2701"/>
      <c r="I17" s="3822" t="s">
        <v>717</v>
      </c>
      <c r="J17" s="3820">
        <v>0</v>
      </c>
      <c r="K17" s="3818"/>
    </row>
    <row r="18" spans="2:12" x14ac:dyDescent="0.25">
      <c r="B18" s="2703"/>
      <c r="C18" s="2727"/>
      <c r="D18" s="2768"/>
      <c r="E18" s="2745"/>
      <c r="F18" s="2716"/>
      <c r="G18" s="2705"/>
      <c r="H18" s="2701"/>
      <c r="I18" s="3822" t="s">
        <v>719</v>
      </c>
      <c r="J18" s="3820">
        <v>0</v>
      </c>
      <c r="K18" s="3818"/>
    </row>
    <row r="19" spans="2:12" x14ac:dyDescent="0.25">
      <c r="B19" s="2703"/>
      <c r="C19" s="2727"/>
      <c r="D19" s="2768"/>
      <c r="E19" s="2745"/>
      <c r="F19" s="2716"/>
      <c r="G19" s="2705"/>
      <c r="H19" s="2700"/>
      <c r="I19" s="3822" t="s">
        <v>11</v>
      </c>
      <c r="J19" s="3820">
        <v>240800</v>
      </c>
      <c r="K19" s="3818"/>
    </row>
    <row r="20" spans="2:12" x14ac:dyDescent="0.25">
      <c r="B20" s="2703"/>
      <c r="C20" s="2728"/>
      <c r="D20" s="2680"/>
      <c r="E20" s="2725"/>
      <c r="F20" s="2701"/>
      <c r="G20" s="2701"/>
      <c r="H20" s="2702"/>
      <c r="I20" s="3822" t="s">
        <v>14</v>
      </c>
      <c r="J20" s="3829">
        <v>0</v>
      </c>
      <c r="K20" s="3818"/>
    </row>
    <row r="21" spans="2:12" x14ac:dyDescent="0.25">
      <c r="B21" s="2689" t="s">
        <v>526</v>
      </c>
      <c r="C21" s="2726"/>
      <c r="D21" s="2680"/>
      <c r="E21" s="2725"/>
      <c r="F21" s="2700"/>
      <c r="G21" s="2700"/>
      <c r="H21" s="2700"/>
      <c r="I21" s="3818"/>
      <c r="J21" s="3819">
        <v>623000</v>
      </c>
      <c r="K21" s="3818"/>
    </row>
    <row r="22" spans="2:12" x14ac:dyDescent="0.25">
      <c r="B22" s="2678" t="s">
        <v>721</v>
      </c>
      <c r="C22" s="2729">
        <v>0</v>
      </c>
      <c r="D22" s="2768">
        <v>0</v>
      </c>
      <c r="E22" s="2745">
        <v>0</v>
      </c>
      <c r="F22" s="2702"/>
      <c r="G22" s="2702"/>
      <c r="H22" s="2691"/>
      <c r="I22" s="3822"/>
      <c r="J22" s="3834"/>
      <c r="K22" s="3818"/>
    </row>
    <row r="23" spans="2:12" x14ac:dyDescent="0.25">
      <c r="B23" s="2703" t="s">
        <v>722</v>
      </c>
      <c r="C23" s="2730">
        <v>0</v>
      </c>
      <c r="D23" s="2768">
        <v>0</v>
      </c>
      <c r="E23" s="2745">
        <v>0</v>
      </c>
      <c r="F23" s="2678"/>
      <c r="G23" s="2700"/>
      <c r="H23" s="2691"/>
      <c r="I23" s="3827" t="s">
        <v>723</v>
      </c>
      <c r="J23" s="3832">
        <v>16157000</v>
      </c>
      <c r="K23" s="3825" t="s">
        <v>724</v>
      </c>
    </row>
    <row r="24" spans="2:12" x14ac:dyDescent="0.25">
      <c r="B24" s="2703" t="s">
        <v>725</v>
      </c>
      <c r="C24" s="2729">
        <v>0</v>
      </c>
      <c r="D24" s="2768">
        <v>0</v>
      </c>
      <c r="E24" s="2745">
        <v>0</v>
      </c>
      <c r="F24" s="2700"/>
      <c r="G24" s="2700"/>
      <c r="H24" s="2691"/>
      <c r="I24" s="3827" t="s">
        <v>726</v>
      </c>
      <c r="J24" s="3831">
        <v>0</v>
      </c>
      <c r="K24" s="3828" t="s">
        <v>727</v>
      </c>
    </row>
    <row r="25" spans="2:12" x14ac:dyDescent="0.25">
      <c r="B25" s="2703" t="s">
        <v>728</v>
      </c>
      <c r="C25" s="2729">
        <v>0</v>
      </c>
      <c r="D25" s="2768">
        <v>0</v>
      </c>
      <c r="E25" s="2745">
        <v>0</v>
      </c>
      <c r="F25" s="2700"/>
      <c r="G25" s="2700"/>
      <c r="H25" s="2691"/>
      <c r="I25" s="3827" t="s">
        <v>729</v>
      </c>
      <c r="J25" s="3831">
        <v>3.8559138453920901E-2</v>
      </c>
      <c r="K25" s="3828" t="s">
        <v>727</v>
      </c>
    </row>
    <row r="26" spans="2:12" x14ac:dyDescent="0.25">
      <c r="B26" s="2678"/>
      <c r="C26" s="2731">
        <v>0</v>
      </c>
      <c r="D26" s="2712">
        <v>0</v>
      </c>
      <c r="E26" s="2773">
        <v>0</v>
      </c>
      <c r="F26" s="2700"/>
      <c r="G26" s="2700"/>
      <c r="H26" s="2691"/>
      <c r="I26" s="3826" t="s">
        <v>730</v>
      </c>
      <c r="J26" s="3833">
        <v>0</v>
      </c>
      <c r="K26" s="3818"/>
    </row>
    <row r="27" spans="2:12" x14ac:dyDescent="0.25">
      <c r="B27" s="2680"/>
      <c r="C27" s="2732"/>
      <c r="D27" s="2680"/>
      <c r="E27" s="2725"/>
      <c r="F27" s="2700"/>
      <c r="G27" s="2700"/>
      <c r="H27" s="2691"/>
      <c r="I27" s="2714"/>
      <c r="J27" s="2718"/>
      <c r="K27" s="2678"/>
    </row>
    <row r="28" spans="2:12" x14ac:dyDescent="0.25">
      <c r="B28" s="2689" t="s">
        <v>714</v>
      </c>
      <c r="C28" s="2731">
        <v>0</v>
      </c>
      <c r="D28" s="2721">
        <v>0</v>
      </c>
      <c r="E28" s="2773">
        <v>0</v>
      </c>
      <c r="F28" s="2700"/>
      <c r="G28" s="2700"/>
      <c r="H28" s="2691"/>
      <c r="I28" s="2704"/>
      <c r="J28" s="2678"/>
      <c r="K28" s="2678"/>
    </row>
    <row r="29" spans="2:12" x14ac:dyDescent="0.25">
      <c r="B29" s="2680"/>
      <c r="C29" s="2732"/>
      <c r="D29" s="2680"/>
      <c r="E29" s="2725"/>
      <c r="F29" s="2700"/>
      <c r="G29" s="2700"/>
      <c r="H29" s="2691"/>
      <c r="I29" s="3889" t="s">
        <v>1216</v>
      </c>
      <c r="J29" s="3888"/>
      <c r="K29" s="3888"/>
      <c r="L29" s="3888"/>
    </row>
    <row r="30" spans="2:12" x14ac:dyDescent="0.25">
      <c r="B30" s="2684" t="s">
        <v>717</v>
      </c>
      <c r="C30" s="2732"/>
      <c r="D30" s="2680"/>
      <c r="E30" s="2725"/>
      <c r="F30" s="2691"/>
      <c r="G30" s="2691"/>
      <c r="H30" s="2691"/>
      <c r="I30" s="3894"/>
      <c r="J30" s="3895" t="s">
        <v>1217</v>
      </c>
      <c r="K30" s="3896">
        <v>1635600</v>
      </c>
      <c r="L30" s="3893"/>
    </row>
    <row r="31" spans="2:12" x14ac:dyDescent="0.25">
      <c r="B31" s="2678" t="s">
        <v>731</v>
      </c>
      <c r="C31" s="2732">
        <v>0</v>
      </c>
      <c r="D31" s="2768">
        <v>0</v>
      </c>
      <c r="E31" s="2745">
        <v>0</v>
      </c>
      <c r="F31" s="2691"/>
      <c r="G31" s="2691"/>
      <c r="H31" s="2691"/>
      <c r="I31" s="3892"/>
      <c r="J31" s="3890" t="s">
        <v>1218</v>
      </c>
      <c r="K31" s="3897">
        <v>2258600</v>
      </c>
      <c r="L31" s="3891"/>
    </row>
    <row r="32" spans="2:12" x14ac:dyDescent="0.25">
      <c r="B32" s="2678" t="s">
        <v>732</v>
      </c>
      <c r="C32" s="2732">
        <v>0</v>
      </c>
      <c r="D32" s="2768">
        <v>0</v>
      </c>
      <c r="E32" s="2745">
        <v>0</v>
      </c>
      <c r="F32" s="2691"/>
      <c r="G32" s="2691"/>
      <c r="H32" s="2691"/>
      <c r="I32" s="3898"/>
      <c r="J32" s="3899"/>
      <c r="K32" s="3900">
        <v>0.1397908027480349</v>
      </c>
      <c r="L32" s="3901" t="s">
        <v>727</v>
      </c>
    </row>
    <row r="33" spans="2:9" x14ac:dyDescent="0.25">
      <c r="B33" s="2680" t="s">
        <v>733</v>
      </c>
      <c r="C33" s="2732">
        <v>0</v>
      </c>
      <c r="D33" s="2768">
        <v>0</v>
      </c>
      <c r="E33" s="2745">
        <v>0</v>
      </c>
      <c r="F33" s="2691"/>
      <c r="G33" s="2691"/>
      <c r="H33" s="2691"/>
      <c r="I33" s="2704"/>
    </row>
    <row r="34" spans="2:9" x14ac:dyDescent="0.25">
      <c r="B34" s="2684" t="s">
        <v>734</v>
      </c>
      <c r="C34" s="2733">
        <v>0</v>
      </c>
      <c r="D34" s="2706">
        <v>0</v>
      </c>
      <c r="E34" s="2773">
        <v>0</v>
      </c>
      <c r="F34" s="2691"/>
      <c r="G34" s="2691"/>
      <c r="H34" s="2691"/>
      <c r="I34" s="2704"/>
    </row>
    <row r="35" spans="2:9" x14ac:dyDescent="0.25">
      <c r="B35" s="2680"/>
      <c r="C35" s="2732"/>
      <c r="D35" s="2680"/>
      <c r="E35" s="2725"/>
      <c r="F35" s="2691"/>
      <c r="G35" s="2691"/>
      <c r="H35" s="2691"/>
      <c r="I35" s="2704"/>
    </row>
    <row r="36" spans="2:9" x14ac:dyDescent="0.25">
      <c r="B36" s="2684" t="s">
        <v>719</v>
      </c>
      <c r="C36" s="2688">
        <v>0</v>
      </c>
      <c r="D36" s="2769">
        <v>0</v>
      </c>
      <c r="E36" s="2773">
        <v>0</v>
      </c>
      <c r="F36" s="2691"/>
      <c r="G36" s="2691"/>
      <c r="H36" s="2691"/>
      <c r="I36" s="2704"/>
    </row>
    <row r="37" spans="2:9" x14ac:dyDescent="0.25">
      <c r="B37" s="2680"/>
      <c r="C37" s="2732"/>
      <c r="D37" s="2680"/>
      <c r="E37" s="2725"/>
      <c r="F37" s="2691"/>
      <c r="G37" s="2690"/>
      <c r="H37" s="2691"/>
      <c r="I37" s="2697"/>
    </row>
    <row r="38" spans="2:9" x14ac:dyDescent="0.25">
      <c r="B38" s="2684" t="s">
        <v>11</v>
      </c>
      <c r="C38" s="3816">
        <v>120400</v>
      </c>
      <c r="D38" s="3815">
        <v>120400</v>
      </c>
      <c r="E38" s="3817">
        <f>SUM(C38:D38)</f>
        <v>240800</v>
      </c>
      <c r="F38" s="2691"/>
      <c r="G38" s="2690"/>
      <c r="H38" s="2691"/>
      <c r="I38" s="2697"/>
    </row>
    <row r="39" spans="2:9" x14ac:dyDescent="0.25">
      <c r="B39" s="2680"/>
      <c r="C39" s="2732"/>
      <c r="D39" s="2680"/>
      <c r="E39" s="2725"/>
      <c r="F39" s="2691"/>
      <c r="G39" s="2679"/>
      <c r="H39" s="2691"/>
      <c r="I39" s="2697"/>
    </row>
    <row r="40" spans="2:9" x14ac:dyDescent="0.25">
      <c r="B40" s="2681" t="s">
        <v>14</v>
      </c>
      <c r="C40" s="2732"/>
      <c r="D40" s="2680"/>
      <c r="E40" s="2725"/>
      <c r="F40" s="2691"/>
      <c r="G40" s="2679"/>
      <c r="H40" s="2691"/>
      <c r="I40" s="2697"/>
    </row>
    <row r="41" spans="2:9" x14ac:dyDescent="0.25">
      <c r="B41" s="2678"/>
      <c r="C41" s="2729">
        <v>0</v>
      </c>
      <c r="D41" s="2768">
        <v>0</v>
      </c>
      <c r="E41" s="2745">
        <v>0</v>
      </c>
      <c r="F41" s="2691"/>
      <c r="G41" s="2679"/>
      <c r="H41" s="2691"/>
      <c r="I41" s="2697"/>
    </row>
    <row r="42" spans="2:9" x14ac:dyDescent="0.25">
      <c r="B42" s="2711"/>
      <c r="C42" s="2729">
        <v>0</v>
      </c>
      <c r="D42" s="2768">
        <v>0</v>
      </c>
      <c r="E42" s="2745">
        <v>0</v>
      </c>
      <c r="F42" s="2691"/>
      <c r="G42" s="2679"/>
      <c r="H42" s="2691"/>
      <c r="I42" s="2697"/>
    </row>
    <row r="43" spans="2:9" x14ac:dyDescent="0.25">
      <c r="B43" s="2711"/>
      <c r="C43" s="2729"/>
      <c r="D43" s="2768">
        <v>0</v>
      </c>
      <c r="E43" s="2745">
        <v>0</v>
      </c>
      <c r="F43" s="2691"/>
      <c r="G43" s="2679"/>
      <c r="H43" s="2691"/>
      <c r="I43" s="2697"/>
    </row>
    <row r="44" spans="2:9" x14ac:dyDescent="0.25">
      <c r="B44" s="2711"/>
      <c r="C44" s="2729"/>
      <c r="D44" s="2768">
        <v>0</v>
      </c>
      <c r="E44" s="2745">
        <v>0</v>
      </c>
      <c r="F44" s="2691"/>
      <c r="G44" s="2679"/>
      <c r="H44" s="2691"/>
      <c r="I44" s="2697"/>
    </row>
    <row r="45" spans="2:9" x14ac:dyDescent="0.25">
      <c r="B45" s="2711"/>
      <c r="C45" s="2729"/>
      <c r="D45" s="2768">
        <v>0</v>
      </c>
      <c r="E45" s="2745">
        <v>0</v>
      </c>
      <c r="F45" s="2691"/>
      <c r="G45" s="2679"/>
      <c r="H45" s="2691"/>
      <c r="I45" s="2697"/>
    </row>
    <row r="46" spans="2:9" x14ac:dyDescent="0.25">
      <c r="B46" s="2711"/>
      <c r="C46" s="2729"/>
      <c r="D46" s="2768">
        <v>0</v>
      </c>
      <c r="E46" s="2745">
        <v>0</v>
      </c>
      <c r="F46" s="2691"/>
      <c r="G46" s="2679"/>
      <c r="H46" s="2691"/>
      <c r="I46" s="2697"/>
    </row>
    <row r="47" spans="2:9" x14ac:dyDescent="0.25">
      <c r="B47" s="2711"/>
      <c r="C47" s="2729"/>
      <c r="D47" s="2768">
        <v>0</v>
      </c>
      <c r="E47" s="2745">
        <v>0</v>
      </c>
      <c r="F47" s="2691"/>
      <c r="G47" s="2690"/>
      <c r="H47" s="2691"/>
      <c r="I47" s="2697"/>
    </row>
    <row r="48" spans="2:9" x14ac:dyDescent="0.25">
      <c r="B48" s="2711"/>
      <c r="C48" s="2729"/>
      <c r="D48" s="2768">
        <v>0</v>
      </c>
      <c r="E48" s="2745">
        <v>0</v>
      </c>
      <c r="F48" s="2691"/>
      <c r="G48" s="2690"/>
      <c r="H48" s="2691"/>
      <c r="I48" s="2697"/>
    </row>
    <row r="49" spans="2:10" x14ac:dyDescent="0.25">
      <c r="B49" s="2709"/>
      <c r="C49" s="2731"/>
      <c r="D49" s="2731">
        <v>0</v>
      </c>
      <c r="E49" s="2773">
        <v>0</v>
      </c>
      <c r="F49" s="2691"/>
      <c r="G49" s="2690"/>
      <c r="H49" s="2691"/>
      <c r="I49" s="2697"/>
      <c r="J49" s="2678"/>
    </row>
    <row r="50" spans="2:10" ht="13.8" thickBot="1" x14ac:dyDescent="0.3">
      <c r="B50" s="2698"/>
      <c r="C50" s="2729"/>
      <c r="D50" s="2680"/>
      <c r="E50" s="2725"/>
      <c r="F50" s="2691"/>
      <c r="G50" s="2690"/>
      <c r="H50" s="2707"/>
      <c r="I50" s="2708"/>
      <c r="J50" s="2682"/>
    </row>
    <row r="51" spans="2:10" ht="13.8" thickBot="1" x14ac:dyDescent="0.3">
      <c r="B51" s="2709" t="s">
        <v>744</v>
      </c>
      <c r="C51" s="2735">
        <f>C12+C17+C26+C28+C34+C36+C38+C49</f>
        <v>311500</v>
      </c>
      <c r="D51" s="2735">
        <f t="shared" ref="D51:E51" si="1">D12+D17+D26+D28+D34+D36+D38+D49</f>
        <v>311500</v>
      </c>
      <c r="E51" s="2735">
        <f t="shared" si="1"/>
        <v>623000</v>
      </c>
      <c r="F51" s="2691"/>
      <c r="G51" s="2690"/>
      <c r="H51" s="2710"/>
      <c r="I51" s="2710"/>
      <c r="J51" s="2682"/>
    </row>
    <row r="52" spans="2:10" x14ac:dyDescent="0.25">
      <c r="B52" s="2682"/>
      <c r="C52" s="2776"/>
      <c r="D52" s="2683"/>
      <c r="E52" s="2683"/>
      <c r="F52" s="2691"/>
      <c r="G52" s="2690"/>
      <c r="H52" s="2710"/>
      <c r="I52" s="2710"/>
      <c r="J52" s="2682"/>
    </row>
    <row r="53" spans="2:10" x14ac:dyDescent="0.25">
      <c r="B53" s="2684" t="s">
        <v>745</v>
      </c>
      <c r="C53" s="2750">
        <v>2012</v>
      </c>
      <c r="D53" s="2750">
        <v>2013</v>
      </c>
      <c r="E53" s="2750" t="s">
        <v>29</v>
      </c>
      <c r="F53" s="2691"/>
      <c r="G53" s="2690"/>
      <c r="H53" s="2710"/>
      <c r="I53" s="2710"/>
      <c r="J53" s="2682"/>
    </row>
    <row r="54" spans="2:10" x14ac:dyDescent="0.25">
      <c r="B54" s="2781" t="s">
        <v>1063</v>
      </c>
      <c r="C54" s="2678"/>
      <c r="D54" s="2678"/>
      <c r="E54" s="2678"/>
      <c r="F54" s="2678"/>
      <c r="G54" s="2691"/>
      <c r="H54" s="2710"/>
      <c r="I54" s="2710"/>
      <c r="J54" s="2682"/>
    </row>
    <row r="55" spans="2:10" x14ac:dyDescent="0.25">
      <c r="B55" s="2782" t="s">
        <v>1064</v>
      </c>
      <c r="C55" s="2777">
        <v>28000</v>
      </c>
      <c r="D55" s="2774">
        <v>28000</v>
      </c>
      <c r="E55" s="2774">
        <f>C55+D55</f>
        <v>56000</v>
      </c>
      <c r="F55" s="2707" t="s">
        <v>746</v>
      </c>
      <c r="G55" s="2691"/>
      <c r="H55" s="2710"/>
      <c r="I55" s="2710"/>
      <c r="J55" s="2682"/>
    </row>
    <row r="56" spans="2:10" x14ac:dyDescent="0.25">
      <c r="B56" s="2782" t="s">
        <v>1065</v>
      </c>
      <c r="C56" s="2777">
        <v>1500</v>
      </c>
      <c r="D56" s="2774">
        <v>1500</v>
      </c>
      <c r="E56" s="2774">
        <f t="shared" ref="E56:E65" si="2">C56+D56</f>
        <v>3000</v>
      </c>
      <c r="F56" s="2707" t="s">
        <v>746</v>
      </c>
      <c r="G56" s="2691"/>
      <c r="H56" s="2710"/>
      <c r="I56" s="2710"/>
      <c r="J56" s="2682"/>
    </row>
    <row r="57" spans="2:10" x14ac:dyDescent="0.25">
      <c r="B57" s="2782" t="s">
        <v>1066</v>
      </c>
      <c r="C57" s="2777">
        <v>14000</v>
      </c>
      <c r="D57" s="2774">
        <v>14000</v>
      </c>
      <c r="E57" s="2774">
        <f t="shared" si="2"/>
        <v>28000</v>
      </c>
      <c r="F57" s="2707" t="s">
        <v>746</v>
      </c>
      <c r="G57" s="2691"/>
      <c r="H57" s="2710"/>
      <c r="I57" s="2710"/>
      <c r="J57" s="2682"/>
    </row>
    <row r="58" spans="2:10" x14ac:dyDescent="0.25">
      <c r="B58" s="2782" t="s">
        <v>1067</v>
      </c>
      <c r="C58" s="2777">
        <v>12000</v>
      </c>
      <c r="D58" s="2774">
        <v>12000</v>
      </c>
      <c r="E58" s="2774">
        <f t="shared" si="2"/>
        <v>24000</v>
      </c>
      <c r="F58" s="2707" t="s">
        <v>746</v>
      </c>
      <c r="G58" s="2707"/>
      <c r="H58" s="2710"/>
      <c r="I58" s="2710"/>
      <c r="J58" s="2682"/>
    </row>
    <row r="59" spans="2:10" x14ac:dyDescent="0.25">
      <c r="B59" s="2782" t="s">
        <v>1068</v>
      </c>
      <c r="C59" s="2777">
        <v>500</v>
      </c>
      <c r="D59" s="2774">
        <v>500</v>
      </c>
      <c r="E59" s="2774">
        <f t="shared" si="2"/>
        <v>1000</v>
      </c>
      <c r="F59" s="2707" t="s">
        <v>746</v>
      </c>
      <c r="G59" s="2707"/>
      <c r="H59" s="2710"/>
      <c r="I59" s="2710"/>
      <c r="J59" s="2682"/>
    </row>
    <row r="60" spans="2:10" x14ac:dyDescent="0.25">
      <c r="B60" s="2782" t="s">
        <v>1069</v>
      </c>
      <c r="C60" s="2777">
        <v>0</v>
      </c>
      <c r="D60" s="2774">
        <v>0</v>
      </c>
      <c r="E60" s="2774">
        <f t="shared" si="2"/>
        <v>0</v>
      </c>
      <c r="F60" s="2707" t="s">
        <v>746</v>
      </c>
      <c r="G60" s="2707"/>
      <c r="H60" s="2710"/>
      <c r="I60" s="2710"/>
      <c r="J60" s="2682"/>
    </row>
    <row r="61" spans="2:10" x14ac:dyDescent="0.25">
      <c r="B61" s="2782" t="s">
        <v>1070</v>
      </c>
      <c r="C61" s="2777">
        <v>17500</v>
      </c>
      <c r="D61" s="2774">
        <v>17500</v>
      </c>
      <c r="E61" s="2774">
        <f t="shared" si="2"/>
        <v>35000</v>
      </c>
      <c r="F61" s="2707" t="s">
        <v>746</v>
      </c>
      <c r="G61" s="2707"/>
      <c r="H61" s="2710"/>
      <c r="I61" s="2710"/>
      <c r="J61" s="2682"/>
    </row>
    <row r="62" spans="2:10" x14ac:dyDescent="0.25">
      <c r="B62" s="2782" t="s">
        <v>1071</v>
      </c>
      <c r="C62" s="2777">
        <v>19000</v>
      </c>
      <c r="D62" s="2774">
        <v>19000</v>
      </c>
      <c r="E62" s="2774">
        <f t="shared" si="2"/>
        <v>38000</v>
      </c>
      <c r="F62" s="2707" t="s">
        <v>746</v>
      </c>
      <c r="G62" s="2707"/>
      <c r="H62" s="2707"/>
      <c r="I62" s="2710"/>
      <c r="J62" s="2682"/>
    </row>
    <row r="63" spans="2:10" x14ac:dyDescent="0.25">
      <c r="B63" s="2781" t="s">
        <v>1072</v>
      </c>
      <c r="C63" s="2777"/>
      <c r="D63" s="2774"/>
      <c r="E63" s="2774">
        <f t="shared" si="2"/>
        <v>0</v>
      </c>
      <c r="F63" s="2707" t="s">
        <v>746</v>
      </c>
      <c r="G63" s="2707"/>
      <c r="H63" s="2707"/>
      <c r="I63" s="2708"/>
      <c r="J63" s="2682"/>
    </row>
    <row r="64" spans="2:10" x14ac:dyDescent="0.25">
      <c r="B64" s="2782" t="s">
        <v>1073</v>
      </c>
      <c r="C64" s="2794">
        <v>850000</v>
      </c>
      <c r="D64" s="2774">
        <v>850000</v>
      </c>
      <c r="E64" s="2774">
        <f t="shared" si="2"/>
        <v>1700000</v>
      </c>
      <c r="F64" s="2778" t="s">
        <v>746</v>
      </c>
      <c r="G64" s="2710"/>
      <c r="H64" s="2707"/>
      <c r="I64" s="2708"/>
      <c r="J64" s="2682"/>
    </row>
    <row r="65" spans="2:10" x14ac:dyDescent="0.25">
      <c r="B65" s="2782" t="s">
        <v>1074</v>
      </c>
      <c r="C65" s="2794">
        <v>7136000</v>
      </c>
      <c r="D65" s="2774">
        <v>7136000</v>
      </c>
      <c r="E65" s="2774">
        <f t="shared" si="2"/>
        <v>14272000</v>
      </c>
      <c r="F65" s="2778" t="s">
        <v>746</v>
      </c>
      <c r="G65" s="2710"/>
      <c r="H65" s="2707"/>
      <c r="I65" s="2708"/>
      <c r="J65" s="2682"/>
    </row>
    <row r="66" spans="2:10" x14ac:dyDescent="0.25">
      <c r="B66" s="2779" t="s">
        <v>136</v>
      </c>
      <c r="C66" s="2795">
        <f>SUM(C55:C65)</f>
        <v>8078500</v>
      </c>
      <c r="D66" s="2795">
        <f t="shared" ref="D66" si="3">SUM(D55:D65)</f>
        <v>8078500</v>
      </c>
      <c r="E66" s="2795">
        <f>SUM(E55:E65)</f>
        <v>16157000</v>
      </c>
      <c r="F66" s="2710" t="s">
        <v>746</v>
      </c>
      <c r="G66" s="2710"/>
      <c r="H66" s="2707"/>
      <c r="I66" s="2708"/>
      <c r="J66" s="2682"/>
    </row>
    <row r="67" spans="2:10" x14ac:dyDescent="0.25">
      <c r="B67" s="2678"/>
      <c r="C67" s="2707"/>
      <c r="D67" s="2678"/>
      <c r="E67" s="2678"/>
      <c r="F67" s="2710"/>
      <c r="G67" s="2710"/>
      <c r="H67" s="2707"/>
      <c r="I67" s="2708"/>
      <c r="J67" s="2682"/>
    </row>
    <row r="68" spans="2:10" x14ac:dyDescent="0.25">
      <c r="B68" s="2719" t="s">
        <v>751</v>
      </c>
      <c r="C68" s="2770">
        <v>0.5</v>
      </c>
      <c r="D68" s="2770">
        <v>0.5</v>
      </c>
      <c r="E68" s="2678"/>
      <c r="F68" s="2710"/>
      <c r="G68" s="2710"/>
    </row>
    <row r="69" spans="2:10" x14ac:dyDescent="0.25">
      <c r="B69" s="2678"/>
      <c r="C69" s="2710"/>
      <c r="D69" s="2678"/>
      <c r="E69" s="2678"/>
      <c r="F69" s="2707"/>
      <c r="G69" s="2710"/>
    </row>
    <row r="71" spans="2:10" x14ac:dyDescent="0.25">
      <c r="H71" s="2678"/>
      <c r="I71" s="2678"/>
      <c r="J71" s="2678"/>
    </row>
    <row r="73" spans="2:10" ht="21" x14ac:dyDescent="0.4">
      <c r="B73" s="2692" t="s">
        <v>752</v>
      </c>
      <c r="C73" s="2678"/>
      <c r="D73" s="2678"/>
      <c r="E73" s="2678"/>
      <c r="F73" s="2678"/>
      <c r="G73" s="2678"/>
    </row>
    <row r="85" spans="2:5" x14ac:dyDescent="0.25">
      <c r="B85" s="4784"/>
      <c r="C85" s="4784"/>
      <c r="D85" s="4784"/>
      <c r="E85" s="4784"/>
    </row>
    <row r="93" spans="2:5" x14ac:dyDescent="0.25">
      <c r="B93" s="4784"/>
      <c r="C93" s="4784"/>
      <c r="D93" s="4784"/>
      <c r="E93" s="4784"/>
    </row>
    <row r="94" spans="2:5" x14ac:dyDescent="0.25">
      <c r="B94" s="4784"/>
      <c r="C94" s="4784"/>
      <c r="D94" s="4784"/>
      <c r="E94" s="2678"/>
    </row>
    <row r="95" spans="2:5" x14ac:dyDescent="0.25">
      <c r="B95" s="4784"/>
      <c r="C95" s="4784"/>
      <c r="D95" s="4784"/>
      <c r="E95" s="2678"/>
    </row>
    <row r="96" spans="2:5" x14ac:dyDescent="0.25">
      <c r="B96" s="4784"/>
      <c r="C96" s="4784"/>
      <c r="D96" s="4784"/>
      <c r="E96" s="2678"/>
    </row>
    <row r="97" spans="2:10" x14ac:dyDescent="0.25">
      <c r="B97" s="4784"/>
      <c r="C97" s="4784"/>
      <c r="D97" s="4784"/>
      <c r="E97" s="2678"/>
      <c r="H97" s="2678"/>
      <c r="I97" s="2678"/>
      <c r="J97" s="2678"/>
    </row>
    <row r="98" spans="2:10" x14ac:dyDescent="0.25">
      <c r="B98" s="4784"/>
      <c r="C98" s="4784"/>
      <c r="D98" s="4784"/>
      <c r="E98" s="2678"/>
    </row>
    <row r="99" spans="2:10" x14ac:dyDescent="0.25">
      <c r="B99" s="4784"/>
      <c r="C99" s="4784"/>
      <c r="D99" s="4784"/>
      <c r="E99" s="2678"/>
      <c r="F99" s="2678"/>
      <c r="G99" s="2678"/>
    </row>
    <row r="104" spans="2:10" x14ac:dyDescent="0.25">
      <c r="H104" s="2699"/>
      <c r="I104" s="2699"/>
      <c r="J104" s="2699"/>
    </row>
    <row r="105" spans="2:10" x14ac:dyDescent="0.25">
      <c r="H105" s="2699"/>
      <c r="I105" s="2699"/>
      <c r="J105" s="2699"/>
    </row>
    <row r="106" spans="2:10" x14ac:dyDescent="0.25">
      <c r="B106" s="2682"/>
      <c r="C106" s="2699"/>
      <c r="D106" s="2699"/>
      <c r="E106" s="2699"/>
      <c r="F106" s="2699"/>
      <c r="G106" s="2699"/>
      <c r="H106" s="2699"/>
      <c r="I106" s="2699"/>
      <c r="J106" s="2699"/>
    </row>
    <row r="107" spans="2:10" x14ac:dyDescent="0.25">
      <c r="B107" s="2682"/>
      <c r="C107" s="2699"/>
      <c r="D107" s="2699"/>
      <c r="E107" s="2699"/>
      <c r="F107" s="2699"/>
      <c r="G107" s="2699"/>
      <c r="H107" s="2699"/>
      <c r="I107" s="2699"/>
      <c r="J107" s="2699"/>
    </row>
    <row r="108" spans="2:10" x14ac:dyDescent="0.25">
      <c r="B108" s="2682"/>
      <c r="C108" s="2699"/>
      <c r="D108" s="2699"/>
      <c r="E108" s="2699"/>
      <c r="F108" s="2699"/>
      <c r="G108" s="2699"/>
      <c r="H108" s="2699"/>
      <c r="I108" s="2699"/>
      <c r="J108" s="2699"/>
    </row>
    <row r="109" spans="2:10" x14ac:dyDescent="0.25">
      <c r="B109" s="2682"/>
      <c r="C109" s="2699"/>
      <c r="D109" s="2699"/>
      <c r="E109" s="2699"/>
      <c r="F109" s="2699"/>
      <c r="G109" s="2699"/>
      <c r="H109" s="2699"/>
      <c r="I109" s="2699"/>
      <c r="J109" s="2699"/>
    </row>
    <row r="110" spans="2:10" x14ac:dyDescent="0.25">
      <c r="B110" s="2682"/>
      <c r="C110" s="2699"/>
      <c r="D110" s="2699"/>
      <c r="E110" s="2699"/>
      <c r="F110" s="2699"/>
      <c r="G110" s="2699"/>
      <c r="H110" s="2699"/>
      <c r="I110" s="2699"/>
      <c r="J110" s="2699"/>
    </row>
    <row r="111" spans="2:10" x14ac:dyDescent="0.25">
      <c r="B111" s="2682"/>
      <c r="C111" s="2699"/>
      <c r="D111" s="2699"/>
      <c r="E111" s="2699"/>
      <c r="F111" s="2699"/>
      <c r="G111" s="2699"/>
      <c r="H111" s="2699"/>
      <c r="I111" s="2699"/>
      <c r="J111" s="2699"/>
    </row>
    <row r="112" spans="2:10" x14ac:dyDescent="0.25">
      <c r="B112" s="2682"/>
      <c r="C112" s="2699"/>
      <c r="D112" s="2699"/>
      <c r="E112" s="2699"/>
      <c r="F112" s="2699"/>
      <c r="G112" s="2699"/>
      <c r="H112" s="2699"/>
      <c r="I112" s="2699"/>
      <c r="J112" s="2699"/>
    </row>
    <row r="113" spans="2:10" x14ac:dyDescent="0.25">
      <c r="B113" s="2682"/>
      <c r="C113" s="2699"/>
      <c r="D113" s="2699"/>
      <c r="E113" s="2699"/>
      <c r="F113" s="2699"/>
      <c r="G113" s="2699"/>
      <c r="H113" s="2699"/>
      <c r="I113" s="2699"/>
      <c r="J113" s="2699"/>
    </row>
    <row r="114" spans="2:10" x14ac:dyDescent="0.25">
      <c r="B114" s="2682"/>
      <c r="C114" s="2699"/>
      <c r="D114" s="2699"/>
      <c r="E114" s="2699"/>
      <c r="F114" s="2699"/>
      <c r="G114" s="2699"/>
      <c r="H114" s="3804"/>
      <c r="I114" s="3805"/>
      <c r="J114" s="2699"/>
    </row>
    <row r="115" spans="2:10" x14ac:dyDescent="0.25">
      <c r="B115" s="2682"/>
      <c r="C115" s="2699"/>
      <c r="D115" s="2699"/>
      <c r="E115" s="2699"/>
      <c r="F115" s="2699"/>
      <c r="G115" s="2699"/>
      <c r="H115" s="3807"/>
      <c r="I115" s="3808"/>
      <c r="J115" s="2699"/>
    </row>
    <row r="116" spans="2:10" x14ac:dyDescent="0.25">
      <c r="B116" s="2783"/>
      <c r="C116" s="2784"/>
      <c r="D116" s="2785"/>
      <c r="E116" s="2784"/>
      <c r="F116" s="2785"/>
      <c r="G116" s="3803"/>
      <c r="H116" s="3801"/>
      <c r="I116" s="3802"/>
      <c r="J116" s="2699"/>
    </row>
    <row r="117" spans="2:10" x14ac:dyDescent="0.25">
      <c r="B117" s="2786"/>
      <c r="C117" s="2787"/>
      <c r="D117" s="2787"/>
      <c r="E117" s="2787"/>
      <c r="F117" s="2787"/>
      <c r="G117" s="3806"/>
      <c r="H117" s="3801"/>
      <c r="I117" s="3802"/>
      <c r="J117" s="2699"/>
    </row>
    <row r="118" spans="2:10" x14ac:dyDescent="0.25">
      <c r="B118" s="2788"/>
      <c r="C118" s="2789"/>
      <c r="D118" s="2790"/>
      <c r="E118" s="2789"/>
      <c r="F118" s="2790"/>
      <c r="G118" s="3800"/>
      <c r="H118" s="3801"/>
      <c r="I118" s="3802"/>
      <c r="J118" s="2699"/>
    </row>
    <row r="119" spans="2:10" x14ac:dyDescent="0.25">
      <c r="B119" s="2788"/>
      <c r="C119" s="2789"/>
      <c r="D119" s="2790"/>
      <c r="E119" s="2789"/>
      <c r="F119" s="2790"/>
      <c r="G119" s="3800"/>
      <c r="H119" s="3801"/>
      <c r="I119" s="3802"/>
      <c r="J119" s="2699"/>
    </row>
    <row r="120" spans="2:10" x14ac:dyDescent="0.25">
      <c r="B120" s="2791"/>
      <c r="C120" s="2792"/>
      <c r="D120" s="2793"/>
      <c r="E120" s="2792"/>
      <c r="F120" s="2793"/>
      <c r="G120" s="3800"/>
      <c r="H120" s="2699"/>
      <c r="I120" s="2699"/>
      <c r="J120" s="2699"/>
    </row>
    <row r="121" spans="2:10" x14ac:dyDescent="0.25">
      <c r="B121" s="2788"/>
      <c r="C121" s="2789"/>
      <c r="D121" s="2790"/>
      <c r="E121" s="2789"/>
      <c r="F121" s="2790"/>
      <c r="G121" s="3800"/>
      <c r="H121" s="2699"/>
      <c r="I121" s="2699"/>
      <c r="J121" s="2699"/>
    </row>
    <row r="122" spans="2:10" x14ac:dyDescent="0.25">
      <c r="B122" s="2682"/>
      <c r="C122" s="2699"/>
      <c r="D122" s="2699"/>
      <c r="E122" s="2699"/>
      <c r="F122" s="2699"/>
      <c r="G122" s="2699"/>
      <c r="H122" s="2699"/>
      <c r="I122" s="2699"/>
      <c r="J122" s="2699"/>
    </row>
    <row r="123" spans="2:10" x14ac:dyDescent="0.25">
      <c r="B123" s="2682"/>
      <c r="C123" s="2699"/>
      <c r="D123" s="2699"/>
      <c r="E123" s="2699"/>
      <c r="F123" s="2699"/>
      <c r="G123" s="2699"/>
      <c r="H123" s="2699"/>
      <c r="I123" s="2699"/>
      <c r="J123" s="2699"/>
    </row>
    <row r="124" spans="2:10" x14ac:dyDescent="0.25">
      <c r="B124" s="2682"/>
      <c r="C124" s="2699"/>
      <c r="D124" s="2699"/>
      <c r="E124" s="2699"/>
      <c r="F124" s="2699"/>
      <c r="G124" s="2699"/>
      <c r="H124" s="2699"/>
      <c r="I124" s="2699"/>
      <c r="J124" s="2699"/>
    </row>
    <row r="125" spans="2:10" x14ac:dyDescent="0.25">
      <c r="B125" s="2682"/>
      <c r="C125" s="2699"/>
      <c r="D125" s="2699"/>
      <c r="E125" s="2699"/>
      <c r="F125" s="2699"/>
      <c r="G125" s="2699"/>
      <c r="H125" s="2699"/>
      <c r="I125" s="2699"/>
      <c r="J125" s="2699"/>
    </row>
    <row r="126" spans="2:10" x14ac:dyDescent="0.25">
      <c r="B126" s="2682"/>
      <c r="C126" s="2699"/>
      <c r="D126" s="2699"/>
      <c r="E126" s="2699"/>
      <c r="F126" s="2699"/>
      <c r="G126" s="2699"/>
      <c r="H126" s="2699"/>
      <c r="I126" s="2699"/>
      <c r="J126" s="2699"/>
    </row>
    <row r="127" spans="2:10" x14ac:dyDescent="0.25">
      <c r="B127" s="2682"/>
      <c r="C127" s="2699"/>
      <c r="D127" s="2699"/>
      <c r="E127" s="2699"/>
      <c r="F127" s="2699"/>
      <c r="G127" s="2699"/>
      <c r="H127" s="2699"/>
      <c r="I127" s="2699"/>
      <c r="J127" s="2699"/>
    </row>
    <row r="128" spans="2:10" x14ac:dyDescent="0.25">
      <c r="B128" s="2682"/>
      <c r="C128" s="2699"/>
      <c r="D128" s="2699"/>
      <c r="E128" s="2699"/>
      <c r="F128" s="2699"/>
      <c r="G128" s="2699"/>
      <c r="H128" s="2699"/>
      <c r="I128" s="2699"/>
      <c r="J128" s="2699"/>
    </row>
    <row r="129" spans="2:10" x14ac:dyDescent="0.25">
      <c r="B129" s="2682"/>
      <c r="C129" s="2699"/>
      <c r="D129" s="2699"/>
      <c r="E129" s="2699"/>
      <c r="F129" s="2699"/>
      <c r="G129" s="2699"/>
      <c r="H129" s="2699"/>
      <c r="I129" s="2699"/>
      <c r="J129" s="2699"/>
    </row>
    <row r="130" spans="2:10" x14ac:dyDescent="0.25">
      <c r="B130" s="2682"/>
      <c r="C130" s="2699"/>
      <c r="D130" s="2699"/>
      <c r="E130" s="2699"/>
      <c r="F130" s="2699"/>
      <c r="G130" s="2699"/>
      <c r="H130" s="2699"/>
      <c r="I130" s="2699"/>
      <c r="J130" s="2699"/>
    </row>
    <row r="131" spans="2:10" x14ac:dyDescent="0.25">
      <c r="B131" s="2682"/>
      <c r="C131" s="2699"/>
      <c r="D131" s="2699"/>
      <c r="E131" s="2699"/>
      <c r="F131" s="2699"/>
      <c r="G131" s="2699"/>
      <c r="H131" s="2699"/>
      <c r="I131" s="2699"/>
      <c r="J131" s="2699"/>
    </row>
    <row r="132" spans="2:10" x14ac:dyDescent="0.25">
      <c r="B132" s="2682"/>
      <c r="C132" s="2699"/>
      <c r="D132" s="2699"/>
      <c r="E132" s="2699"/>
      <c r="F132" s="2699"/>
      <c r="G132" s="2699"/>
    </row>
    <row r="133" spans="2:10" x14ac:dyDescent="0.25">
      <c r="B133" s="2682"/>
      <c r="C133" s="2699"/>
      <c r="D133" s="2699"/>
      <c r="E133" s="2699"/>
      <c r="F133" s="2699"/>
      <c r="G133" s="2699"/>
    </row>
  </sheetData>
  <customSheetViews>
    <customSheetView guid="{074EB09C-6289-46D7-9513-012B68BCA7BF}" showPageBreaks="1" topLeftCell="B1">
      <selection activeCell="P37" sqref="P37"/>
      <pageMargins left="0.7" right="0.7" top="0.75" bottom="0.75" header="0.3" footer="0.3"/>
      <pageSetup orientation="portrait" r:id="rId1"/>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17" scale="44" orientation="landscape"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41" sqref="I41"/>
    </sheetView>
  </sheetViews>
  <sheetFormatPr defaultRowHeight="13.2" x14ac:dyDescent="0.25"/>
  <sheetData>
    <row r="1" spans="1:1" x14ac:dyDescent="0.25">
      <c r="A1" t="s">
        <v>1</v>
      </c>
    </row>
  </sheetData>
  <customSheetViews>
    <customSheetView guid="{074EB09C-6289-46D7-9513-012B68BCA7BF}" showPageBreaks="1">
      <selection activeCell="I41" sqref="I41"/>
      <pageMargins left="0.7" right="0.7" top="0.75" bottom="0.75" header="0.3" footer="0.3"/>
      <pageSetup orientation="portrait" r:id="rId1"/>
    </customSheetView>
  </customSheetView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12"/>
  <sheetViews>
    <sheetView workbookViewId="0">
      <pane xSplit="1" ySplit="1" topLeftCell="B2" activePane="bottomRight" state="frozen"/>
      <selection pane="topRight" activeCell="B1" sqref="B1"/>
      <selection pane="bottomLeft" activeCell="A2" sqref="A2"/>
      <selection pane="bottomRight" activeCell="A3" sqref="A3"/>
    </sheetView>
  </sheetViews>
  <sheetFormatPr defaultRowHeight="13.2" x14ac:dyDescent="0.25"/>
  <cols>
    <col min="1" max="1" width="16.109375" style="3369" customWidth="1"/>
    <col min="2" max="2" width="19.6640625" customWidth="1"/>
    <col min="3" max="3" width="18.44140625" customWidth="1"/>
    <col min="4" max="4" width="14" customWidth="1"/>
    <col min="5" max="5" width="13.109375" customWidth="1"/>
    <col min="6" max="6" width="14.88671875" customWidth="1"/>
    <col min="7" max="7" width="15" customWidth="1"/>
    <col min="8" max="8" width="13.5546875" customWidth="1"/>
    <col min="9" max="10" width="12.6640625" customWidth="1"/>
    <col min="11" max="11" width="16.44140625" customWidth="1"/>
    <col min="12" max="12" width="14.5546875" customWidth="1"/>
    <col min="13" max="16" width="12.6640625" customWidth="1"/>
    <col min="17" max="18" width="13" customWidth="1"/>
  </cols>
  <sheetData>
    <row r="1" spans="1:22" ht="42" customHeight="1" thickBot="1" x14ac:dyDescent="0.35">
      <c r="B1" s="3881"/>
      <c r="C1" s="1481"/>
      <c r="D1" s="1481"/>
      <c r="E1" s="1481"/>
      <c r="F1" s="1491"/>
      <c r="G1" s="1491">
        <v>18230610</v>
      </c>
      <c r="H1" s="1491" t="s">
        <v>870</v>
      </c>
      <c r="I1" s="1491"/>
      <c r="J1" s="1481"/>
      <c r="K1" s="1481"/>
      <c r="L1" s="1481"/>
      <c r="M1" s="1481"/>
      <c r="N1" s="1481"/>
      <c r="O1" s="1481"/>
      <c r="P1" s="1481"/>
      <c r="Q1" s="1481"/>
      <c r="R1" s="1481"/>
      <c r="S1" s="1481"/>
      <c r="T1" s="1481"/>
      <c r="U1" s="1481"/>
      <c r="V1" s="1481"/>
    </row>
    <row r="2" spans="1:22" ht="16.8" thickTop="1" thickBot="1" x14ac:dyDescent="0.35">
      <c r="B2" s="1491" t="s">
        <v>131</v>
      </c>
      <c r="C2" s="1515" t="s">
        <v>871</v>
      </c>
      <c r="D2" s="2421" t="s">
        <v>1019</v>
      </c>
      <c r="E2" s="1481"/>
      <c r="F2" s="1481"/>
      <c r="G2" s="1493" t="s">
        <v>8</v>
      </c>
      <c r="H2" s="1481"/>
      <c r="I2" s="1481"/>
      <c r="J2" s="1481"/>
      <c r="K2" s="1481"/>
      <c r="L2" s="1481"/>
      <c r="M2" s="1481"/>
      <c r="N2" s="1481"/>
      <c r="O2" s="1481"/>
      <c r="P2" s="1481"/>
      <c r="Q2" s="4798" t="s">
        <v>612</v>
      </c>
      <c r="R2" s="4798"/>
      <c r="S2" s="4785" t="s">
        <v>132</v>
      </c>
      <c r="T2" s="4786"/>
      <c r="U2" s="4787"/>
      <c r="V2" s="4793" t="s">
        <v>133</v>
      </c>
    </row>
    <row r="3" spans="1:22" ht="16.2" thickBot="1" x14ac:dyDescent="0.35">
      <c r="B3" s="1515" t="s">
        <v>6</v>
      </c>
      <c r="C3" s="1515">
        <v>18230610</v>
      </c>
      <c r="D3" s="2422" t="s">
        <v>1020</v>
      </c>
      <c r="E3" s="1481"/>
      <c r="F3" s="1481"/>
      <c r="G3" s="1504" t="s">
        <v>9</v>
      </c>
      <c r="H3" s="1503" t="s">
        <v>10</v>
      </c>
      <c r="I3" s="1503" t="s">
        <v>11</v>
      </c>
      <c r="J3" s="1503" t="s">
        <v>12</v>
      </c>
      <c r="K3" s="1503" t="s">
        <v>13</v>
      </c>
      <c r="L3" s="1503" t="s">
        <v>14</v>
      </c>
      <c r="M3" s="1503" t="s">
        <v>15</v>
      </c>
      <c r="N3" s="1503" t="s">
        <v>16</v>
      </c>
      <c r="O3" s="1503" t="s">
        <v>134</v>
      </c>
      <c r="P3" s="1503" t="s">
        <v>135</v>
      </c>
      <c r="Q3" s="1505" t="s">
        <v>18</v>
      </c>
      <c r="R3" s="1505" t="s">
        <v>136</v>
      </c>
      <c r="S3" s="1495" t="s">
        <v>137</v>
      </c>
      <c r="T3" s="1495" t="s">
        <v>12</v>
      </c>
      <c r="U3" s="1496" t="s">
        <v>138</v>
      </c>
      <c r="V3" s="4794"/>
    </row>
    <row r="4" spans="1:22" ht="16.8" thickTop="1" thickBot="1" x14ac:dyDescent="0.35">
      <c r="B4" s="1515" t="s">
        <v>139</v>
      </c>
      <c r="C4" s="1515" t="s">
        <v>870</v>
      </c>
      <c r="D4" s="1481"/>
      <c r="E4" s="1481"/>
      <c r="F4" s="1491">
        <v>2011</v>
      </c>
      <c r="G4" s="1532">
        <v>353763</v>
      </c>
      <c r="H4" s="1533">
        <v>0</v>
      </c>
      <c r="I4" s="1533">
        <v>0</v>
      </c>
      <c r="J4" s="1533">
        <v>222871</v>
      </c>
      <c r="K4" s="1533">
        <v>6000</v>
      </c>
      <c r="L4" s="1533">
        <v>2000</v>
      </c>
      <c r="M4" s="1533">
        <v>300</v>
      </c>
      <c r="N4" s="1533">
        <v>15000</v>
      </c>
      <c r="O4" s="1533">
        <v>0</v>
      </c>
      <c r="P4" s="1533">
        <v>0</v>
      </c>
      <c r="Q4" s="1537">
        <v>599934</v>
      </c>
      <c r="R4" s="3603" t="s">
        <v>746</v>
      </c>
      <c r="S4" s="1560">
        <v>0</v>
      </c>
      <c r="T4" s="1560">
        <v>0.37149253084505962</v>
      </c>
      <c r="U4" s="1560">
        <v>3.3337000403377707E-3</v>
      </c>
      <c r="V4" s="1562" t="e">
        <v>#DIV/0!</v>
      </c>
    </row>
    <row r="5" spans="1:22" ht="16.2" thickBot="1" x14ac:dyDescent="0.35">
      <c r="B5" s="1491" t="s">
        <v>34</v>
      </c>
      <c r="C5" s="1481"/>
      <c r="D5" s="1481"/>
      <c r="E5" s="1481"/>
      <c r="F5" s="1491">
        <v>2012</v>
      </c>
      <c r="G5" s="1534">
        <f>D13</f>
        <v>602139.72</v>
      </c>
      <c r="H5" s="1535">
        <f>D24</f>
        <v>0</v>
      </c>
      <c r="I5" s="1535">
        <f>D29</f>
        <v>379348.02359999996</v>
      </c>
      <c r="J5" s="1535">
        <f>D34</f>
        <v>0</v>
      </c>
      <c r="K5" s="1535">
        <f>D39</f>
        <v>29145.7</v>
      </c>
      <c r="L5" s="1535">
        <f>D44</f>
        <v>21054</v>
      </c>
      <c r="M5" s="1535">
        <f>D49</f>
        <v>5220</v>
      </c>
      <c r="N5" s="1535">
        <f>D54</f>
        <v>0</v>
      </c>
      <c r="O5" s="1535">
        <f>D59</f>
        <v>0</v>
      </c>
      <c r="P5" s="1535">
        <f>D60</f>
        <v>0</v>
      </c>
      <c r="Q5" s="1536">
        <f>SUM(G5:P5)</f>
        <v>1036907.4435999999</v>
      </c>
      <c r="R5" s="3604" t="s">
        <v>746</v>
      </c>
      <c r="S5" s="1561">
        <v>0</v>
      </c>
      <c r="T5" s="1561">
        <v>0</v>
      </c>
      <c r="U5" s="1561">
        <v>3.7131666719412678E-3</v>
      </c>
      <c r="V5" s="1563" t="e">
        <v>#DIV/0!</v>
      </c>
    </row>
    <row r="6" spans="1:22" ht="16.2" thickBot="1" x14ac:dyDescent="0.35">
      <c r="B6" s="1481"/>
      <c r="C6" s="1491" t="s">
        <v>872</v>
      </c>
      <c r="D6" s="1481"/>
      <c r="E6" s="1481"/>
      <c r="F6" s="1491">
        <v>2013</v>
      </c>
      <c r="G6" s="1541">
        <f>E13</f>
        <v>602139.72</v>
      </c>
      <c r="H6" s="1542">
        <f>E24</f>
        <v>0</v>
      </c>
      <c r="I6" s="1542">
        <f>E29</f>
        <v>379348.02359999996</v>
      </c>
      <c r="J6" s="1542">
        <f>E34</f>
        <v>0</v>
      </c>
      <c r="K6" s="1542">
        <f>E39</f>
        <v>29145.7</v>
      </c>
      <c r="L6" s="1542">
        <f>E44</f>
        <v>21054</v>
      </c>
      <c r="M6" s="1542">
        <f>E49</f>
        <v>5220</v>
      </c>
      <c r="N6" s="1542">
        <f>E54</f>
        <v>0</v>
      </c>
      <c r="O6" s="1542">
        <f>E59</f>
        <v>0</v>
      </c>
      <c r="P6" s="1542">
        <f>E60</f>
        <v>0</v>
      </c>
      <c r="Q6" s="1536">
        <f>SUM(G6:P6)</f>
        <v>1036907.4435999999</v>
      </c>
      <c r="R6" s="3604" t="s">
        <v>746</v>
      </c>
      <c r="S6" s="1561">
        <v>0</v>
      </c>
      <c r="T6" s="1561">
        <v>0</v>
      </c>
      <c r="U6" s="1561">
        <v>3.7131666719412678E-3</v>
      </c>
      <c r="V6" s="1563" t="e">
        <v>#DIV/0!</v>
      </c>
    </row>
    <row r="7" spans="1:22" ht="16.2" thickBot="1" x14ac:dyDescent="0.35">
      <c r="B7" s="1481"/>
      <c r="C7" s="1555" t="s">
        <v>873</v>
      </c>
      <c r="D7" s="1481"/>
      <c r="E7" s="1481"/>
      <c r="F7" s="1543" t="s">
        <v>178</v>
      </c>
      <c r="G7" s="1544">
        <f>SUM(G5:G6)</f>
        <v>1204279.44</v>
      </c>
      <c r="H7" s="3572">
        <f t="shared" ref="H7:P7" si="0">SUM(H5:H6)</f>
        <v>0</v>
      </c>
      <c r="I7" s="3572">
        <f t="shared" si="0"/>
        <v>758696.04719999991</v>
      </c>
      <c r="J7" s="3572">
        <f t="shared" si="0"/>
        <v>0</v>
      </c>
      <c r="K7" s="3572">
        <f t="shared" si="0"/>
        <v>58291.4</v>
      </c>
      <c r="L7" s="3572">
        <f t="shared" si="0"/>
        <v>42108</v>
      </c>
      <c r="M7" s="3572">
        <f t="shared" si="0"/>
        <v>10440</v>
      </c>
      <c r="N7" s="3572">
        <f t="shared" si="0"/>
        <v>0</v>
      </c>
      <c r="O7" s="3572">
        <f t="shared" si="0"/>
        <v>0</v>
      </c>
      <c r="P7" s="3572">
        <f t="shared" si="0"/>
        <v>0</v>
      </c>
      <c r="Q7" s="1545">
        <f>SUM(G7:P7)</f>
        <v>2073814.8871999998</v>
      </c>
      <c r="R7" s="3605" t="s">
        <v>746</v>
      </c>
      <c r="S7" s="1561">
        <v>0</v>
      </c>
      <c r="T7" s="1561">
        <v>0</v>
      </c>
      <c r="U7" s="1561">
        <v>3.7131666719412678E-3</v>
      </c>
      <c r="V7" s="1563" t="e">
        <v>#DIV/0!</v>
      </c>
    </row>
    <row r="8" spans="1:22" s="2410" customFormat="1" ht="15.6" x14ac:dyDescent="0.3">
      <c r="A8" s="3369"/>
      <c r="B8" s="2180"/>
      <c r="C8" s="2269"/>
      <c r="D8" s="2180"/>
      <c r="E8" s="2180"/>
      <c r="F8" s="2256"/>
      <c r="G8" s="2423"/>
      <c r="H8" s="2423"/>
      <c r="I8" s="2423"/>
      <c r="J8" s="2423"/>
      <c r="K8" s="2423"/>
      <c r="L8" s="2423"/>
      <c r="M8" s="2423"/>
      <c r="N8" s="2423"/>
      <c r="O8" s="2423"/>
      <c r="P8" s="2427"/>
      <c r="Q8" s="2423"/>
      <c r="R8" s="2424"/>
      <c r="S8" s="2425"/>
      <c r="T8" s="2425"/>
      <c r="U8" s="2425"/>
      <c r="V8" s="2426"/>
    </row>
    <row r="10" spans="1:22" ht="14.4" thickBot="1" x14ac:dyDescent="0.35">
      <c r="B10" s="1481"/>
      <c r="C10" s="1527" t="s">
        <v>141</v>
      </c>
      <c r="D10" s="4795" t="s">
        <v>142</v>
      </c>
      <c r="E10" s="4795"/>
      <c r="F10" s="1481"/>
      <c r="G10" s="1481"/>
      <c r="H10" s="1481"/>
      <c r="I10" s="4796" t="s">
        <v>143</v>
      </c>
      <c r="J10" s="4796"/>
      <c r="K10" s="4796"/>
      <c r="L10" s="4796"/>
      <c r="M10" s="4797" t="s">
        <v>142</v>
      </c>
      <c r="N10" s="4797"/>
      <c r="O10" s="1481"/>
      <c r="P10" s="1481"/>
      <c r="Q10" s="1481"/>
      <c r="R10" s="1481"/>
      <c r="S10" s="1481"/>
      <c r="T10" s="1481"/>
      <c r="U10" s="1481"/>
      <c r="V10" s="1481"/>
    </row>
    <row r="11" spans="1:22" ht="16.2" thickBot="1" x14ac:dyDescent="0.35">
      <c r="B11" s="1531" t="s">
        <v>144</v>
      </c>
      <c r="C11" s="4788" t="s">
        <v>145</v>
      </c>
      <c r="D11" s="4788"/>
      <c r="E11" s="4788"/>
      <c r="F11" s="4789"/>
      <c r="G11" s="1481"/>
      <c r="H11" s="1481"/>
      <c r="I11" s="4785" t="s">
        <v>146</v>
      </c>
      <c r="J11" s="4786"/>
      <c r="K11" s="4786"/>
      <c r="L11" s="4787"/>
      <c r="M11" s="4785" t="s">
        <v>147</v>
      </c>
      <c r="N11" s="4786"/>
      <c r="O11" s="4787"/>
      <c r="P11" s="4785" t="s">
        <v>148</v>
      </c>
      <c r="Q11" s="4786"/>
      <c r="R11" s="4787"/>
      <c r="S11" s="1481"/>
      <c r="T11" s="1530" t="s">
        <v>149</v>
      </c>
      <c r="U11" s="1481"/>
      <c r="V11" s="1481"/>
    </row>
    <row r="12" spans="1:22" ht="16.2" thickBot="1" x14ac:dyDescent="0.35">
      <c r="B12" s="1538">
        <v>2011</v>
      </c>
      <c r="C12" s="1529" t="s">
        <v>150</v>
      </c>
      <c r="D12" s="1525">
        <v>2012</v>
      </c>
      <c r="E12" s="1525">
        <v>2013</v>
      </c>
      <c r="F12" s="1525" t="s">
        <v>151</v>
      </c>
      <c r="G12" s="1481"/>
      <c r="H12" s="1494"/>
      <c r="I12" s="4790" t="s">
        <v>152</v>
      </c>
      <c r="J12" s="4791"/>
      <c r="K12" s="4792"/>
      <c r="L12" s="1521" t="s">
        <v>153</v>
      </c>
      <c r="M12" s="1522" t="s">
        <v>154</v>
      </c>
      <c r="N12" s="1523" t="s">
        <v>155</v>
      </c>
      <c r="O12" s="1524" t="s">
        <v>156</v>
      </c>
      <c r="P12" s="1522" t="s">
        <v>157</v>
      </c>
      <c r="Q12" s="1522" t="s">
        <v>158</v>
      </c>
      <c r="R12" s="1524" t="s">
        <v>159</v>
      </c>
      <c r="S12" s="1481"/>
      <c r="T12" s="1531" t="s">
        <v>160</v>
      </c>
      <c r="U12" s="1481"/>
      <c r="V12" s="1481"/>
    </row>
    <row r="13" spans="1:22" ht="14.4" thickBot="1" x14ac:dyDescent="0.35">
      <c r="B13" s="3569">
        <v>353763</v>
      </c>
      <c r="C13" s="3566" t="s">
        <v>161</v>
      </c>
      <c r="D13" s="3567">
        <f>SUM(D14:D23)</f>
        <v>602139.72</v>
      </c>
      <c r="E13" s="3598">
        <f>SUM(E14:E23)</f>
        <v>602139.72</v>
      </c>
      <c r="F13" s="3568">
        <f>SUM(D13:E13)</f>
        <v>1204279.44</v>
      </c>
      <c r="G13" s="1481"/>
      <c r="H13" s="1497"/>
      <c r="I13" s="1518" t="s">
        <v>409</v>
      </c>
      <c r="J13" s="1519"/>
      <c r="K13" s="1520"/>
      <c r="L13" s="1546">
        <v>0</v>
      </c>
      <c r="M13" s="1487">
        <v>0</v>
      </c>
      <c r="N13" s="1487">
        <v>0</v>
      </c>
      <c r="O13" s="1498">
        <v>0</v>
      </c>
      <c r="P13" s="1547">
        <v>0</v>
      </c>
      <c r="Q13" s="1547">
        <v>0</v>
      </c>
      <c r="R13" s="1548">
        <v>0</v>
      </c>
      <c r="S13" s="1481"/>
      <c r="T13" s="1487"/>
      <c r="U13" s="1481"/>
      <c r="V13" s="1481"/>
    </row>
    <row r="14" spans="1:22" ht="13.8" x14ac:dyDescent="0.3">
      <c r="B14" s="3570"/>
      <c r="C14" s="3561" t="s">
        <v>1102</v>
      </c>
      <c r="D14" s="3562">
        <v>69132</v>
      </c>
      <c r="E14" s="3562">
        <v>69132</v>
      </c>
      <c r="F14" s="3562">
        <f>SUM(D14:E14)</f>
        <v>138264</v>
      </c>
      <c r="G14" s="1481"/>
      <c r="H14" s="1497"/>
      <c r="I14" s="1518" t="s">
        <v>410</v>
      </c>
      <c r="J14" s="1519"/>
      <c r="K14" s="1520"/>
      <c r="L14" s="1546">
        <v>0</v>
      </c>
      <c r="M14" s="1487">
        <v>0</v>
      </c>
      <c r="N14" s="1487">
        <v>0</v>
      </c>
      <c r="O14" s="1498">
        <v>0</v>
      </c>
      <c r="P14" s="1547">
        <v>0</v>
      </c>
      <c r="Q14" s="1547">
        <v>0</v>
      </c>
      <c r="R14" s="1548">
        <v>0</v>
      </c>
      <c r="S14" s="1481"/>
      <c r="T14" s="1485"/>
      <c r="U14" s="1481"/>
      <c r="V14" s="1481"/>
    </row>
    <row r="15" spans="1:22" ht="13.8" x14ac:dyDescent="0.3">
      <c r="B15" s="3571"/>
      <c r="C15" s="3560" t="s">
        <v>1103</v>
      </c>
      <c r="D15" s="3564">
        <v>69132</v>
      </c>
      <c r="E15" s="3564">
        <v>69132</v>
      </c>
      <c r="F15" s="3596">
        <f t="shared" ref="F15:F19" si="1">SUM(D15:E15)</f>
        <v>138264</v>
      </c>
      <c r="G15" s="1481"/>
      <c r="H15" s="1497"/>
      <c r="I15" s="1518" t="s">
        <v>411</v>
      </c>
      <c r="J15" s="1519"/>
      <c r="K15" s="1520"/>
      <c r="L15" s="1546">
        <v>0</v>
      </c>
      <c r="M15" s="1487">
        <v>0</v>
      </c>
      <c r="N15" s="1487">
        <v>0</v>
      </c>
      <c r="O15" s="1498">
        <v>0</v>
      </c>
      <c r="P15" s="1547">
        <v>0</v>
      </c>
      <c r="Q15" s="1547">
        <v>0</v>
      </c>
      <c r="R15" s="1548">
        <v>0</v>
      </c>
      <c r="S15" s="1481"/>
      <c r="T15" s="1485"/>
      <c r="U15" s="1481"/>
      <c r="V15" s="1481"/>
    </row>
    <row r="16" spans="1:22" ht="13.8" x14ac:dyDescent="0.3">
      <c r="B16" s="3571"/>
      <c r="C16" s="3560" t="s">
        <v>1104</v>
      </c>
      <c r="D16" s="3564">
        <v>69132</v>
      </c>
      <c r="E16" s="3564">
        <v>69132</v>
      </c>
      <c r="F16" s="3596">
        <f t="shared" si="1"/>
        <v>138264</v>
      </c>
      <c r="G16" s="1481"/>
      <c r="H16" s="1497"/>
      <c r="I16" s="1518" t="s">
        <v>213</v>
      </c>
      <c r="J16" s="1519"/>
      <c r="K16" s="1520"/>
      <c r="L16" s="1546">
        <v>0</v>
      </c>
      <c r="M16" s="1487">
        <v>0</v>
      </c>
      <c r="N16" s="1487">
        <v>0</v>
      </c>
      <c r="O16" s="1498">
        <v>0</v>
      </c>
      <c r="P16" s="1547">
        <v>0</v>
      </c>
      <c r="Q16" s="1547">
        <v>0</v>
      </c>
      <c r="R16" s="1548">
        <v>0</v>
      </c>
      <c r="S16" s="1481"/>
      <c r="T16" s="1485"/>
      <c r="U16" s="1481"/>
      <c r="V16" s="1481"/>
    </row>
    <row r="17" spans="2:22" ht="13.8" x14ac:dyDescent="0.3">
      <c r="B17" s="3571"/>
      <c r="C17" s="3560" t="s">
        <v>1105</v>
      </c>
      <c r="D17" s="3564">
        <v>69132</v>
      </c>
      <c r="E17" s="3564">
        <v>69132</v>
      </c>
      <c r="F17" s="3596">
        <f t="shared" si="1"/>
        <v>138264</v>
      </c>
      <c r="G17" s="1481"/>
      <c r="H17" s="1497"/>
      <c r="I17" s="1518" t="s">
        <v>214</v>
      </c>
      <c r="J17" s="1519"/>
      <c r="K17" s="1520"/>
      <c r="L17" s="1546">
        <v>0</v>
      </c>
      <c r="M17" s="1487">
        <v>0</v>
      </c>
      <c r="N17" s="1487">
        <v>0</v>
      </c>
      <c r="O17" s="1498">
        <v>0</v>
      </c>
      <c r="P17" s="1547">
        <v>0</v>
      </c>
      <c r="Q17" s="1547">
        <v>0</v>
      </c>
      <c r="R17" s="1548">
        <v>0</v>
      </c>
      <c r="S17" s="1481"/>
      <c r="T17" s="1485"/>
      <c r="U17" s="1481"/>
      <c r="V17" s="1481"/>
    </row>
    <row r="18" spans="2:22" ht="13.8" x14ac:dyDescent="0.3">
      <c r="B18" s="3571"/>
      <c r="C18" s="3560" t="s">
        <v>1106</v>
      </c>
      <c r="D18" s="3564">
        <v>69132</v>
      </c>
      <c r="E18" s="3564">
        <v>69132</v>
      </c>
      <c r="F18" s="3596">
        <f t="shared" si="1"/>
        <v>138264</v>
      </c>
      <c r="G18" s="1481"/>
      <c r="H18" s="1497"/>
      <c r="I18" s="1518" t="s">
        <v>215</v>
      </c>
      <c r="J18" s="1519"/>
      <c r="K18" s="1520"/>
      <c r="L18" s="1546">
        <v>0</v>
      </c>
      <c r="M18" s="1487">
        <v>0</v>
      </c>
      <c r="N18" s="1487">
        <v>0</v>
      </c>
      <c r="O18" s="1498">
        <v>0</v>
      </c>
      <c r="P18" s="1547">
        <v>0</v>
      </c>
      <c r="Q18" s="1547">
        <v>0</v>
      </c>
      <c r="R18" s="1548">
        <v>0</v>
      </c>
      <c r="S18" s="1481"/>
      <c r="T18" s="1485"/>
    </row>
    <row r="19" spans="2:22" ht="13.8" x14ac:dyDescent="0.3">
      <c r="B19" s="3571"/>
      <c r="C19" s="3560" t="s">
        <v>1107</v>
      </c>
      <c r="D19" s="3564">
        <v>69132</v>
      </c>
      <c r="E19" s="3564">
        <v>69132</v>
      </c>
      <c r="F19" s="3596">
        <f t="shared" si="1"/>
        <v>138264</v>
      </c>
      <c r="G19" s="1481"/>
      <c r="H19" s="1497"/>
      <c r="I19" s="1518" t="s">
        <v>216</v>
      </c>
      <c r="J19" s="1519"/>
      <c r="K19" s="1520"/>
      <c r="L19" s="1546">
        <v>0</v>
      </c>
      <c r="M19" s="1487">
        <v>0</v>
      </c>
      <c r="N19" s="1487">
        <v>0</v>
      </c>
      <c r="O19" s="1498">
        <v>0</v>
      </c>
      <c r="P19" s="1547">
        <v>0</v>
      </c>
      <c r="Q19" s="1547">
        <v>0</v>
      </c>
      <c r="R19" s="1548">
        <v>0</v>
      </c>
      <c r="S19" s="1481"/>
      <c r="T19" s="1485"/>
    </row>
    <row r="20" spans="2:22" ht="13.8" x14ac:dyDescent="0.3">
      <c r="B20" s="3940"/>
      <c r="C20" s="3937" t="s">
        <v>897</v>
      </c>
      <c r="D20" s="3939">
        <v>69132</v>
      </c>
      <c r="E20" s="3939">
        <v>69132</v>
      </c>
      <c r="F20" s="3938">
        <v>138264</v>
      </c>
      <c r="G20" s="2180"/>
      <c r="H20" s="1497"/>
      <c r="I20" s="1518" t="s">
        <v>217</v>
      </c>
      <c r="J20" s="1519"/>
      <c r="K20" s="1520"/>
      <c r="L20" s="1546">
        <v>0</v>
      </c>
      <c r="M20" s="1487">
        <v>0</v>
      </c>
      <c r="N20" s="1487">
        <v>0</v>
      </c>
      <c r="O20" s="1498">
        <v>0</v>
      </c>
      <c r="P20" s="1547">
        <v>0</v>
      </c>
      <c r="Q20" s="1547">
        <v>0</v>
      </c>
      <c r="R20" s="1548">
        <v>0</v>
      </c>
      <c r="S20" s="1481"/>
      <c r="T20" s="1485"/>
    </row>
    <row r="21" spans="2:22" ht="13.8" x14ac:dyDescent="0.3">
      <c r="B21" s="3940"/>
      <c r="C21" s="3937" t="s">
        <v>899</v>
      </c>
      <c r="D21" s="3939">
        <v>18665.64</v>
      </c>
      <c r="E21" s="3939">
        <v>18665.64</v>
      </c>
      <c r="F21" s="3938">
        <v>37331.279999999999</v>
      </c>
      <c r="G21" s="3926"/>
      <c r="H21" s="3928"/>
      <c r="I21" s="1518" t="s">
        <v>218</v>
      </c>
      <c r="J21" s="1519"/>
      <c r="K21" s="1520"/>
      <c r="L21" s="1546">
        <v>0</v>
      </c>
      <c r="M21" s="1487">
        <v>0</v>
      </c>
      <c r="N21" s="1487">
        <v>0</v>
      </c>
      <c r="O21" s="1498">
        <v>0</v>
      </c>
      <c r="P21" s="1547">
        <v>0</v>
      </c>
      <c r="Q21" s="1547">
        <v>0</v>
      </c>
      <c r="R21" s="1548">
        <v>0</v>
      </c>
      <c r="S21" s="1481"/>
      <c r="T21" s="1485"/>
    </row>
    <row r="22" spans="2:22" ht="13.8" x14ac:dyDescent="0.3">
      <c r="B22" s="3940"/>
      <c r="C22" s="3937" t="s">
        <v>898</v>
      </c>
      <c r="D22" s="3939">
        <v>69132</v>
      </c>
      <c r="E22" s="3939">
        <v>69132</v>
      </c>
      <c r="F22" s="3938">
        <v>138264</v>
      </c>
      <c r="G22" s="3926"/>
      <c r="H22" s="3928"/>
      <c r="I22" s="1518" t="s">
        <v>219</v>
      </c>
      <c r="J22" s="1519"/>
      <c r="K22" s="1520"/>
      <c r="L22" s="1546">
        <v>0</v>
      </c>
      <c r="M22" s="1487">
        <v>0</v>
      </c>
      <c r="N22" s="1487">
        <v>0</v>
      </c>
      <c r="O22" s="1498">
        <v>0</v>
      </c>
      <c r="P22" s="1547">
        <v>0</v>
      </c>
      <c r="Q22" s="1547">
        <v>0</v>
      </c>
      <c r="R22" s="1548">
        <v>0</v>
      </c>
      <c r="S22" s="1481"/>
      <c r="T22" s="1485"/>
    </row>
    <row r="23" spans="2:22" ht="14.4" thickBot="1" x14ac:dyDescent="0.35">
      <c r="B23" s="3940"/>
      <c r="C23" s="3937" t="s">
        <v>1116</v>
      </c>
      <c r="D23" s="4047">
        <f>0.44*69132</f>
        <v>30418.080000000002</v>
      </c>
      <c r="E23" s="4047">
        <f>0.44*69132</f>
        <v>30418.080000000002</v>
      </c>
      <c r="F23" s="3938">
        <f>SUM(D23:E23)</f>
        <v>60836.160000000003</v>
      </c>
      <c r="G23" s="3926"/>
      <c r="H23" s="3928"/>
      <c r="I23" s="1518" t="s">
        <v>220</v>
      </c>
      <c r="J23" s="1519"/>
      <c r="K23" s="1520"/>
      <c r="L23" s="1546">
        <v>0</v>
      </c>
      <c r="M23" s="1487">
        <v>0</v>
      </c>
      <c r="N23" s="1487">
        <v>0</v>
      </c>
      <c r="O23" s="1498">
        <v>0</v>
      </c>
      <c r="P23" s="1547">
        <v>0</v>
      </c>
      <c r="Q23" s="1547">
        <v>0</v>
      </c>
      <c r="R23" s="1548">
        <v>0</v>
      </c>
      <c r="S23" s="1481"/>
      <c r="T23" s="1485"/>
    </row>
    <row r="24" spans="2:22" ht="14.4" thickBot="1" x14ac:dyDescent="0.35">
      <c r="B24" s="3569">
        <v>0</v>
      </c>
      <c r="C24" s="3566" t="s">
        <v>166</v>
      </c>
      <c r="D24" s="3567">
        <v>0</v>
      </c>
      <c r="E24" s="3567">
        <v>0</v>
      </c>
      <c r="F24" s="3568">
        <v>0</v>
      </c>
      <c r="G24" s="1481"/>
      <c r="H24" s="1497"/>
      <c r="I24" s="1518" t="s">
        <v>221</v>
      </c>
      <c r="J24" s="1519"/>
      <c r="K24" s="1520"/>
      <c r="L24" s="1546">
        <v>0</v>
      </c>
      <c r="M24" s="1487">
        <v>0</v>
      </c>
      <c r="N24" s="1487">
        <v>0</v>
      </c>
      <c r="O24" s="1498">
        <v>0</v>
      </c>
      <c r="P24" s="1547">
        <v>0</v>
      </c>
      <c r="Q24" s="1547">
        <v>0</v>
      </c>
      <c r="R24" s="1548">
        <v>0</v>
      </c>
      <c r="S24" s="1481"/>
      <c r="T24" s="1485"/>
    </row>
    <row r="25" spans="2:22" ht="13.8" x14ac:dyDescent="0.3">
      <c r="B25" s="3570"/>
      <c r="C25" s="3561" t="s">
        <v>162</v>
      </c>
      <c r="D25" s="3562">
        <v>0</v>
      </c>
      <c r="E25" s="3562">
        <v>0</v>
      </c>
      <c r="F25" s="3562">
        <v>0</v>
      </c>
      <c r="G25" s="1481"/>
      <c r="H25" s="1497"/>
      <c r="I25" s="1518" t="s">
        <v>222</v>
      </c>
      <c r="J25" s="1519"/>
      <c r="K25" s="1520"/>
      <c r="L25" s="1546">
        <v>0</v>
      </c>
      <c r="M25" s="1487">
        <v>0</v>
      </c>
      <c r="N25" s="1487">
        <v>0</v>
      </c>
      <c r="O25" s="1498">
        <v>0</v>
      </c>
      <c r="P25" s="1547">
        <v>0</v>
      </c>
      <c r="Q25" s="1547">
        <v>0</v>
      </c>
      <c r="R25" s="1548">
        <v>0</v>
      </c>
      <c r="S25" s="1481"/>
      <c r="T25" s="1485"/>
    </row>
    <row r="26" spans="2:22" ht="13.8" x14ac:dyDescent="0.3">
      <c r="B26" s="3571"/>
      <c r="C26" s="3560" t="s">
        <v>163</v>
      </c>
      <c r="D26" s="3563">
        <v>0</v>
      </c>
      <c r="E26" s="3563">
        <v>0</v>
      </c>
      <c r="F26" s="3562">
        <v>0</v>
      </c>
      <c r="G26" s="1481"/>
      <c r="H26" s="1497"/>
      <c r="I26" s="1518" t="s">
        <v>223</v>
      </c>
      <c r="J26" s="1519"/>
      <c r="K26" s="1520"/>
      <c r="L26" s="1546">
        <v>0</v>
      </c>
      <c r="M26" s="1487">
        <v>0</v>
      </c>
      <c r="N26" s="1487">
        <v>0</v>
      </c>
      <c r="O26" s="1498">
        <v>0</v>
      </c>
      <c r="P26" s="1547">
        <v>0</v>
      </c>
      <c r="Q26" s="1547">
        <v>0</v>
      </c>
      <c r="R26" s="1548">
        <v>0</v>
      </c>
      <c r="S26" s="1481"/>
      <c r="T26" s="1485"/>
    </row>
    <row r="27" spans="2:22" ht="13.8" x14ac:dyDescent="0.3">
      <c r="B27" s="3571"/>
      <c r="C27" s="3560" t="s">
        <v>164</v>
      </c>
      <c r="D27" s="3564">
        <v>0</v>
      </c>
      <c r="E27" s="3564">
        <v>0</v>
      </c>
      <c r="F27" s="3562">
        <v>0</v>
      </c>
      <c r="G27" s="1486"/>
      <c r="H27" s="1497"/>
      <c r="I27" s="1518" t="s">
        <v>224</v>
      </c>
      <c r="J27" s="1519"/>
      <c r="K27" s="1520"/>
      <c r="L27" s="1546">
        <v>0</v>
      </c>
      <c r="M27" s="1487">
        <v>0</v>
      </c>
      <c r="N27" s="1487">
        <v>0</v>
      </c>
      <c r="O27" s="1498">
        <v>0</v>
      </c>
      <c r="P27" s="1547">
        <v>0</v>
      </c>
      <c r="Q27" s="1547">
        <v>0</v>
      </c>
      <c r="R27" s="1548">
        <v>0</v>
      </c>
      <c r="S27" s="1481"/>
      <c r="T27" s="1485"/>
    </row>
    <row r="28" spans="2:22" ht="14.4" thickBot="1" x14ac:dyDescent="0.35">
      <c r="B28" s="3571"/>
      <c r="C28" s="3560" t="s">
        <v>165</v>
      </c>
      <c r="D28" s="3564">
        <v>0</v>
      </c>
      <c r="E28" s="3564">
        <v>0</v>
      </c>
      <c r="F28" s="3562">
        <v>0</v>
      </c>
      <c r="G28" s="1481"/>
      <c r="H28" s="1497"/>
      <c r="I28" s="1518" t="s">
        <v>225</v>
      </c>
      <c r="J28" s="1519"/>
      <c r="K28" s="1520"/>
      <c r="L28" s="1546">
        <v>0</v>
      </c>
      <c r="M28" s="1487">
        <v>0</v>
      </c>
      <c r="N28" s="1487">
        <v>0</v>
      </c>
      <c r="O28" s="1498">
        <v>0</v>
      </c>
      <c r="P28" s="1547">
        <v>0</v>
      </c>
      <c r="Q28" s="1547">
        <v>0</v>
      </c>
      <c r="R28" s="1548">
        <v>0</v>
      </c>
      <c r="S28" s="1481"/>
      <c r="T28" s="1485"/>
    </row>
    <row r="29" spans="2:22" ht="14.4" thickBot="1" x14ac:dyDescent="0.35">
      <c r="B29" s="3569">
        <v>222871</v>
      </c>
      <c r="C29" s="3566" t="s">
        <v>167</v>
      </c>
      <c r="D29" s="3567">
        <f>D13*0.63</f>
        <v>379348.02359999996</v>
      </c>
      <c r="E29" s="3598">
        <f>E13*0.63</f>
        <v>379348.02359999996</v>
      </c>
      <c r="F29" s="3568">
        <f>SUM(D29:E29)</f>
        <v>758696.04719999991</v>
      </c>
      <c r="G29" s="1481"/>
      <c r="H29" s="1497"/>
      <c r="I29" s="1518" t="s">
        <v>226</v>
      </c>
      <c r="J29" s="1519"/>
      <c r="K29" s="1520"/>
      <c r="L29" s="1546">
        <v>0</v>
      </c>
      <c r="M29" s="1487">
        <v>0</v>
      </c>
      <c r="N29" s="1487">
        <v>0</v>
      </c>
      <c r="O29" s="1498">
        <v>0</v>
      </c>
      <c r="P29" s="1547">
        <v>0</v>
      </c>
      <c r="Q29" s="1547">
        <v>0</v>
      </c>
      <c r="R29" s="1548">
        <v>0</v>
      </c>
      <c r="S29" s="1481"/>
      <c r="T29" s="1485"/>
    </row>
    <row r="30" spans="2:22" ht="13.8" x14ac:dyDescent="0.3">
      <c r="B30" s="3570"/>
      <c r="C30" s="3561"/>
      <c r="D30" s="3562"/>
      <c r="E30" s="3562"/>
      <c r="F30" s="3562"/>
      <c r="G30" s="1481"/>
      <c r="H30" s="1497"/>
      <c r="I30" s="1518" t="s">
        <v>227</v>
      </c>
      <c r="J30" s="1519"/>
      <c r="K30" s="1520"/>
      <c r="L30" s="1546">
        <v>0</v>
      </c>
      <c r="M30" s="1487">
        <v>0</v>
      </c>
      <c r="N30" s="1487">
        <v>0</v>
      </c>
      <c r="O30" s="1498">
        <v>0</v>
      </c>
      <c r="P30" s="1547">
        <v>0</v>
      </c>
      <c r="Q30" s="1547">
        <v>0</v>
      </c>
      <c r="R30" s="1548">
        <v>0</v>
      </c>
      <c r="S30" s="1481"/>
      <c r="T30" s="1485"/>
    </row>
    <row r="31" spans="2:22" ht="13.8" x14ac:dyDescent="0.3">
      <c r="B31" s="3570"/>
      <c r="C31" s="3561"/>
      <c r="D31" s="3563"/>
      <c r="E31" s="3563"/>
      <c r="F31" s="3562"/>
      <c r="G31" s="1481"/>
      <c r="H31" s="1497"/>
      <c r="I31" s="1518" t="s">
        <v>228</v>
      </c>
      <c r="J31" s="1519"/>
      <c r="K31" s="1520"/>
      <c r="L31" s="1546">
        <v>0</v>
      </c>
      <c r="M31" s="1487">
        <v>0</v>
      </c>
      <c r="N31" s="1487">
        <v>0</v>
      </c>
      <c r="O31" s="1498">
        <v>0</v>
      </c>
      <c r="P31" s="1547">
        <v>0</v>
      </c>
      <c r="Q31" s="1547">
        <v>0</v>
      </c>
      <c r="R31" s="1548">
        <v>0</v>
      </c>
      <c r="S31" s="1481"/>
      <c r="T31" s="1485"/>
    </row>
    <row r="32" spans="2:22" ht="13.8" x14ac:dyDescent="0.3">
      <c r="B32" s="3571"/>
      <c r="C32" s="3560"/>
      <c r="D32" s="3564"/>
      <c r="E32" s="3564"/>
      <c r="F32" s="3564"/>
      <c r="G32" s="1481"/>
      <c r="H32" s="1497"/>
      <c r="I32" s="1518" t="s">
        <v>229</v>
      </c>
      <c r="J32" s="1519"/>
      <c r="K32" s="1520"/>
      <c r="L32" s="1546">
        <v>0</v>
      </c>
      <c r="M32" s="1487">
        <v>0</v>
      </c>
      <c r="N32" s="1487">
        <v>0</v>
      </c>
      <c r="O32" s="1498">
        <v>0</v>
      </c>
      <c r="P32" s="1547">
        <v>0</v>
      </c>
      <c r="Q32" s="1547">
        <v>0</v>
      </c>
      <c r="R32" s="1548">
        <v>0</v>
      </c>
      <c r="S32" s="1481"/>
      <c r="T32" s="1485"/>
    </row>
    <row r="33" spans="2:20" ht="14.4" thickBot="1" x14ac:dyDescent="0.35">
      <c r="B33" s="3571"/>
      <c r="C33" s="3560"/>
      <c r="D33" s="3564"/>
      <c r="E33" s="3564"/>
      <c r="F33" s="3564"/>
      <c r="G33" s="1481"/>
      <c r="H33" s="1497"/>
      <c r="I33" s="1518" t="s">
        <v>230</v>
      </c>
      <c r="J33" s="1519"/>
      <c r="K33" s="1520"/>
      <c r="L33" s="1546">
        <v>0</v>
      </c>
      <c r="M33" s="1487">
        <v>0</v>
      </c>
      <c r="N33" s="1487">
        <v>0</v>
      </c>
      <c r="O33" s="1498">
        <v>0</v>
      </c>
      <c r="P33" s="1547">
        <v>0</v>
      </c>
      <c r="Q33" s="1547">
        <v>0</v>
      </c>
      <c r="R33" s="1548">
        <v>0</v>
      </c>
      <c r="S33" s="1481"/>
      <c r="T33" s="1485"/>
    </row>
    <row r="34" spans="2:20" ht="14.4" thickBot="1" x14ac:dyDescent="0.35">
      <c r="B34" s="3569">
        <v>0</v>
      </c>
      <c r="C34" s="3566" t="s">
        <v>170</v>
      </c>
      <c r="D34" s="3567">
        <v>0</v>
      </c>
      <c r="E34" s="3567">
        <v>0</v>
      </c>
      <c r="F34" s="3568">
        <v>0</v>
      </c>
      <c r="G34" s="1481"/>
      <c r="H34" s="1497"/>
      <c r="I34" s="1518" t="s">
        <v>231</v>
      </c>
      <c r="J34" s="1519"/>
      <c r="K34" s="1520"/>
      <c r="L34" s="1546">
        <v>0</v>
      </c>
      <c r="M34" s="1487">
        <v>0</v>
      </c>
      <c r="N34" s="1487">
        <v>0</v>
      </c>
      <c r="O34" s="1498">
        <v>0</v>
      </c>
      <c r="P34" s="1547">
        <v>0</v>
      </c>
      <c r="Q34" s="1547">
        <v>0</v>
      </c>
      <c r="R34" s="1548">
        <v>0</v>
      </c>
      <c r="S34" s="1481"/>
      <c r="T34" s="1485"/>
    </row>
    <row r="35" spans="2:20" ht="13.8" x14ac:dyDescent="0.3">
      <c r="B35" s="3570"/>
      <c r="C35" s="3561" t="s">
        <v>162</v>
      </c>
      <c r="D35" s="3562">
        <v>0</v>
      </c>
      <c r="E35" s="3562"/>
      <c r="F35" s="3562">
        <v>0</v>
      </c>
      <c r="G35" s="1481"/>
      <c r="H35" s="1497"/>
      <c r="I35" s="1518" t="s">
        <v>232</v>
      </c>
      <c r="J35" s="1519"/>
      <c r="K35" s="1520"/>
      <c r="L35" s="1546">
        <v>0</v>
      </c>
      <c r="M35" s="1487">
        <v>0</v>
      </c>
      <c r="N35" s="1487">
        <v>0</v>
      </c>
      <c r="O35" s="1498">
        <v>0</v>
      </c>
      <c r="P35" s="1547">
        <v>0</v>
      </c>
      <c r="Q35" s="1547">
        <v>0</v>
      </c>
      <c r="R35" s="1548">
        <v>0</v>
      </c>
      <c r="S35" s="1481"/>
      <c r="T35" s="1485"/>
    </row>
    <row r="36" spans="2:20" ht="13.8" x14ac:dyDescent="0.3">
      <c r="B36" s="3571"/>
      <c r="C36" s="3560" t="s">
        <v>163</v>
      </c>
      <c r="D36" s="3563">
        <v>0</v>
      </c>
      <c r="E36" s="3563"/>
      <c r="F36" s="3562">
        <v>0</v>
      </c>
      <c r="G36" s="1481"/>
      <c r="H36" s="1497"/>
      <c r="I36" s="1518" t="s">
        <v>233</v>
      </c>
      <c r="J36" s="1519"/>
      <c r="K36" s="1520"/>
      <c r="L36" s="1546">
        <v>0</v>
      </c>
      <c r="M36" s="1487">
        <v>0</v>
      </c>
      <c r="N36" s="1487">
        <v>0</v>
      </c>
      <c r="O36" s="1498">
        <v>0</v>
      </c>
      <c r="P36" s="1547">
        <v>0</v>
      </c>
      <c r="Q36" s="1547">
        <v>0</v>
      </c>
      <c r="R36" s="1548">
        <v>0</v>
      </c>
      <c r="S36" s="1481"/>
      <c r="T36" s="1485"/>
    </row>
    <row r="37" spans="2:20" ht="13.8" x14ac:dyDescent="0.3">
      <c r="B37" s="3571"/>
      <c r="C37" s="3560" t="s">
        <v>164</v>
      </c>
      <c r="D37" s="3563">
        <v>0</v>
      </c>
      <c r="E37" s="3563"/>
      <c r="F37" s="3562">
        <v>0</v>
      </c>
      <c r="G37" s="1481"/>
      <c r="H37" s="1497"/>
      <c r="I37" s="1518" t="s">
        <v>234</v>
      </c>
      <c r="J37" s="1519"/>
      <c r="K37" s="1520"/>
      <c r="L37" s="1546">
        <v>0</v>
      </c>
      <c r="M37" s="1487">
        <v>0</v>
      </c>
      <c r="N37" s="1487">
        <v>0</v>
      </c>
      <c r="O37" s="1498">
        <v>0</v>
      </c>
      <c r="P37" s="1547">
        <v>0</v>
      </c>
      <c r="Q37" s="1547">
        <v>0</v>
      </c>
      <c r="R37" s="1548">
        <v>0</v>
      </c>
      <c r="S37" s="1481"/>
      <c r="T37" s="1485"/>
    </row>
    <row r="38" spans="2:20" ht="14.4" thickBot="1" x14ac:dyDescent="0.35">
      <c r="B38" s="3571"/>
      <c r="C38" s="3560" t="s">
        <v>165</v>
      </c>
      <c r="D38" s="3563">
        <v>0</v>
      </c>
      <c r="E38" s="3563"/>
      <c r="F38" s="3562">
        <v>0</v>
      </c>
      <c r="G38" s="1481"/>
      <c r="H38" s="1497"/>
      <c r="I38" s="1518" t="s">
        <v>235</v>
      </c>
      <c r="J38" s="1519"/>
      <c r="K38" s="1520"/>
      <c r="L38" s="1546">
        <v>0</v>
      </c>
      <c r="M38" s="1487">
        <v>0</v>
      </c>
      <c r="N38" s="1487">
        <v>0</v>
      </c>
      <c r="O38" s="1498">
        <v>0</v>
      </c>
      <c r="P38" s="1547">
        <v>0</v>
      </c>
      <c r="Q38" s="1547">
        <v>0</v>
      </c>
      <c r="R38" s="1548">
        <v>0</v>
      </c>
      <c r="S38" s="1481"/>
      <c r="T38" s="1485"/>
    </row>
    <row r="39" spans="2:20" ht="14.4" thickBot="1" x14ac:dyDescent="0.35">
      <c r="B39" s="3569">
        <v>6000</v>
      </c>
      <c r="C39" s="3566" t="s">
        <v>171</v>
      </c>
      <c r="D39" s="3567">
        <f>SUM(D40:D43)</f>
        <v>29145.7</v>
      </c>
      <c r="E39" s="3598">
        <f>SUM(E40:E43)</f>
        <v>29145.7</v>
      </c>
      <c r="F39" s="3568">
        <f t="shared" ref="F39:F53" si="2">SUM(D39:E39)</f>
        <v>58291.4</v>
      </c>
      <c r="G39" s="1481"/>
      <c r="H39" s="1497"/>
      <c r="I39" s="1518" t="s">
        <v>236</v>
      </c>
      <c r="J39" s="1519"/>
      <c r="K39" s="1520"/>
      <c r="L39" s="1546">
        <v>0</v>
      </c>
      <c r="M39" s="1487">
        <v>0</v>
      </c>
      <c r="N39" s="1487">
        <v>0</v>
      </c>
      <c r="O39" s="1498">
        <v>0</v>
      </c>
      <c r="P39" s="1547">
        <v>0</v>
      </c>
      <c r="Q39" s="1547">
        <v>0</v>
      </c>
      <c r="R39" s="1548">
        <v>0</v>
      </c>
      <c r="S39" s="1481"/>
      <c r="T39" s="1485"/>
    </row>
    <row r="40" spans="2:20" ht="13.8" x14ac:dyDescent="0.3">
      <c r="B40" s="3571"/>
      <c r="C40" s="3560" t="s">
        <v>874</v>
      </c>
      <c r="D40" s="3941">
        <v>16321.9</v>
      </c>
      <c r="E40" s="3941">
        <v>16321.9</v>
      </c>
      <c r="F40" s="3562">
        <f t="shared" si="2"/>
        <v>32643.8</v>
      </c>
      <c r="G40" s="1481"/>
      <c r="H40" s="1497"/>
      <c r="I40" s="1518" t="s">
        <v>237</v>
      </c>
      <c r="J40" s="1519"/>
      <c r="K40" s="1520"/>
      <c r="L40" s="1546">
        <v>0</v>
      </c>
      <c r="M40" s="1487">
        <v>0</v>
      </c>
      <c r="N40" s="1487">
        <v>0</v>
      </c>
      <c r="O40" s="1498">
        <v>0</v>
      </c>
      <c r="P40" s="1547">
        <v>0</v>
      </c>
      <c r="Q40" s="1547">
        <v>0</v>
      </c>
      <c r="R40" s="1548">
        <v>0</v>
      </c>
      <c r="S40" s="1481"/>
      <c r="T40" s="1485"/>
    </row>
    <row r="41" spans="2:20" ht="13.8" x14ac:dyDescent="0.3">
      <c r="B41" s="3571"/>
      <c r="C41" s="3560" t="s">
        <v>875</v>
      </c>
      <c r="D41" s="3941">
        <v>3205.95</v>
      </c>
      <c r="E41" s="3941">
        <v>3205.95</v>
      </c>
      <c r="F41" s="3596">
        <f t="shared" si="2"/>
        <v>6411.9</v>
      </c>
      <c r="G41" s="1481"/>
      <c r="H41" s="1497"/>
      <c r="I41" s="1518" t="s">
        <v>238</v>
      </c>
      <c r="J41" s="1519"/>
      <c r="K41" s="1520"/>
      <c r="L41" s="1546">
        <v>0</v>
      </c>
      <c r="M41" s="1487">
        <v>0</v>
      </c>
      <c r="N41" s="1487">
        <v>0</v>
      </c>
      <c r="O41" s="1498">
        <v>0</v>
      </c>
      <c r="P41" s="1547">
        <v>0</v>
      </c>
      <c r="Q41" s="1547">
        <v>0</v>
      </c>
      <c r="R41" s="1548">
        <v>0</v>
      </c>
      <c r="S41" s="1481"/>
      <c r="T41" s="1485"/>
    </row>
    <row r="42" spans="2:20" ht="13.8" x14ac:dyDescent="0.3">
      <c r="B42" s="3571"/>
      <c r="C42" s="3560" t="s">
        <v>876</v>
      </c>
      <c r="D42" s="3941">
        <v>6411.9</v>
      </c>
      <c r="E42" s="3941">
        <v>6411.9</v>
      </c>
      <c r="F42" s="3596">
        <f t="shared" si="2"/>
        <v>12823.8</v>
      </c>
      <c r="G42" s="1481"/>
      <c r="H42" s="1497"/>
      <c r="I42" s="1518" t="s">
        <v>239</v>
      </c>
      <c r="J42" s="1519"/>
      <c r="K42" s="1520"/>
      <c r="L42" s="1546">
        <v>0</v>
      </c>
      <c r="M42" s="1487">
        <v>0</v>
      </c>
      <c r="N42" s="1487">
        <v>0</v>
      </c>
      <c r="O42" s="1498">
        <v>0</v>
      </c>
      <c r="P42" s="1547">
        <v>0</v>
      </c>
      <c r="Q42" s="1547">
        <v>0</v>
      </c>
      <c r="R42" s="1548">
        <v>0</v>
      </c>
      <c r="S42" s="1481"/>
      <c r="T42" s="1485"/>
    </row>
    <row r="43" spans="2:20" ht="14.4" thickBot="1" x14ac:dyDescent="0.35">
      <c r="B43" s="3571"/>
      <c r="C43" s="3560" t="s">
        <v>877</v>
      </c>
      <c r="D43" s="3941">
        <v>3205.95</v>
      </c>
      <c r="E43" s="3941">
        <v>3205.95</v>
      </c>
      <c r="F43" s="3596">
        <f t="shared" si="2"/>
        <v>6411.9</v>
      </c>
      <c r="G43" s="1481"/>
      <c r="H43" s="1497"/>
      <c r="I43" s="1518" t="s">
        <v>240</v>
      </c>
      <c r="J43" s="1519"/>
      <c r="K43" s="1520"/>
      <c r="L43" s="1546">
        <v>0</v>
      </c>
      <c r="M43" s="1487">
        <v>0</v>
      </c>
      <c r="N43" s="1487">
        <v>0</v>
      </c>
      <c r="O43" s="1498">
        <v>0</v>
      </c>
      <c r="P43" s="1547">
        <v>0</v>
      </c>
      <c r="Q43" s="1547">
        <v>0</v>
      </c>
      <c r="R43" s="1548">
        <v>0</v>
      </c>
      <c r="S43" s="1481"/>
      <c r="T43" s="1485"/>
    </row>
    <row r="44" spans="2:20" ht="14.4" thickBot="1" x14ac:dyDescent="0.35">
      <c r="B44" s="3569">
        <v>2000</v>
      </c>
      <c r="C44" s="3566" t="s">
        <v>172</v>
      </c>
      <c r="D44" s="3567">
        <f>SUM(D45:D48)</f>
        <v>21054</v>
      </c>
      <c r="E44" s="3598">
        <f>SUM(E45:E48)</f>
        <v>21054</v>
      </c>
      <c r="F44" s="3568">
        <f t="shared" si="2"/>
        <v>42108</v>
      </c>
      <c r="G44" s="1481"/>
      <c r="H44" s="1497"/>
      <c r="I44" s="1518" t="s">
        <v>241</v>
      </c>
      <c r="J44" s="1519"/>
      <c r="K44" s="1520"/>
      <c r="L44" s="1546">
        <v>0</v>
      </c>
      <c r="M44" s="1487">
        <v>0</v>
      </c>
      <c r="N44" s="1487">
        <v>0</v>
      </c>
      <c r="O44" s="1498">
        <v>0</v>
      </c>
      <c r="P44" s="1547">
        <v>0</v>
      </c>
      <c r="Q44" s="1547">
        <v>0</v>
      </c>
      <c r="R44" s="1548">
        <v>0</v>
      </c>
      <c r="S44" s="1481"/>
      <c r="T44" s="1485"/>
    </row>
    <row r="45" spans="2:20" ht="13.8" x14ac:dyDescent="0.3">
      <c r="B45" s="3571"/>
      <c r="C45" s="3560" t="s">
        <v>878</v>
      </c>
      <c r="D45" s="3942">
        <v>1044</v>
      </c>
      <c r="E45" s="3942">
        <v>1044</v>
      </c>
      <c r="F45" s="3562">
        <f t="shared" si="2"/>
        <v>2088</v>
      </c>
      <c r="G45" s="1481"/>
      <c r="H45" s="1497"/>
      <c r="I45" s="1518" t="s">
        <v>242</v>
      </c>
      <c r="J45" s="1519"/>
      <c r="K45" s="1520"/>
      <c r="L45" s="1546">
        <v>0</v>
      </c>
      <c r="M45" s="1487">
        <v>0</v>
      </c>
      <c r="N45" s="1487">
        <v>0</v>
      </c>
      <c r="O45" s="1498">
        <v>0</v>
      </c>
      <c r="P45" s="1547">
        <v>0</v>
      </c>
      <c r="Q45" s="1547">
        <v>0</v>
      </c>
      <c r="R45" s="1548">
        <v>0</v>
      </c>
      <c r="S45" s="1481"/>
      <c r="T45" s="1485"/>
    </row>
    <row r="46" spans="2:20" ht="13.8" x14ac:dyDescent="0.3">
      <c r="B46" s="3571"/>
      <c r="C46" s="3560" t="s">
        <v>749</v>
      </c>
      <c r="D46" s="3942">
        <v>2610</v>
      </c>
      <c r="E46" s="3942">
        <v>2610</v>
      </c>
      <c r="F46" s="3596">
        <f t="shared" si="2"/>
        <v>5220</v>
      </c>
      <c r="G46" s="1481"/>
      <c r="H46" s="1497"/>
      <c r="I46" s="1518" t="s">
        <v>243</v>
      </c>
      <c r="J46" s="1519"/>
      <c r="K46" s="1520"/>
      <c r="L46" s="1546">
        <v>0</v>
      </c>
      <c r="M46" s="1487">
        <v>0</v>
      </c>
      <c r="N46" s="1487">
        <v>0</v>
      </c>
      <c r="O46" s="1498">
        <v>0</v>
      </c>
      <c r="P46" s="1547">
        <v>0</v>
      </c>
      <c r="Q46" s="1547">
        <v>0</v>
      </c>
      <c r="R46" s="1548">
        <v>0</v>
      </c>
      <c r="S46" s="1481"/>
      <c r="T46" s="1485"/>
    </row>
    <row r="47" spans="2:20" ht="13.8" x14ac:dyDescent="0.3">
      <c r="B47" s="3571"/>
      <c r="C47" s="3560" t="s">
        <v>1108</v>
      </c>
      <c r="D47" s="3942">
        <v>17400</v>
      </c>
      <c r="E47" s="3942">
        <v>17400</v>
      </c>
      <c r="F47" s="3596">
        <f t="shared" si="2"/>
        <v>34800</v>
      </c>
      <c r="G47" s="1481"/>
      <c r="H47" s="1497"/>
      <c r="I47" s="1518" t="s">
        <v>244</v>
      </c>
      <c r="J47" s="1519"/>
      <c r="K47" s="1520"/>
      <c r="L47" s="1546">
        <v>0</v>
      </c>
      <c r="M47" s="1487">
        <v>0</v>
      </c>
      <c r="N47" s="1487">
        <v>0</v>
      </c>
      <c r="O47" s="1498">
        <v>0</v>
      </c>
      <c r="P47" s="1547">
        <v>0</v>
      </c>
      <c r="Q47" s="1547">
        <v>0</v>
      </c>
      <c r="R47" s="1548">
        <v>0</v>
      </c>
      <c r="S47" s="1481"/>
      <c r="T47" s="1485"/>
    </row>
    <row r="48" spans="2:20" ht="14.4" thickBot="1" x14ac:dyDescent="0.35">
      <c r="B48" s="3571"/>
      <c r="C48" s="3560" t="s">
        <v>165</v>
      </c>
      <c r="D48" s="3563">
        <v>0</v>
      </c>
      <c r="E48" s="3563"/>
      <c r="F48" s="3596">
        <f t="shared" si="2"/>
        <v>0</v>
      </c>
      <c r="G48" s="1481"/>
      <c r="H48" s="1497"/>
      <c r="I48" s="1518" t="s">
        <v>245</v>
      </c>
      <c r="J48" s="1519"/>
      <c r="K48" s="1520"/>
      <c r="L48" s="1546">
        <v>0</v>
      </c>
      <c r="M48" s="1487">
        <v>0</v>
      </c>
      <c r="N48" s="1487">
        <v>0</v>
      </c>
      <c r="O48" s="1498">
        <v>0</v>
      </c>
      <c r="P48" s="1547">
        <v>0</v>
      </c>
      <c r="Q48" s="1547">
        <v>0</v>
      </c>
      <c r="R48" s="1548">
        <v>0</v>
      </c>
      <c r="S48" s="1481"/>
      <c r="T48" s="1485"/>
    </row>
    <row r="49" spans="2:24" ht="14.4" thickBot="1" x14ac:dyDescent="0.35">
      <c r="B49" s="3569">
        <v>300</v>
      </c>
      <c r="C49" s="3566" t="s">
        <v>173</v>
      </c>
      <c r="D49" s="3567">
        <f>SUM(D50:D53)</f>
        <v>5220</v>
      </c>
      <c r="E49" s="3598">
        <f>SUM(E50:E53)</f>
        <v>5220</v>
      </c>
      <c r="F49" s="3568">
        <f t="shared" si="2"/>
        <v>10440</v>
      </c>
      <c r="G49" s="1481"/>
      <c r="H49" s="1497"/>
      <c r="I49" s="1518" t="s">
        <v>246</v>
      </c>
      <c r="J49" s="1519"/>
      <c r="K49" s="1520"/>
      <c r="L49" s="1546">
        <v>0</v>
      </c>
      <c r="M49" s="1487">
        <v>0</v>
      </c>
      <c r="N49" s="1487">
        <v>0</v>
      </c>
      <c r="O49" s="1498">
        <v>0</v>
      </c>
      <c r="P49" s="1547">
        <v>0</v>
      </c>
      <c r="Q49" s="1547">
        <v>0</v>
      </c>
      <c r="R49" s="1548">
        <v>0</v>
      </c>
      <c r="S49" s="1481"/>
      <c r="T49" s="1485"/>
    </row>
    <row r="50" spans="2:24" ht="13.8" x14ac:dyDescent="0.3">
      <c r="B50" s="3571"/>
      <c r="C50" s="3560" t="s">
        <v>879</v>
      </c>
      <c r="D50" s="3943">
        <v>3045</v>
      </c>
      <c r="E50" s="3943">
        <v>3045</v>
      </c>
      <c r="F50" s="3562">
        <f t="shared" si="2"/>
        <v>6090</v>
      </c>
      <c r="G50" s="1481"/>
      <c r="H50" s="1497"/>
      <c r="I50" s="1518" t="s">
        <v>247</v>
      </c>
      <c r="J50" s="1519"/>
      <c r="K50" s="1520"/>
      <c r="L50" s="1546">
        <v>0</v>
      </c>
      <c r="M50" s="1487">
        <v>0</v>
      </c>
      <c r="N50" s="1487">
        <v>0</v>
      </c>
      <c r="O50" s="1498">
        <v>0</v>
      </c>
      <c r="P50" s="1547">
        <v>0</v>
      </c>
      <c r="Q50" s="1547">
        <v>0</v>
      </c>
      <c r="R50" s="1548">
        <v>0</v>
      </c>
      <c r="S50" s="1481"/>
      <c r="T50" s="1485"/>
      <c r="U50" s="1481"/>
      <c r="V50" s="1481"/>
      <c r="W50" s="1481"/>
      <c r="X50" s="1481"/>
    </row>
    <row r="51" spans="2:24" ht="13.8" x14ac:dyDescent="0.3">
      <c r="B51" s="3571"/>
      <c r="C51" s="3560" t="s">
        <v>880</v>
      </c>
      <c r="D51" s="3943">
        <v>2175</v>
      </c>
      <c r="E51" s="3943">
        <v>2175</v>
      </c>
      <c r="F51" s="3596">
        <f t="shared" si="2"/>
        <v>4350</v>
      </c>
      <c r="G51" s="1481"/>
      <c r="H51" s="1497"/>
      <c r="I51" s="1518" t="s">
        <v>248</v>
      </c>
      <c r="J51" s="1519"/>
      <c r="K51" s="1520"/>
      <c r="L51" s="1546">
        <v>0</v>
      </c>
      <c r="M51" s="1487">
        <v>0</v>
      </c>
      <c r="N51" s="1487">
        <v>0</v>
      </c>
      <c r="O51" s="1498">
        <v>0</v>
      </c>
      <c r="P51" s="1547">
        <v>0</v>
      </c>
      <c r="Q51" s="1547">
        <v>0</v>
      </c>
      <c r="R51" s="1548">
        <v>0</v>
      </c>
      <c r="S51" s="1481"/>
      <c r="T51" s="1485"/>
      <c r="U51" s="1481"/>
      <c r="V51" s="1481"/>
      <c r="W51" s="1481"/>
      <c r="X51" s="1481"/>
    </row>
    <row r="52" spans="2:24" ht="13.8" x14ac:dyDescent="0.3">
      <c r="B52" s="3571"/>
      <c r="C52" s="3560" t="s">
        <v>164</v>
      </c>
      <c r="D52" s="3563">
        <v>0</v>
      </c>
      <c r="E52" s="3563"/>
      <c r="F52" s="3596">
        <f t="shared" si="2"/>
        <v>0</v>
      </c>
      <c r="G52" s="1481"/>
      <c r="H52" s="1497"/>
      <c r="I52" s="1518" t="s">
        <v>249</v>
      </c>
      <c r="J52" s="1519"/>
      <c r="K52" s="1520"/>
      <c r="L52" s="1546">
        <v>0</v>
      </c>
      <c r="M52" s="1487">
        <v>0</v>
      </c>
      <c r="N52" s="1487">
        <v>0</v>
      </c>
      <c r="O52" s="1498">
        <v>0</v>
      </c>
      <c r="P52" s="1547">
        <v>0</v>
      </c>
      <c r="Q52" s="1547">
        <v>0</v>
      </c>
      <c r="R52" s="1548">
        <v>0</v>
      </c>
      <c r="S52" s="1481"/>
      <c r="T52" s="1485"/>
      <c r="U52" s="1481"/>
      <c r="V52" s="1481"/>
      <c r="W52" s="1481"/>
      <c r="X52" s="1481"/>
    </row>
    <row r="53" spans="2:24" ht="14.4" thickBot="1" x14ac:dyDescent="0.35">
      <c r="B53" s="3571"/>
      <c r="C53" s="3560" t="s">
        <v>165</v>
      </c>
      <c r="D53" s="3563">
        <v>0</v>
      </c>
      <c r="E53" s="3563"/>
      <c r="F53" s="3596">
        <f t="shared" si="2"/>
        <v>0</v>
      </c>
      <c r="G53" s="1481"/>
      <c r="H53" s="1481"/>
      <c r="I53" s="1518" t="s">
        <v>250</v>
      </c>
      <c r="J53" s="1519"/>
      <c r="K53" s="1520"/>
      <c r="L53" s="1546">
        <v>0</v>
      </c>
      <c r="M53" s="1487">
        <v>0</v>
      </c>
      <c r="N53" s="1487">
        <v>0</v>
      </c>
      <c r="O53" s="1498">
        <v>0</v>
      </c>
      <c r="P53" s="1547">
        <v>0</v>
      </c>
      <c r="Q53" s="1547">
        <v>0</v>
      </c>
      <c r="R53" s="1548">
        <v>0</v>
      </c>
      <c r="S53" s="1481"/>
      <c r="T53" s="1485"/>
      <c r="U53" s="1481"/>
      <c r="V53" s="1481"/>
      <c r="W53" s="1481"/>
      <c r="X53" s="1481"/>
    </row>
    <row r="54" spans="2:24" ht="14.4" thickBot="1" x14ac:dyDescent="0.35">
      <c r="B54" s="3569">
        <v>15000</v>
      </c>
      <c r="C54" s="3566" t="s">
        <v>174</v>
      </c>
      <c r="D54" s="3567">
        <v>0</v>
      </c>
      <c r="E54" s="3567">
        <v>0</v>
      </c>
      <c r="F54" s="3568">
        <v>0</v>
      </c>
      <c r="G54" s="1481"/>
      <c r="H54" s="1481"/>
      <c r="I54" s="1518" t="s">
        <v>251</v>
      </c>
      <c r="J54" s="1519"/>
      <c r="K54" s="1520"/>
      <c r="L54" s="1546">
        <v>0</v>
      </c>
      <c r="M54" s="1487">
        <v>0</v>
      </c>
      <c r="N54" s="1487">
        <v>0</v>
      </c>
      <c r="O54" s="1498">
        <v>0</v>
      </c>
      <c r="P54" s="1547">
        <v>0</v>
      </c>
      <c r="Q54" s="1547">
        <v>0</v>
      </c>
      <c r="R54" s="1548">
        <v>0</v>
      </c>
      <c r="S54" s="1481"/>
      <c r="T54" s="1485"/>
      <c r="U54" s="1481"/>
      <c r="V54" s="1481"/>
      <c r="W54" s="1481"/>
      <c r="X54" s="1481"/>
    </row>
    <row r="55" spans="2:24" ht="13.8" x14ac:dyDescent="0.3">
      <c r="B55" s="3571"/>
      <c r="C55" s="3560"/>
      <c r="D55" s="3563">
        <v>0</v>
      </c>
      <c r="E55" s="3563"/>
      <c r="F55" s="3562">
        <v>0</v>
      </c>
      <c r="G55" s="1481"/>
      <c r="H55" s="1481"/>
      <c r="I55" s="1481"/>
      <c r="J55" s="1481"/>
      <c r="K55" s="1481"/>
      <c r="L55" s="1481"/>
      <c r="M55" s="1481"/>
      <c r="N55" s="1481"/>
      <c r="O55" s="1481"/>
      <c r="P55" s="1549">
        <v>0</v>
      </c>
      <c r="Q55" s="1549">
        <v>0</v>
      </c>
      <c r="R55" s="1549">
        <v>0</v>
      </c>
      <c r="S55" s="1481"/>
      <c r="T55" s="1549">
        <v>0</v>
      </c>
      <c r="U55" s="1481"/>
      <c r="V55" s="1481"/>
      <c r="W55" s="1481"/>
      <c r="X55" s="1481"/>
    </row>
    <row r="56" spans="2:24" ht="13.8" x14ac:dyDescent="0.3">
      <c r="B56" s="3571"/>
      <c r="C56" s="3560" t="s">
        <v>163</v>
      </c>
      <c r="D56" s="3563">
        <v>0</v>
      </c>
      <c r="E56" s="3563"/>
      <c r="F56" s="3562">
        <v>0</v>
      </c>
      <c r="G56" s="1481"/>
      <c r="H56" s="1481"/>
      <c r="I56" s="1481"/>
      <c r="J56" s="1481"/>
      <c r="K56" s="1481"/>
      <c r="L56" s="1481"/>
      <c r="M56" s="1481"/>
      <c r="N56" s="1481"/>
      <c r="O56" s="1481"/>
      <c r="P56" s="1481"/>
      <c r="Q56" s="1481"/>
      <c r="R56" s="1481"/>
      <c r="S56" s="1481"/>
      <c r="T56" s="1481"/>
      <c r="U56" s="1481"/>
      <c r="V56" s="1481"/>
      <c r="W56" s="1481"/>
      <c r="X56" s="1481"/>
    </row>
    <row r="57" spans="2:24" ht="13.8" x14ac:dyDescent="0.3">
      <c r="B57" s="3571"/>
      <c r="C57" s="3560" t="s">
        <v>164</v>
      </c>
      <c r="D57" s="3563">
        <v>0</v>
      </c>
      <c r="E57" s="3563"/>
      <c r="F57" s="3562">
        <v>0</v>
      </c>
      <c r="G57" s="1506" t="s">
        <v>176</v>
      </c>
      <c r="H57" s="1481"/>
      <c r="I57" s="1481"/>
      <c r="J57" s="1481"/>
      <c r="K57" s="1481"/>
      <c r="L57" s="1481"/>
      <c r="M57" s="1481"/>
      <c r="N57" s="1481"/>
      <c r="O57" s="1481"/>
      <c r="P57" s="1481"/>
      <c r="Q57" s="1481"/>
      <c r="R57" s="1481"/>
      <c r="S57" s="1481"/>
      <c r="T57" s="1481"/>
      <c r="U57" s="1481"/>
      <c r="V57" s="1481"/>
      <c r="W57" s="1481"/>
      <c r="X57" s="1481"/>
    </row>
    <row r="58" spans="2:24" ht="14.4" thickBot="1" x14ac:dyDescent="0.35">
      <c r="B58" s="3571"/>
      <c r="C58" s="3560" t="s">
        <v>165</v>
      </c>
      <c r="D58" s="3563">
        <v>0</v>
      </c>
      <c r="E58" s="3563"/>
      <c r="F58" s="3562">
        <v>0</v>
      </c>
      <c r="G58" s="1481"/>
      <c r="H58" s="1481"/>
      <c r="I58" s="3926"/>
      <c r="J58" s="3926"/>
      <c r="K58" s="3926"/>
      <c r="L58" s="3926"/>
      <c r="M58" s="3926"/>
      <c r="N58" s="3926"/>
      <c r="O58" s="3926"/>
      <c r="P58" s="3926"/>
      <c r="Q58" s="3926"/>
      <c r="R58" s="3926"/>
      <c r="S58" s="3926"/>
      <c r="T58" s="3926"/>
      <c r="U58" s="3926"/>
      <c r="V58" s="3926"/>
      <c r="W58" s="3926"/>
      <c r="X58" s="3926"/>
    </row>
    <row r="59" spans="2:24" ht="14.4" thickBot="1" x14ac:dyDescent="0.35">
      <c r="B59" s="3569">
        <v>0</v>
      </c>
      <c r="C59" s="3566" t="s">
        <v>175</v>
      </c>
      <c r="D59" s="3567">
        <v>0</v>
      </c>
      <c r="E59" s="3567">
        <v>0</v>
      </c>
      <c r="F59" s="3568">
        <v>0</v>
      </c>
      <c r="G59" s="1481"/>
      <c r="H59" s="1481"/>
      <c r="I59" s="1481"/>
      <c r="J59" s="1481"/>
      <c r="K59" s="1481"/>
      <c r="L59" s="1481"/>
      <c r="M59" s="1481"/>
      <c r="N59" s="1481"/>
      <c r="O59" s="1481"/>
      <c r="P59" s="1481"/>
      <c r="Q59" s="1481"/>
      <c r="R59" s="1481"/>
      <c r="S59" s="1481"/>
      <c r="T59" s="1481"/>
      <c r="U59" s="1481"/>
      <c r="V59" s="1481"/>
      <c r="W59" s="1481"/>
      <c r="X59" s="1481"/>
    </row>
    <row r="60" spans="2:24" ht="14.4" thickBot="1" x14ac:dyDescent="0.35">
      <c r="B60" s="3569">
        <v>0</v>
      </c>
      <c r="C60" s="3566" t="s">
        <v>177</v>
      </c>
      <c r="D60" s="3567">
        <v>0</v>
      </c>
      <c r="E60" s="3567">
        <v>0</v>
      </c>
      <c r="F60" s="3568">
        <v>0</v>
      </c>
      <c r="G60" s="1481"/>
      <c r="H60" s="1481"/>
      <c r="I60" s="3927"/>
      <c r="J60" s="3927"/>
      <c r="K60" s="3927"/>
      <c r="L60" s="3927"/>
      <c r="M60" s="3927"/>
      <c r="N60" s="3927"/>
      <c r="O60" s="3927"/>
      <c r="P60" s="3927"/>
      <c r="Q60" s="3927"/>
      <c r="R60" s="3927"/>
      <c r="S60" s="3927"/>
      <c r="T60" s="3927"/>
      <c r="U60" s="3927"/>
      <c r="V60" s="3927"/>
      <c r="W60" s="3927"/>
      <c r="X60" s="3927"/>
    </row>
    <row r="61" spans="2:24" ht="13.8" x14ac:dyDescent="0.3">
      <c r="B61" s="3565">
        <v>599934</v>
      </c>
      <c r="C61" s="3559" t="s">
        <v>178</v>
      </c>
      <c r="D61" s="3565">
        <f>D13+D24+D29+D34+D39+D44+D49+D54+D59+D60</f>
        <v>1036907.4435999999</v>
      </c>
      <c r="E61" s="3585">
        <f>E13+E24+E29+E34+E39+E44+E49+E54+E59+E60</f>
        <v>1036907.4435999999</v>
      </c>
      <c r="F61" s="3585">
        <f>F13+F24+F29+F34+F39+F44+F49+F54+F59+F60</f>
        <v>2073814.8871999998</v>
      </c>
      <c r="G61" s="1481"/>
      <c r="H61" s="3926"/>
      <c r="I61" s="3927"/>
      <c r="J61" s="3927"/>
      <c r="K61" s="3927"/>
      <c r="L61" s="3927"/>
      <c r="M61" s="3927"/>
      <c r="N61" s="3927"/>
      <c r="O61" s="3927"/>
      <c r="P61" s="3927"/>
      <c r="Q61" s="3927"/>
      <c r="R61" s="3927"/>
      <c r="S61" s="3927"/>
      <c r="T61" s="3927"/>
      <c r="U61" s="3927"/>
      <c r="V61" s="3927"/>
      <c r="W61" s="3927"/>
      <c r="X61" s="3927"/>
    </row>
    <row r="62" spans="2:24" ht="13.8" x14ac:dyDescent="0.3">
      <c r="B62" s="1481"/>
      <c r="C62" s="1482" t="s">
        <v>180</v>
      </c>
      <c r="D62" s="1483">
        <v>0</v>
      </c>
      <c r="E62" s="1483">
        <v>0</v>
      </c>
      <c r="F62" s="1483">
        <v>0</v>
      </c>
      <c r="G62" s="1557">
        <v>0</v>
      </c>
      <c r="H62" s="1558" t="s">
        <v>181</v>
      </c>
      <c r="I62" s="3927"/>
      <c r="J62" s="3927"/>
      <c r="K62" s="3927"/>
      <c r="L62" s="3927"/>
      <c r="M62" s="3927"/>
      <c r="N62" s="3927"/>
      <c r="O62" s="3927"/>
      <c r="P62" s="3927"/>
      <c r="Q62" s="3927"/>
      <c r="R62" s="3927"/>
      <c r="S62" s="3927"/>
      <c r="T62" s="3927"/>
      <c r="U62" s="3927"/>
      <c r="V62" s="3927"/>
      <c r="W62" s="3927"/>
      <c r="X62" s="3927"/>
    </row>
    <row r="63" spans="2:24" ht="13.8" x14ac:dyDescent="0.3">
      <c r="B63" s="1481"/>
      <c r="C63" s="3905"/>
      <c r="D63" s="3906"/>
      <c r="E63" s="3906"/>
      <c r="F63" s="3906"/>
      <c r="G63" s="3907"/>
      <c r="H63" s="3905"/>
      <c r="I63" s="1481"/>
      <c r="J63" s="1481"/>
      <c r="K63" s="1481"/>
      <c r="L63" s="1481"/>
      <c r="M63" s="1481"/>
      <c r="N63" s="1481"/>
      <c r="O63" s="1481"/>
      <c r="P63" s="1481"/>
      <c r="Q63" s="1481"/>
      <c r="R63" s="1481"/>
      <c r="S63" s="1481"/>
      <c r="T63" s="1481"/>
      <c r="U63" s="1481"/>
      <c r="V63" s="1481"/>
      <c r="W63" s="1481"/>
      <c r="X63" s="1481"/>
    </row>
    <row r="64" spans="2:24" ht="14.4" thickBot="1" x14ac:dyDescent="0.35">
      <c r="B64" s="3926"/>
      <c r="C64" s="3905"/>
      <c r="D64" s="3906"/>
      <c r="E64" s="3906"/>
      <c r="F64" s="3906"/>
      <c r="G64" s="3907"/>
      <c r="H64" s="3905"/>
      <c r="I64" s="1481"/>
      <c r="J64" s="1481"/>
      <c r="K64" s="1528"/>
      <c r="L64" s="1481"/>
      <c r="M64" s="1481"/>
      <c r="N64" s="1481"/>
      <c r="O64" s="1481"/>
      <c r="P64" s="1481"/>
      <c r="Q64" s="1481"/>
      <c r="R64" s="1481"/>
      <c r="S64" s="1481"/>
      <c r="T64" s="1481"/>
      <c r="U64" s="1481"/>
      <c r="V64" s="1481"/>
      <c r="W64" s="1481"/>
      <c r="X64" s="1481"/>
    </row>
    <row r="65" spans="2:24" ht="16.2" thickBot="1" x14ac:dyDescent="0.35">
      <c r="B65" s="3926"/>
      <c r="C65" s="3905"/>
      <c r="D65" s="3906"/>
      <c r="E65" s="3906"/>
      <c r="F65" s="3906"/>
      <c r="G65" s="3907"/>
      <c r="H65" s="3905"/>
      <c r="I65" s="3556"/>
      <c r="J65" s="3556"/>
      <c r="K65" s="3557"/>
      <c r="L65" s="4785" t="s">
        <v>185</v>
      </c>
      <c r="M65" s="4786"/>
      <c r="N65" s="4786"/>
      <c r="O65" s="4786"/>
      <c r="P65" s="4786"/>
      <c r="Q65" s="4786"/>
      <c r="R65" s="4787"/>
      <c r="S65" s="4785" t="s">
        <v>186</v>
      </c>
      <c r="T65" s="4786"/>
      <c r="U65" s="4787"/>
      <c r="V65" s="4785" t="s">
        <v>132</v>
      </c>
      <c r="W65" s="4786"/>
      <c r="X65" s="4787"/>
    </row>
    <row r="66" spans="2:24" ht="14.4" thickBot="1" x14ac:dyDescent="0.35">
      <c r="B66" s="3926"/>
      <c r="C66" s="1481"/>
      <c r="D66" s="1481"/>
      <c r="E66" s="1481"/>
      <c r="F66" s="1481"/>
      <c r="G66" s="1481"/>
      <c r="H66" s="1481"/>
      <c r="I66" s="1489" t="s">
        <v>192</v>
      </c>
      <c r="J66" s="1489" t="s">
        <v>193</v>
      </c>
      <c r="K66" s="1490" t="s">
        <v>194</v>
      </c>
      <c r="L66" s="1550" t="s">
        <v>195</v>
      </c>
      <c r="M66" s="1551" t="s">
        <v>196</v>
      </c>
      <c r="N66" s="1507" t="s">
        <v>881</v>
      </c>
      <c r="O66" s="1507" t="s">
        <v>882</v>
      </c>
      <c r="P66" s="1552" t="s">
        <v>883</v>
      </c>
      <c r="Q66" s="1552" t="s">
        <v>884</v>
      </c>
      <c r="R66" s="1514" t="s">
        <v>885</v>
      </c>
      <c r="S66" s="1495" t="s">
        <v>202</v>
      </c>
      <c r="T66" s="1495" t="s">
        <v>203</v>
      </c>
      <c r="U66" s="1496" t="s">
        <v>204</v>
      </c>
      <c r="V66" s="1495" t="s">
        <v>137</v>
      </c>
      <c r="W66" s="1495" t="s">
        <v>12</v>
      </c>
      <c r="X66" s="1496" t="s">
        <v>138</v>
      </c>
    </row>
    <row r="67" spans="2:24" ht="16.2" thickBot="1" x14ac:dyDescent="0.35">
      <c r="B67" s="1516" t="s">
        <v>182</v>
      </c>
      <c r="C67" s="1517"/>
      <c r="D67" s="3558" t="s">
        <v>183</v>
      </c>
      <c r="E67" s="3554"/>
      <c r="F67" s="3554"/>
      <c r="G67" s="3554"/>
      <c r="H67" s="3554"/>
      <c r="I67" s="1556">
        <v>0</v>
      </c>
      <c r="J67" s="1487">
        <v>0</v>
      </c>
      <c r="K67" s="1487"/>
      <c r="L67" s="1508" t="e">
        <v>#N/A</v>
      </c>
      <c r="M67" s="1508" t="e">
        <v>#N/A</v>
      </c>
      <c r="N67" s="1553" t="e">
        <v>#DIV/0!</v>
      </c>
      <c r="O67" s="1553" t="e">
        <v>#DIV/0!</v>
      </c>
      <c r="P67" s="1553" t="e">
        <v>#N/A</v>
      </c>
      <c r="Q67" s="1553" t="e">
        <v>#N/A</v>
      </c>
      <c r="R67" s="1553" t="e">
        <v>#N/A</v>
      </c>
      <c r="S67" s="1501">
        <v>0</v>
      </c>
      <c r="T67" s="1501">
        <v>0</v>
      </c>
      <c r="U67" s="1501">
        <v>0</v>
      </c>
      <c r="V67" s="1559" t="e">
        <v>#DIV/0!</v>
      </c>
      <c r="W67" s="1559" t="e">
        <v>#DIV/0!</v>
      </c>
      <c r="X67" s="1559" t="e">
        <v>#DIV/0!</v>
      </c>
    </row>
    <row r="68" spans="2:24" ht="16.2" thickBot="1" x14ac:dyDescent="0.35">
      <c r="B68" s="3555" t="s">
        <v>184</v>
      </c>
      <c r="C68" s="3556"/>
      <c r="D68" s="3556"/>
      <c r="E68" s="3556"/>
      <c r="F68" s="3556"/>
      <c r="G68" s="3556"/>
      <c r="H68" s="3556"/>
      <c r="I68" s="1556">
        <v>0</v>
      </c>
      <c r="J68" s="1487">
        <v>0</v>
      </c>
      <c r="K68" s="1487"/>
      <c r="L68" s="1508" t="e">
        <v>#N/A</v>
      </c>
      <c r="M68" s="1508" t="e">
        <v>#N/A</v>
      </c>
      <c r="N68" s="1553" t="e">
        <v>#DIV/0!</v>
      </c>
      <c r="O68" s="1553" t="e">
        <v>#DIV/0!</v>
      </c>
      <c r="P68" s="1553" t="e">
        <v>#N/A</v>
      </c>
      <c r="Q68" s="1553" t="e">
        <v>#N/A</v>
      </c>
      <c r="R68" s="1553" t="e">
        <v>#N/A</v>
      </c>
      <c r="S68" s="1501">
        <v>0</v>
      </c>
      <c r="T68" s="1501">
        <v>0</v>
      </c>
      <c r="U68" s="1501">
        <v>0</v>
      </c>
      <c r="V68" s="1559" t="e">
        <v>#DIV/0!</v>
      </c>
      <c r="W68" s="1559" t="e">
        <v>#DIV/0!</v>
      </c>
      <c r="X68" s="1559" t="e">
        <v>#DIV/0!</v>
      </c>
    </row>
    <row r="69" spans="2:24" ht="14.4" thickBot="1" x14ac:dyDescent="0.35">
      <c r="B69" s="1488" t="s">
        <v>187</v>
      </c>
      <c r="C69" s="1489" t="s">
        <v>152</v>
      </c>
      <c r="D69" s="1489" t="s">
        <v>153</v>
      </c>
      <c r="E69" s="1489" t="s">
        <v>188</v>
      </c>
      <c r="F69" s="1489" t="s">
        <v>189</v>
      </c>
      <c r="G69" s="1489" t="s">
        <v>190</v>
      </c>
      <c r="H69" s="1489" t="s">
        <v>191</v>
      </c>
      <c r="I69" s="1556">
        <v>0</v>
      </c>
      <c r="J69" s="1487">
        <v>0</v>
      </c>
      <c r="K69" s="1487"/>
      <c r="L69" s="1508" t="e">
        <v>#N/A</v>
      </c>
      <c r="M69" s="1508" t="e">
        <v>#N/A</v>
      </c>
      <c r="N69" s="1553" t="e">
        <v>#DIV/0!</v>
      </c>
      <c r="O69" s="1553" t="e">
        <v>#DIV/0!</v>
      </c>
      <c r="P69" s="1553" t="e">
        <v>#N/A</v>
      </c>
      <c r="Q69" s="1553" t="e">
        <v>#N/A</v>
      </c>
      <c r="R69" s="1553" t="e">
        <v>#N/A</v>
      </c>
      <c r="S69" s="1501">
        <v>0</v>
      </c>
      <c r="T69" s="1501">
        <v>0</v>
      </c>
      <c r="U69" s="1501">
        <v>0</v>
      </c>
      <c r="V69" s="1559" t="e">
        <v>#DIV/0!</v>
      </c>
      <c r="W69" s="1559" t="e">
        <v>#DIV/0!</v>
      </c>
      <c r="X69" s="1559" t="e">
        <v>#DIV/0!</v>
      </c>
    </row>
    <row r="70" spans="2:24" ht="13.8" x14ac:dyDescent="0.3">
      <c r="B70" s="1487"/>
      <c r="C70" s="1485" t="s">
        <v>409</v>
      </c>
      <c r="D70" s="1487">
        <v>0</v>
      </c>
      <c r="E70" s="1487" t="s">
        <v>617</v>
      </c>
      <c r="F70" s="1485" t="s">
        <v>211</v>
      </c>
      <c r="G70" s="1492">
        <v>0</v>
      </c>
      <c r="H70" s="1492">
        <v>0</v>
      </c>
      <c r="I70" s="1556">
        <v>0</v>
      </c>
      <c r="J70" s="1487">
        <v>0</v>
      </c>
      <c r="K70" s="1487"/>
      <c r="L70" s="1508" t="e">
        <v>#N/A</v>
      </c>
      <c r="M70" s="1508" t="e">
        <v>#N/A</v>
      </c>
      <c r="N70" s="1553" t="e">
        <v>#DIV/0!</v>
      </c>
      <c r="O70" s="1553" t="e">
        <v>#DIV/0!</v>
      </c>
      <c r="P70" s="1553" t="e">
        <v>#N/A</v>
      </c>
      <c r="Q70" s="1553" t="e">
        <v>#N/A</v>
      </c>
      <c r="R70" s="1553" t="e">
        <v>#N/A</v>
      </c>
      <c r="S70" s="1501">
        <v>0</v>
      </c>
      <c r="T70" s="1501">
        <v>0</v>
      </c>
      <c r="U70" s="1501">
        <v>0</v>
      </c>
      <c r="V70" s="1559" t="e">
        <v>#DIV/0!</v>
      </c>
      <c r="W70" s="1559" t="e">
        <v>#DIV/0!</v>
      </c>
      <c r="X70" s="1559" t="e">
        <v>#DIV/0!</v>
      </c>
    </row>
    <row r="71" spans="2:24" ht="13.8" x14ac:dyDescent="0.3">
      <c r="B71" s="1485"/>
      <c r="C71" s="1485" t="s">
        <v>410</v>
      </c>
      <c r="D71" s="1485">
        <v>0</v>
      </c>
      <c r="E71" s="1485" t="s">
        <v>617</v>
      </c>
      <c r="F71" s="1485" t="s">
        <v>211</v>
      </c>
      <c r="G71" s="1492">
        <v>0</v>
      </c>
      <c r="H71" s="1492">
        <v>0</v>
      </c>
      <c r="I71" s="1556">
        <v>0</v>
      </c>
      <c r="J71" s="1487">
        <v>0</v>
      </c>
      <c r="K71" s="1487"/>
      <c r="L71" s="1508" t="e">
        <v>#N/A</v>
      </c>
      <c r="M71" s="1508" t="e">
        <v>#N/A</v>
      </c>
      <c r="N71" s="1553" t="e">
        <v>#DIV/0!</v>
      </c>
      <c r="O71" s="1553" t="e">
        <v>#DIV/0!</v>
      </c>
      <c r="P71" s="1553" t="e">
        <v>#N/A</v>
      </c>
      <c r="Q71" s="1553" t="e">
        <v>#N/A</v>
      </c>
      <c r="R71" s="1553" t="e">
        <v>#N/A</v>
      </c>
      <c r="S71" s="1501">
        <v>0</v>
      </c>
      <c r="T71" s="1501">
        <v>0</v>
      </c>
      <c r="U71" s="1501">
        <v>0</v>
      </c>
      <c r="V71" s="1559" t="e">
        <v>#DIV/0!</v>
      </c>
      <c r="W71" s="1559" t="e">
        <v>#DIV/0!</v>
      </c>
      <c r="X71" s="1559" t="e">
        <v>#DIV/0!</v>
      </c>
    </row>
    <row r="72" spans="2:24" ht="13.8" x14ac:dyDescent="0.3">
      <c r="B72" s="1485"/>
      <c r="C72" s="1485" t="s">
        <v>411</v>
      </c>
      <c r="D72" s="1485">
        <v>0</v>
      </c>
      <c r="E72" s="1485" t="s">
        <v>617</v>
      </c>
      <c r="F72" s="1485" t="s">
        <v>211</v>
      </c>
      <c r="G72" s="1492">
        <v>0</v>
      </c>
      <c r="H72" s="1492">
        <v>0</v>
      </c>
      <c r="I72" s="1556">
        <v>0</v>
      </c>
      <c r="J72" s="1487">
        <v>0</v>
      </c>
      <c r="K72" s="1487"/>
      <c r="L72" s="1508" t="e">
        <v>#N/A</v>
      </c>
      <c r="M72" s="1508" t="e">
        <v>#N/A</v>
      </c>
      <c r="N72" s="1553" t="e">
        <v>#DIV/0!</v>
      </c>
      <c r="O72" s="1553" t="e">
        <v>#DIV/0!</v>
      </c>
      <c r="P72" s="1553" t="e">
        <v>#N/A</v>
      </c>
      <c r="Q72" s="1553" t="e">
        <v>#N/A</v>
      </c>
      <c r="R72" s="1553" t="e">
        <v>#N/A</v>
      </c>
      <c r="S72" s="1501">
        <v>0</v>
      </c>
      <c r="T72" s="1501">
        <v>0</v>
      </c>
      <c r="U72" s="1501">
        <v>0</v>
      </c>
      <c r="V72" s="1559" t="e">
        <v>#DIV/0!</v>
      </c>
      <c r="W72" s="1559" t="e">
        <v>#DIV/0!</v>
      </c>
      <c r="X72" s="1559" t="e">
        <v>#DIV/0!</v>
      </c>
    </row>
    <row r="73" spans="2:24" ht="13.8" x14ac:dyDescent="0.3">
      <c r="B73" s="1485"/>
      <c r="C73" s="1485" t="s">
        <v>213</v>
      </c>
      <c r="D73" s="1485">
        <v>0</v>
      </c>
      <c r="E73" s="1485" t="s">
        <v>617</v>
      </c>
      <c r="F73" s="1485" t="s">
        <v>211</v>
      </c>
      <c r="G73" s="1492">
        <v>0</v>
      </c>
      <c r="H73" s="1492">
        <v>0</v>
      </c>
      <c r="I73" s="1499">
        <v>0</v>
      </c>
      <c r="J73" s="1487">
        <v>0</v>
      </c>
      <c r="K73" s="1487"/>
      <c r="L73" s="1508" t="e">
        <v>#N/A</v>
      </c>
      <c r="M73" s="1508" t="e">
        <v>#N/A</v>
      </c>
      <c r="N73" s="1553" t="e">
        <v>#DIV/0!</v>
      </c>
      <c r="O73" s="1553" t="e">
        <v>#DIV/0!</v>
      </c>
      <c r="P73" s="1553" t="e">
        <v>#N/A</v>
      </c>
      <c r="Q73" s="1553" t="e">
        <v>#N/A</v>
      </c>
      <c r="R73" s="1553" t="e">
        <v>#N/A</v>
      </c>
      <c r="S73" s="1501">
        <v>0</v>
      </c>
      <c r="T73" s="1501">
        <v>0</v>
      </c>
      <c r="U73" s="1501">
        <v>0</v>
      </c>
      <c r="V73" s="1559" t="e">
        <v>#DIV/0!</v>
      </c>
      <c r="W73" s="1559" t="e">
        <v>#DIV/0!</v>
      </c>
      <c r="X73" s="1559" t="e">
        <v>#DIV/0!</v>
      </c>
    </row>
    <row r="74" spans="2:24" ht="13.8" x14ac:dyDescent="0.3">
      <c r="B74" s="1485"/>
      <c r="C74" s="1485" t="s">
        <v>214</v>
      </c>
      <c r="D74" s="1485">
        <v>0</v>
      </c>
      <c r="E74" s="1485" t="s">
        <v>617</v>
      </c>
      <c r="F74" s="1485" t="s">
        <v>211</v>
      </c>
      <c r="G74" s="1492">
        <v>0</v>
      </c>
      <c r="H74" s="1492">
        <v>0</v>
      </c>
      <c r="I74" s="1499">
        <v>0</v>
      </c>
      <c r="J74" s="1487"/>
      <c r="K74" s="1487"/>
      <c r="L74" s="1508" t="e">
        <v>#N/A</v>
      </c>
      <c r="M74" s="1508" t="e">
        <v>#N/A</v>
      </c>
      <c r="N74" s="1553" t="e">
        <v>#DIV/0!</v>
      </c>
      <c r="O74" s="1553" t="e">
        <v>#DIV/0!</v>
      </c>
      <c r="P74" s="1553" t="e">
        <v>#N/A</v>
      </c>
      <c r="Q74" s="1553" t="e">
        <v>#N/A</v>
      </c>
      <c r="R74" s="1553" t="e">
        <v>#N/A</v>
      </c>
      <c r="S74" s="1501">
        <v>0</v>
      </c>
      <c r="T74" s="1501">
        <v>0</v>
      </c>
      <c r="U74" s="1501">
        <v>0</v>
      </c>
      <c r="V74" s="1559" t="e">
        <v>#DIV/0!</v>
      </c>
      <c r="W74" s="1559" t="e">
        <v>#DIV/0!</v>
      </c>
      <c r="X74" s="1559" t="e">
        <v>#DIV/0!</v>
      </c>
    </row>
    <row r="75" spans="2:24" ht="13.8" x14ac:dyDescent="0.3">
      <c r="B75" s="1485"/>
      <c r="C75" s="1485" t="s">
        <v>215</v>
      </c>
      <c r="D75" s="1485">
        <v>0</v>
      </c>
      <c r="E75" s="1485" t="s">
        <v>617</v>
      </c>
      <c r="F75" s="1485" t="s">
        <v>211</v>
      </c>
      <c r="G75" s="1492">
        <v>0</v>
      </c>
      <c r="H75" s="1492">
        <v>0</v>
      </c>
      <c r="I75" s="1499">
        <v>0</v>
      </c>
      <c r="J75" s="1487"/>
      <c r="K75" s="1487"/>
      <c r="L75" s="1508" t="e">
        <v>#N/A</v>
      </c>
      <c r="M75" s="1508" t="e">
        <v>#N/A</v>
      </c>
      <c r="N75" s="1553" t="e">
        <v>#DIV/0!</v>
      </c>
      <c r="O75" s="1553" t="e">
        <v>#DIV/0!</v>
      </c>
      <c r="P75" s="1553" t="e">
        <v>#N/A</v>
      </c>
      <c r="Q75" s="1553" t="e">
        <v>#N/A</v>
      </c>
      <c r="R75" s="1553" t="e">
        <v>#N/A</v>
      </c>
      <c r="S75" s="1501">
        <v>0</v>
      </c>
      <c r="T75" s="1501">
        <v>0</v>
      </c>
      <c r="U75" s="1501">
        <v>0</v>
      </c>
      <c r="V75" s="1559" t="e">
        <v>#DIV/0!</v>
      </c>
      <c r="W75" s="1559" t="e">
        <v>#DIV/0!</v>
      </c>
      <c r="X75" s="1559" t="e">
        <v>#DIV/0!</v>
      </c>
    </row>
    <row r="76" spans="2:24" ht="13.8" x14ac:dyDescent="0.3">
      <c r="B76" s="1485"/>
      <c r="C76" s="1485" t="s">
        <v>216</v>
      </c>
      <c r="D76" s="1487">
        <v>0</v>
      </c>
      <c r="E76" s="1485" t="s">
        <v>617</v>
      </c>
      <c r="F76" s="1485" t="s">
        <v>211</v>
      </c>
      <c r="G76" s="1492"/>
      <c r="H76" s="1492"/>
      <c r="I76" s="1499">
        <v>0</v>
      </c>
      <c r="J76" s="1487"/>
      <c r="K76" s="1487"/>
      <c r="L76" s="1508" t="e">
        <v>#N/A</v>
      </c>
      <c r="M76" s="1508" t="e">
        <v>#N/A</v>
      </c>
      <c r="N76" s="1553" t="e">
        <v>#DIV/0!</v>
      </c>
      <c r="O76" s="1553" t="e">
        <v>#DIV/0!</v>
      </c>
      <c r="P76" s="1553" t="e">
        <v>#N/A</v>
      </c>
      <c r="Q76" s="1553" t="e">
        <v>#N/A</v>
      </c>
      <c r="R76" s="1553" t="e">
        <v>#N/A</v>
      </c>
      <c r="S76" s="1501">
        <v>0</v>
      </c>
      <c r="T76" s="1501">
        <v>0</v>
      </c>
      <c r="U76" s="1501">
        <v>0</v>
      </c>
      <c r="V76" s="1559" t="e">
        <v>#DIV/0!</v>
      </c>
      <c r="W76" s="1559" t="e">
        <v>#DIV/0!</v>
      </c>
      <c r="X76" s="1559" t="e">
        <v>#DIV/0!</v>
      </c>
    </row>
    <row r="77" spans="2:24" ht="13.8" x14ac:dyDescent="0.3">
      <c r="B77" s="1485"/>
      <c r="C77" s="1485" t="s">
        <v>217</v>
      </c>
      <c r="D77" s="1485">
        <v>0</v>
      </c>
      <c r="E77" s="1485" t="s">
        <v>617</v>
      </c>
      <c r="F77" s="1485" t="s">
        <v>211</v>
      </c>
      <c r="G77" s="1492"/>
      <c r="H77" s="1492"/>
      <c r="I77" s="1499">
        <v>0</v>
      </c>
      <c r="J77" s="1487"/>
      <c r="K77" s="1487"/>
      <c r="L77" s="1508" t="e">
        <v>#N/A</v>
      </c>
      <c r="M77" s="1508" t="e">
        <v>#N/A</v>
      </c>
      <c r="N77" s="1553" t="e">
        <v>#DIV/0!</v>
      </c>
      <c r="O77" s="1553" t="e">
        <v>#DIV/0!</v>
      </c>
      <c r="P77" s="1553" t="e">
        <v>#N/A</v>
      </c>
      <c r="Q77" s="1553" t="e">
        <v>#N/A</v>
      </c>
      <c r="R77" s="1553" t="e">
        <v>#N/A</v>
      </c>
      <c r="S77" s="1501">
        <v>0</v>
      </c>
      <c r="T77" s="1501">
        <v>0</v>
      </c>
      <c r="U77" s="1501">
        <v>0</v>
      </c>
      <c r="V77" s="1559" t="e">
        <v>#DIV/0!</v>
      </c>
      <c r="W77" s="1559" t="e">
        <v>#DIV/0!</v>
      </c>
      <c r="X77" s="1559" t="e">
        <v>#DIV/0!</v>
      </c>
    </row>
    <row r="78" spans="2:24" ht="13.8" x14ac:dyDescent="0.3">
      <c r="B78" s="1485"/>
      <c r="C78" s="1485" t="s">
        <v>218</v>
      </c>
      <c r="D78" s="1487">
        <v>0</v>
      </c>
      <c r="E78" s="1485" t="s">
        <v>617</v>
      </c>
      <c r="F78" s="1485" t="s">
        <v>211</v>
      </c>
      <c r="G78" s="1492"/>
      <c r="H78" s="1492"/>
      <c r="I78" s="1499">
        <v>0</v>
      </c>
      <c r="J78" s="1487"/>
      <c r="K78" s="1487"/>
      <c r="L78" s="1508" t="e">
        <v>#N/A</v>
      </c>
      <c r="M78" s="1508" t="e">
        <v>#N/A</v>
      </c>
      <c r="N78" s="1553" t="e">
        <v>#DIV/0!</v>
      </c>
      <c r="O78" s="1553" t="e">
        <v>#DIV/0!</v>
      </c>
      <c r="P78" s="1553" t="e">
        <v>#N/A</v>
      </c>
      <c r="Q78" s="1553" t="e">
        <v>#N/A</v>
      </c>
      <c r="R78" s="1553" t="e">
        <v>#N/A</v>
      </c>
      <c r="S78" s="1501">
        <v>0</v>
      </c>
      <c r="T78" s="1501">
        <v>0</v>
      </c>
      <c r="U78" s="1501">
        <v>0</v>
      </c>
      <c r="V78" s="1559" t="e">
        <v>#DIV/0!</v>
      </c>
      <c r="W78" s="1559" t="e">
        <v>#DIV/0!</v>
      </c>
      <c r="X78" s="1559" t="e">
        <v>#DIV/0!</v>
      </c>
    </row>
    <row r="79" spans="2:24" ht="13.8" x14ac:dyDescent="0.3">
      <c r="B79" s="1485"/>
      <c r="C79" s="1485" t="s">
        <v>219</v>
      </c>
      <c r="D79" s="1485">
        <v>0</v>
      </c>
      <c r="E79" s="1485" t="s">
        <v>617</v>
      </c>
      <c r="F79" s="1485" t="s">
        <v>211</v>
      </c>
      <c r="G79" s="1492"/>
      <c r="H79" s="1492"/>
      <c r="I79" s="1499">
        <v>0</v>
      </c>
      <c r="J79" s="1487"/>
      <c r="K79" s="1487"/>
      <c r="L79" s="1508" t="e">
        <v>#N/A</v>
      </c>
      <c r="M79" s="1508" t="e">
        <v>#N/A</v>
      </c>
      <c r="N79" s="1553" t="e">
        <v>#DIV/0!</v>
      </c>
      <c r="O79" s="1553" t="e">
        <v>#DIV/0!</v>
      </c>
      <c r="P79" s="1553" t="e">
        <v>#N/A</v>
      </c>
      <c r="Q79" s="1553" t="e">
        <v>#N/A</v>
      </c>
      <c r="R79" s="1553" t="e">
        <v>#N/A</v>
      </c>
      <c r="S79" s="1501">
        <v>0</v>
      </c>
      <c r="T79" s="1501">
        <v>0</v>
      </c>
      <c r="U79" s="1501">
        <v>0</v>
      </c>
      <c r="V79" s="1559" t="e">
        <v>#DIV/0!</v>
      </c>
      <c r="W79" s="1559" t="e">
        <v>#DIV/0!</v>
      </c>
      <c r="X79" s="1559" t="e">
        <v>#DIV/0!</v>
      </c>
    </row>
    <row r="80" spans="2:24" ht="13.8" x14ac:dyDescent="0.3">
      <c r="B80" s="1485"/>
      <c r="C80" s="1485" t="s">
        <v>220</v>
      </c>
      <c r="D80" s="1487">
        <v>0</v>
      </c>
      <c r="E80" s="1485" t="s">
        <v>617</v>
      </c>
      <c r="F80" s="1485" t="s">
        <v>211</v>
      </c>
      <c r="G80" s="1492"/>
      <c r="H80" s="1492"/>
      <c r="I80" s="1499">
        <v>0</v>
      </c>
      <c r="J80" s="1487"/>
      <c r="K80" s="1487"/>
      <c r="L80" s="1508" t="e">
        <v>#N/A</v>
      </c>
      <c r="M80" s="1508" t="e">
        <v>#N/A</v>
      </c>
      <c r="N80" s="1553" t="e">
        <v>#DIV/0!</v>
      </c>
      <c r="O80" s="1553" t="e">
        <v>#DIV/0!</v>
      </c>
      <c r="P80" s="1553" t="e">
        <v>#N/A</v>
      </c>
      <c r="Q80" s="1553" t="e">
        <v>#N/A</v>
      </c>
      <c r="R80" s="1553" t="e">
        <v>#N/A</v>
      </c>
      <c r="S80" s="1501">
        <v>0</v>
      </c>
      <c r="T80" s="1501">
        <v>0</v>
      </c>
      <c r="U80" s="1501">
        <v>0</v>
      </c>
      <c r="V80" s="1559" t="e">
        <v>#DIV/0!</v>
      </c>
      <c r="W80" s="1559" t="e">
        <v>#DIV/0!</v>
      </c>
      <c r="X80" s="1559" t="e">
        <v>#DIV/0!</v>
      </c>
    </row>
    <row r="81" spans="2:24" ht="13.8" x14ac:dyDescent="0.3">
      <c r="B81" s="1485"/>
      <c r="C81" s="1485" t="s">
        <v>221</v>
      </c>
      <c r="D81" s="1485">
        <v>0</v>
      </c>
      <c r="E81" s="1485" t="s">
        <v>617</v>
      </c>
      <c r="F81" s="1485" t="s">
        <v>211</v>
      </c>
      <c r="G81" s="1492"/>
      <c r="H81" s="1492"/>
      <c r="I81" s="1499">
        <v>0</v>
      </c>
      <c r="J81" s="1487"/>
      <c r="K81" s="1487"/>
      <c r="L81" s="1508" t="e">
        <v>#N/A</v>
      </c>
      <c r="M81" s="1508" t="e">
        <v>#N/A</v>
      </c>
      <c r="N81" s="1553" t="e">
        <v>#DIV/0!</v>
      </c>
      <c r="O81" s="1553" t="e">
        <v>#DIV/0!</v>
      </c>
      <c r="P81" s="1553" t="e">
        <v>#N/A</v>
      </c>
      <c r="Q81" s="1553" t="e">
        <v>#N/A</v>
      </c>
      <c r="R81" s="1553" t="e">
        <v>#N/A</v>
      </c>
      <c r="S81" s="1501">
        <v>0</v>
      </c>
      <c r="T81" s="1501">
        <v>0</v>
      </c>
      <c r="U81" s="1501">
        <v>0</v>
      </c>
      <c r="V81" s="1559" t="e">
        <v>#DIV/0!</v>
      </c>
      <c r="W81" s="1559" t="e">
        <v>#DIV/0!</v>
      </c>
      <c r="X81" s="1559" t="e">
        <v>#DIV/0!</v>
      </c>
    </row>
    <row r="82" spans="2:24" ht="13.8" x14ac:dyDescent="0.3">
      <c r="B82" s="1485"/>
      <c r="C82" s="1485" t="s">
        <v>222</v>
      </c>
      <c r="D82" s="1487">
        <v>0</v>
      </c>
      <c r="E82" s="1485" t="s">
        <v>617</v>
      </c>
      <c r="F82" s="1485" t="s">
        <v>211</v>
      </c>
      <c r="G82" s="1492"/>
      <c r="H82" s="1492"/>
      <c r="I82" s="1499">
        <v>0</v>
      </c>
      <c r="J82" s="1487"/>
      <c r="K82" s="1487"/>
      <c r="L82" s="1508" t="e">
        <v>#N/A</v>
      </c>
      <c r="M82" s="1508" t="e">
        <v>#N/A</v>
      </c>
      <c r="N82" s="1553" t="e">
        <v>#DIV/0!</v>
      </c>
      <c r="O82" s="1553" t="e">
        <v>#DIV/0!</v>
      </c>
      <c r="P82" s="1553" t="e">
        <v>#N/A</v>
      </c>
      <c r="Q82" s="1553" t="e">
        <v>#N/A</v>
      </c>
      <c r="R82" s="1553" t="e">
        <v>#N/A</v>
      </c>
      <c r="S82" s="1501">
        <v>0</v>
      </c>
      <c r="T82" s="1501">
        <v>0</v>
      </c>
      <c r="U82" s="1501">
        <v>0</v>
      </c>
      <c r="V82" s="1559" t="e">
        <v>#DIV/0!</v>
      </c>
      <c r="W82" s="1559" t="e">
        <v>#DIV/0!</v>
      </c>
      <c r="X82" s="1559" t="e">
        <v>#DIV/0!</v>
      </c>
    </row>
    <row r="83" spans="2:24" ht="13.8" x14ac:dyDescent="0.3">
      <c r="B83" s="1485"/>
      <c r="C83" s="1485" t="s">
        <v>223</v>
      </c>
      <c r="D83" s="1485">
        <v>0</v>
      </c>
      <c r="E83" s="1485" t="s">
        <v>617</v>
      </c>
      <c r="F83" s="1485" t="s">
        <v>211</v>
      </c>
      <c r="G83" s="1492"/>
      <c r="H83" s="1492"/>
      <c r="I83" s="1499">
        <v>0</v>
      </c>
      <c r="J83" s="1487"/>
      <c r="K83" s="1487"/>
      <c r="L83" s="1508" t="e">
        <v>#REF!</v>
      </c>
      <c r="M83" s="1508" t="e">
        <v>#REF!</v>
      </c>
      <c r="N83" s="1553" t="e">
        <v>#DIV/0!</v>
      </c>
      <c r="O83" s="1553" t="e">
        <v>#DIV/0!</v>
      </c>
      <c r="P83" s="1553" t="e">
        <v>#REF!</v>
      </c>
      <c r="Q83" s="1553" t="e">
        <v>#REF!</v>
      </c>
      <c r="R83" s="1553" t="e">
        <v>#N/A</v>
      </c>
      <c r="S83" s="1501">
        <v>0</v>
      </c>
      <c r="T83" s="1501">
        <v>0</v>
      </c>
      <c r="U83" s="1501">
        <v>0</v>
      </c>
      <c r="V83" s="1559" t="e">
        <v>#DIV/0!</v>
      </c>
      <c r="W83" s="1559" t="e">
        <v>#DIV/0!</v>
      </c>
      <c r="X83" s="1559" t="e">
        <v>#DIV/0!</v>
      </c>
    </row>
    <row r="84" spans="2:24" ht="13.8" x14ac:dyDescent="0.3">
      <c r="B84" s="1485"/>
      <c r="C84" s="1485" t="s">
        <v>224</v>
      </c>
      <c r="D84" s="1487">
        <v>0</v>
      </c>
      <c r="E84" s="1485" t="s">
        <v>617</v>
      </c>
      <c r="F84" s="1485" t="s">
        <v>211</v>
      </c>
      <c r="G84" s="1492"/>
      <c r="H84" s="1492"/>
      <c r="I84" s="1499">
        <v>0</v>
      </c>
      <c r="J84" s="1487"/>
      <c r="K84" s="1487"/>
      <c r="L84" s="1508" t="e">
        <v>#REF!</v>
      </c>
      <c r="M84" s="1508" t="e">
        <v>#REF!</v>
      </c>
      <c r="N84" s="1553" t="e">
        <v>#DIV/0!</v>
      </c>
      <c r="O84" s="1553" t="e">
        <v>#DIV/0!</v>
      </c>
      <c r="P84" s="1553" t="e">
        <v>#REF!</v>
      </c>
      <c r="Q84" s="1553" t="e">
        <v>#REF!</v>
      </c>
      <c r="R84" s="1553" t="e">
        <v>#N/A</v>
      </c>
      <c r="S84" s="1501">
        <v>0</v>
      </c>
      <c r="T84" s="1501">
        <v>0</v>
      </c>
      <c r="U84" s="1501">
        <v>0</v>
      </c>
      <c r="V84" s="1559" t="e">
        <v>#DIV/0!</v>
      </c>
      <c r="W84" s="1559" t="e">
        <v>#DIV/0!</v>
      </c>
      <c r="X84" s="1559" t="e">
        <v>#DIV/0!</v>
      </c>
    </row>
    <row r="85" spans="2:24" ht="13.8" x14ac:dyDescent="0.3">
      <c r="B85" s="1485"/>
      <c r="C85" s="1485" t="s">
        <v>225</v>
      </c>
      <c r="D85" s="1485">
        <v>0</v>
      </c>
      <c r="E85" s="1485" t="s">
        <v>617</v>
      </c>
      <c r="F85" s="1485" t="s">
        <v>211</v>
      </c>
      <c r="G85" s="1492"/>
      <c r="H85" s="1492"/>
      <c r="I85" s="1499">
        <v>0</v>
      </c>
      <c r="J85" s="1487"/>
      <c r="K85" s="1487"/>
      <c r="L85" s="1508" t="e">
        <v>#REF!</v>
      </c>
      <c r="M85" s="1508" t="e">
        <v>#REF!</v>
      </c>
      <c r="N85" s="1553" t="e">
        <v>#DIV/0!</v>
      </c>
      <c r="O85" s="1553" t="e">
        <v>#DIV/0!</v>
      </c>
      <c r="P85" s="1553" t="e">
        <v>#REF!</v>
      </c>
      <c r="Q85" s="1553" t="e">
        <v>#REF!</v>
      </c>
      <c r="R85" s="1553" t="e">
        <v>#N/A</v>
      </c>
      <c r="S85" s="1501">
        <v>0</v>
      </c>
      <c r="T85" s="1501">
        <v>0</v>
      </c>
      <c r="U85" s="1501">
        <v>0</v>
      </c>
      <c r="V85" s="1559" t="e">
        <v>#DIV/0!</v>
      </c>
      <c r="W85" s="1559" t="e">
        <v>#DIV/0!</v>
      </c>
      <c r="X85" s="1559" t="e">
        <v>#DIV/0!</v>
      </c>
    </row>
    <row r="86" spans="2:24" ht="13.8" x14ac:dyDescent="0.3">
      <c r="B86" s="1485"/>
      <c r="C86" s="1485" t="s">
        <v>226</v>
      </c>
      <c r="D86" s="1487">
        <v>0</v>
      </c>
      <c r="E86" s="1485" t="s">
        <v>617</v>
      </c>
      <c r="F86" s="1485" t="s">
        <v>211</v>
      </c>
      <c r="G86" s="1492"/>
      <c r="H86" s="1492"/>
      <c r="I86" s="1499">
        <v>0</v>
      </c>
      <c r="J86" s="1487"/>
      <c r="K86" s="1487"/>
      <c r="L86" s="1508" t="e">
        <v>#REF!</v>
      </c>
      <c r="M86" s="1508" t="e">
        <v>#REF!</v>
      </c>
      <c r="N86" s="1553" t="e">
        <v>#DIV/0!</v>
      </c>
      <c r="O86" s="1553" t="e">
        <v>#DIV/0!</v>
      </c>
      <c r="P86" s="1553" t="e">
        <v>#REF!</v>
      </c>
      <c r="Q86" s="1553" t="e">
        <v>#REF!</v>
      </c>
      <c r="R86" s="1553" t="e">
        <v>#N/A</v>
      </c>
      <c r="S86" s="1501">
        <v>0</v>
      </c>
      <c r="T86" s="1501">
        <v>0</v>
      </c>
      <c r="U86" s="1501">
        <v>0</v>
      </c>
    </row>
    <row r="87" spans="2:24" ht="13.8" x14ac:dyDescent="0.3">
      <c r="B87" s="1485"/>
      <c r="C87" s="1485" t="s">
        <v>227</v>
      </c>
      <c r="D87" s="1485">
        <v>0</v>
      </c>
      <c r="E87" s="1485" t="s">
        <v>617</v>
      </c>
      <c r="F87" s="1485" t="s">
        <v>211</v>
      </c>
      <c r="G87" s="1492"/>
      <c r="H87" s="1492"/>
      <c r="I87" s="1499">
        <v>0</v>
      </c>
      <c r="J87" s="1487"/>
      <c r="K87" s="1487"/>
      <c r="L87" s="1508" t="e">
        <v>#REF!</v>
      </c>
      <c r="M87" s="1508" t="e">
        <v>#REF!</v>
      </c>
      <c r="N87" s="1553" t="e">
        <v>#DIV/0!</v>
      </c>
      <c r="O87" s="1553" t="e">
        <v>#DIV/0!</v>
      </c>
      <c r="P87" s="1553" t="e">
        <v>#REF!</v>
      </c>
      <c r="Q87" s="1553" t="e">
        <v>#REF!</v>
      </c>
      <c r="R87" s="1553" t="e">
        <v>#N/A</v>
      </c>
      <c r="S87" s="1501">
        <v>0</v>
      </c>
      <c r="T87" s="1501">
        <v>0</v>
      </c>
      <c r="U87" s="1501">
        <v>0</v>
      </c>
    </row>
    <row r="88" spans="2:24" ht="13.8" x14ac:dyDescent="0.3">
      <c r="B88" s="1485"/>
      <c r="C88" s="1485" t="s">
        <v>228</v>
      </c>
      <c r="D88" s="1485">
        <v>0</v>
      </c>
      <c r="E88" s="1485" t="s">
        <v>617</v>
      </c>
      <c r="F88" s="1485" t="s">
        <v>211</v>
      </c>
      <c r="G88" s="1492"/>
      <c r="H88" s="1492"/>
      <c r="I88" s="1499">
        <v>0</v>
      </c>
      <c r="J88" s="1487"/>
      <c r="K88" s="1487"/>
      <c r="L88" s="1508" t="e">
        <v>#REF!</v>
      </c>
      <c r="M88" s="1508" t="e">
        <v>#REF!</v>
      </c>
      <c r="N88" s="1553" t="e">
        <v>#DIV/0!</v>
      </c>
      <c r="O88" s="1553" t="e">
        <v>#DIV/0!</v>
      </c>
      <c r="P88" s="1553" t="e">
        <v>#REF!</v>
      </c>
      <c r="Q88" s="1553" t="e">
        <v>#REF!</v>
      </c>
      <c r="R88" s="1553" t="e">
        <v>#N/A</v>
      </c>
      <c r="S88" s="1501">
        <v>0</v>
      </c>
      <c r="T88" s="1501">
        <v>0</v>
      </c>
      <c r="U88" s="1501">
        <v>0</v>
      </c>
    </row>
    <row r="89" spans="2:24" ht="13.8" x14ac:dyDescent="0.3">
      <c r="B89" s="1485"/>
      <c r="C89" s="1485" t="s">
        <v>229</v>
      </c>
      <c r="D89" s="1485">
        <v>0</v>
      </c>
      <c r="E89" s="1485" t="s">
        <v>617</v>
      </c>
      <c r="F89" s="1485" t="s">
        <v>211</v>
      </c>
      <c r="G89" s="1492"/>
      <c r="H89" s="1492"/>
      <c r="I89" s="1499">
        <v>0</v>
      </c>
      <c r="J89" s="1487"/>
      <c r="K89" s="1487"/>
      <c r="L89" s="1508" t="e">
        <v>#REF!</v>
      </c>
      <c r="M89" s="1508" t="e">
        <v>#REF!</v>
      </c>
      <c r="N89" s="1553" t="e">
        <v>#DIV/0!</v>
      </c>
      <c r="O89" s="1553" t="e">
        <v>#DIV/0!</v>
      </c>
      <c r="P89" s="1553" t="e">
        <v>#REF!</v>
      </c>
      <c r="Q89" s="1553" t="e">
        <v>#REF!</v>
      </c>
      <c r="R89" s="1553" t="e">
        <v>#N/A</v>
      </c>
      <c r="S89" s="1501">
        <v>0</v>
      </c>
      <c r="T89" s="1501">
        <v>0</v>
      </c>
      <c r="U89" s="1501">
        <v>0</v>
      </c>
    </row>
    <row r="90" spans="2:24" ht="13.8" x14ac:dyDescent="0.3">
      <c r="B90" s="1485"/>
      <c r="C90" s="1485" t="s">
        <v>230</v>
      </c>
      <c r="D90" s="1526">
        <v>0</v>
      </c>
      <c r="E90" s="1485" t="s">
        <v>617</v>
      </c>
      <c r="F90" s="1485" t="s">
        <v>211</v>
      </c>
      <c r="G90" s="1492"/>
      <c r="H90" s="1492"/>
      <c r="I90" s="1499">
        <v>0</v>
      </c>
      <c r="J90" s="1487"/>
      <c r="K90" s="1487"/>
      <c r="L90" s="1508" t="e">
        <v>#REF!</v>
      </c>
      <c r="M90" s="1508" t="e">
        <v>#REF!</v>
      </c>
      <c r="N90" s="1553" t="e">
        <v>#DIV/0!</v>
      </c>
      <c r="O90" s="1553" t="e">
        <v>#DIV/0!</v>
      </c>
      <c r="P90" s="1553" t="e">
        <v>#REF!</v>
      </c>
      <c r="Q90" s="1553" t="e">
        <v>#REF!</v>
      </c>
      <c r="R90" s="1553" t="e">
        <v>#N/A</v>
      </c>
      <c r="S90" s="1501">
        <v>0</v>
      </c>
      <c r="T90" s="1501">
        <v>0</v>
      </c>
      <c r="U90" s="1501">
        <v>0</v>
      </c>
    </row>
    <row r="91" spans="2:24" ht="13.8" x14ac:dyDescent="0.3">
      <c r="B91" s="1485"/>
      <c r="C91" s="1485" t="s">
        <v>231</v>
      </c>
      <c r="D91" s="1526">
        <v>0</v>
      </c>
      <c r="E91" s="1485" t="s">
        <v>617</v>
      </c>
      <c r="F91" s="1485" t="s">
        <v>211</v>
      </c>
      <c r="G91" s="1492"/>
      <c r="H91" s="1492"/>
      <c r="I91" s="1499">
        <v>0</v>
      </c>
      <c r="J91" s="1487"/>
      <c r="K91" s="1487"/>
      <c r="L91" s="1508" t="e">
        <v>#REF!</v>
      </c>
      <c r="M91" s="1508" t="e">
        <v>#REF!</v>
      </c>
      <c r="N91" s="1553" t="e">
        <v>#DIV/0!</v>
      </c>
      <c r="O91" s="1553" t="e">
        <v>#DIV/0!</v>
      </c>
      <c r="P91" s="1553" t="e">
        <v>#REF!</v>
      </c>
      <c r="Q91" s="1553" t="e">
        <v>#REF!</v>
      </c>
      <c r="R91" s="1553" t="e">
        <v>#N/A</v>
      </c>
      <c r="S91" s="1501">
        <v>0</v>
      </c>
      <c r="T91" s="1501">
        <v>0</v>
      </c>
      <c r="U91" s="1501">
        <v>0</v>
      </c>
    </row>
    <row r="92" spans="2:24" ht="13.8" x14ac:dyDescent="0.3">
      <c r="B92" s="1485"/>
      <c r="C92" s="1485" t="s">
        <v>232</v>
      </c>
      <c r="D92" s="1526">
        <v>0</v>
      </c>
      <c r="E92" s="1485" t="s">
        <v>617</v>
      </c>
      <c r="F92" s="1485" t="s">
        <v>211</v>
      </c>
      <c r="G92" s="1492"/>
      <c r="H92" s="1492"/>
      <c r="I92" s="1499">
        <v>0</v>
      </c>
      <c r="J92" s="1487"/>
      <c r="K92" s="1487"/>
      <c r="L92" s="1508" t="e">
        <v>#REF!</v>
      </c>
      <c r="M92" s="1508" t="e">
        <v>#REF!</v>
      </c>
      <c r="N92" s="1553" t="e">
        <v>#DIV/0!</v>
      </c>
      <c r="O92" s="1553" t="e">
        <v>#DIV/0!</v>
      </c>
      <c r="P92" s="1553" t="e">
        <v>#REF!</v>
      </c>
      <c r="Q92" s="1553" t="e">
        <v>#REF!</v>
      </c>
      <c r="R92" s="1553" t="e">
        <v>#N/A</v>
      </c>
      <c r="S92" s="1501">
        <v>0</v>
      </c>
      <c r="T92" s="1501">
        <v>0</v>
      </c>
      <c r="U92" s="1501">
        <v>0</v>
      </c>
    </row>
    <row r="93" spans="2:24" ht="13.8" x14ac:dyDescent="0.3">
      <c r="B93" s="1485"/>
      <c r="C93" s="1485" t="s">
        <v>233</v>
      </c>
      <c r="D93" s="1526">
        <v>0</v>
      </c>
      <c r="E93" s="1485" t="s">
        <v>617</v>
      </c>
      <c r="F93" s="1485" t="s">
        <v>211</v>
      </c>
      <c r="G93" s="1492"/>
      <c r="H93" s="1492"/>
      <c r="I93" s="1499">
        <v>0</v>
      </c>
      <c r="J93" s="1487"/>
      <c r="K93" s="1487"/>
      <c r="L93" s="1508" t="e">
        <v>#REF!</v>
      </c>
      <c r="M93" s="1508" t="e">
        <v>#REF!</v>
      </c>
      <c r="N93" s="1553" t="e">
        <v>#DIV/0!</v>
      </c>
      <c r="O93" s="1553" t="e">
        <v>#DIV/0!</v>
      </c>
      <c r="P93" s="1553" t="e">
        <v>#REF!</v>
      </c>
      <c r="Q93" s="1553" t="e">
        <v>#REF!</v>
      </c>
      <c r="R93" s="1553" t="e">
        <v>#N/A</v>
      </c>
      <c r="S93" s="1501">
        <v>0</v>
      </c>
      <c r="T93" s="1501">
        <v>0</v>
      </c>
      <c r="U93" s="1501">
        <v>0</v>
      </c>
    </row>
    <row r="94" spans="2:24" ht="13.8" x14ac:dyDescent="0.3">
      <c r="B94" s="1485"/>
      <c r="C94" s="1485" t="s">
        <v>234</v>
      </c>
      <c r="D94" s="1526">
        <v>0</v>
      </c>
      <c r="E94" s="1485" t="s">
        <v>617</v>
      </c>
      <c r="F94" s="1485" t="s">
        <v>211</v>
      </c>
      <c r="G94" s="1492"/>
      <c r="H94" s="1492"/>
      <c r="I94" s="1499">
        <v>0</v>
      </c>
      <c r="J94" s="1487"/>
      <c r="K94" s="1487"/>
      <c r="L94" s="1508" t="e">
        <v>#REF!</v>
      </c>
      <c r="M94" s="1508" t="e">
        <v>#REF!</v>
      </c>
      <c r="N94" s="1553" t="e">
        <v>#DIV/0!</v>
      </c>
      <c r="O94" s="1553" t="e">
        <v>#DIV/0!</v>
      </c>
      <c r="P94" s="1553" t="e">
        <v>#REF!</v>
      </c>
      <c r="Q94" s="1553" t="e">
        <v>#REF!</v>
      </c>
      <c r="R94" s="1553" t="e">
        <v>#N/A</v>
      </c>
      <c r="S94" s="1501">
        <v>0</v>
      </c>
      <c r="T94" s="1501">
        <v>0</v>
      </c>
      <c r="U94" s="1501">
        <v>0</v>
      </c>
    </row>
    <row r="95" spans="2:24" ht="13.8" x14ac:dyDescent="0.3">
      <c r="B95" s="1485"/>
      <c r="C95" s="1485" t="s">
        <v>235</v>
      </c>
      <c r="D95" s="1526">
        <v>0</v>
      </c>
      <c r="E95" s="1485" t="s">
        <v>617</v>
      </c>
      <c r="F95" s="1485" t="s">
        <v>211</v>
      </c>
      <c r="G95" s="1492"/>
      <c r="H95" s="1492"/>
      <c r="I95" s="1499">
        <v>0</v>
      </c>
      <c r="J95" s="1487"/>
      <c r="K95" s="1487"/>
      <c r="L95" s="1508" t="e">
        <v>#REF!</v>
      </c>
      <c r="M95" s="1508" t="e">
        <v>#REF!</v>
      </c>
      <c r="N95" s="1553" t="e">
        <v>#DIV/0!</v>
      </c>
      <c r="O95" s="1553" t="e">
        <v>#DIV/0!</v>
      </c>
      <c r="P95" s="1553" t="e">
        <v>#REF!</v>
      </c>
      <c r="Q95" s="1553" t="e">
        <v>#REF!</v>
      </c>
      <c r="R95" s="1553" t="e">
        <v>#N/A</v>
      </c>
      <c r="S95" s="1501">
        <v>0</v>
      </c>
      <c r="T95" s="1501">
        <v>0</v>
      </c>
      <c r="U95" s="1501">
        <v>0</v>
      </c>
    </row>
    <row r="96" spans="2:24" ht="13.8" x14ac:dyDescent="0.3">
      <c r="B96" s="1485"/>
      <c r="C96" s="1485" t="s">
        <v>236</v>
      </c>
      <c r="D96" s="1526">
        <v>0</v>
      </c>
      <c r="E96" s="1485" t="s">
        <v>617</v>
      </c>
      <c r="F96" s="1485" t="s">
        <v>211</v>
      </c>
      <c r="G96" s="1492"/>
      <c r="H96" s="1492"/>
      <c r="I96" s="1499">
        <v>0</v>
      </c>
      <c r="J96" s="1487"/>
      <c r="K96" s="1487"/>
      <c r="L96" s="1508" t="e">
        <v>#REF!</v>
      </c>
      <c r="M96" s="1508" t="e">
        <v>#REF!</v>
      </c>
      <c r="N96" s="1553" t="e">
        <v>#DIV/0!</v>
      </c>
      <c r="O96" s="1553" t="e">
        <v>#DIV/0!</v>
      </c>
      <c r="P96" s="1553" t="e">
        <v>#REF!</v>
      </c>
      <c r="Q96" s="1553" t="e">
        <v>#REF!</v>
      </c>
      <c r="R96" s="1553" t="e">
        <v>#N/A</v>
      </c>
      <c r="S96" s="1501">
        <v>0</v>
      </c>
      <c r="T96" s="1501">
        <v>0</v>
      </c>
      <c r="U96" s="1501">
        <v>0</v>
      </c>
    </row>
    <row r="97" spans="2:21" ht="13.8" x14ac:dyDescent="0.3">
      <c r="B97" s="1485"/>
      <c r="C97" s="1485" t="s">
        <v>237</v>
      </c>
      <c r="D97" s="1526">
        <v>0</v>
      </c>
      <c r="E97" s="1485" t="s">
        <v>617</v>
      </c>
      <c r="F97" s="1485" t="s">
        <v>211</v>
      </c>
      <c r="G97" s="1492"/>
      <c r="H97" s="1492"/>
      <c r="I97" s="1499">
        <v>0</v>
      </c>
      <c r="J97" s="1487"/>
      <c r="K97" s="1487"/>
      <c r="L97" s="1508" t="e">
        <v>#REF!</v>
      </c>
      <c r="M97" s="1508" t="e">
        <v>#REF!</v>
      </c>
      <c r="N97" s="1553" t="e">
        <v>#DIV/0!</v>
      </c>
      <c r="O97" s="1553" t="e">
        <v>#DIV/0!</v>
      </c>
      <c r="P97" s="1553" t="e">
        <v>#REF!</v>
      </c>
      <c r="Q97" s="1553" t="e">
        <v>#REF!</v>
      </c>
      <c r="R97" s="1553" t="e">
        <v>#N/A</v>
      </c>
      <c r="S97" s="1501">
        <v>0</v>
      </c>
      <c r="T97" s="1501">
        <v>0</v>
      </c>
      <c r="U97" s="1501">
        <v>0</v>
      </c>
    </row>
    <row r="98" spans="2:21" ht="13.8" x14ac:dyDescent="0.3">
      <c r="B98" s="1485"/>
      <c r="C98" s="1485" t="s">
        <v>238</v>
      </c>
      <c r="D98" s="1526">
        <v>0</v>
      </c>
      <c r="E98" s="1485" t="s">
        <v>617</v>
      </c>
      <c r="F98" s="1485" t="s">
        <v>211</v>
      </c>
      <c r="G98" s="1492"/>
      <c r="H98" s="1492"/>
      <c r="I98" s="1499">
        <v>0</v>
      </c>
      <c r="J98" s="1487"/>
      <c r="K98" s="1487"/>
      <c r="L98" s="1508" t="e">
        <v>#REF!</v>
      </c>
      <c r="M98" s="1508" t="e">
        <v>#REF!</v>
      </c>
      <c r="N98" s="1553" t="e">
        <v>#DIV/0!</v>
      </c>
      <c r="O98" s="1553" t="e">
        <v>#DIV/0!</v>
      </c>
      <c r="P98" s="1553" t="e">
        <v>#REF!</v>
      </c>
      <c r="Q98" s="1553" t="e">
        <v>#REF!</v>
      </c>
      <c r="R98" s="1553" t="e">
        <v>#N/A</v>
      </c>
      <c r="S98" s="1501">
        <v>0</v>
      </c>
      <c r="T98" s="1501">
        <v>0</v>
      </c>
      <c r="U98" s="1501">
        <v>0</v>
      </c>
    </row>
    <row r="99" spans="2:21" ht="13.8" x14ac:dyDescent="0.3">
      <c r="B99" s="1485"/>
      <c r="C99" s="1485" t="s">
        <v>239</v>
      </c>
      <c r="D99" s="1526">
        <v>0</v>
      </c>
      <c r="E99" s="1485" t="s">
        <v>617</v>
      </c>
      <c r="F99" s="1485" t="s">
        <v>211</v>
      </c>
      <c r="G99" s="1492"/>
      <c r="H99" s="1492"/>
      <c r="I99" s="1499">
        <v>0</v>
      </c>
      <c r="J99" s="1487"/>
      <c r="K99" s="1487"/>
      <c r="L99" s="1508" t="e">
        <v>#REF!</v>
      </c>
      <c r="M99" s="1508" t="e">
        <v>#REF!</v>
      </c>
      <c r="N99" s="1553" t="e">
        <v>#DIV/0!</v>
      </c>
      <c r="O99" s="1553" t="e">
        <v>#DIV/0!</v>
      </c>
      <c r="P99" s="1553" t="e">
        <v>#REF!</v>
      </c>
      <c r="Q99" s="1553" t="e">
        <v>#REF!</v>
      </c>
      <c r="R99" s="1553" t="e">
        <v>#N/A</v>
      </c>
      <c r="S99" s="1501">
        <v>0</v>
      </c>
      <c r="T99" s="1501">
        <v>0</v>
      </c>
      <c r="U99" s="1501">
        <v>0</v>
      </c>
    </row>
    <row r="100" spans="2:21" ht="13.8" x14ac:dyDescent="0.3">
      <c r="B100" s="1485"/>
      <c r="C100" s="1485" t="s">
        <v>240</v>
      </c>
      <c r="D100" s="1526">
        <v>0</v>
      </c>
      <c r="E100" s="1485" t="s">
        <v>617</v>
      </c>
      <c r="F100" s="1485" t="s">
        <v>211</v>
      </c>
      <c r="G100" s="1492"/>
      <c r="H100" s="1492"/>
      <c r="I100" s="1499">
        <v>0</v>
      </c>
      <c r="J100" s="1487"/>
      <c r="K100" s="1487"/>
      <c r="L100" s="1508" t="e">
        <v>#REF!</v>
      </c>
      <c r="M100" s="1508" t="e">
        <v>#REF!</v>
      </c>
      <c r="N100" s="1553" t="e">
        <v>#DIV/0!</v>
      </c>
      <c r="O100" s="1553" t="e">
        <v>#DIV/0!</v>
      </c>
      <c r="P100" s="1553" t="e">
        <v>#REF!</v>
      </c>
      <c r="Q100" s="1553" t="e">
        <v>#REF!</v>
      </c>
      <c r="R100" s="1553" t="e">
        <v>#N/A</v>
      </c>
      <c r="S100" s="1501">
        <v>0</v>
      </c>
      <c r="T100" s="1501">
        <v>0</v>
      </c>
      <c r="U100" s="1501">
        <v>0</v>
      </c>
    </row>
    <row r="101" spans="2:21" ht="13.8" x14ac:dyDescent="0.3">
      <c r="B101" s="1485"/>
      <c r="C101" s="1485" t="s">
        <v>241</v>
      </c>
      <c r="D101" s="1526">
        <v>0</v>
      </c>
      <c r="E101" s="1485" t="s">
        <v>617</v>
      </c>
      <c r="F101" s="1485" t="s">
        <v>211</v>
      </c>
      <c r="G101" s="1492"/>
      <c r="H101" s="1492"/>
      <c r="I101" s="1499">
        <v>0</v>
      </c>
      <c r="J101" s="1487"/>
      <c r="K101" s="1487"/>
      <c r="L101" s="1508" t="e">
        <v>#REF!</v>
      </c>
      <c r="M101" s="1508" t="e">
        <v>#REF!</v>
      </c>
      <c r="N101" s="1553" t="e">
        <v>#DIV/0!</v>
      </c>
      <c r="O101" s="1553" t="e">
        <v>#DIV/0!</v>
      </c>
      <c r="P101" s="1553" t="e">
        <v>#REF!</v>
      </c>
      <c r="Q101" s="1553" t="e">
        <v>#REF!</v>
      </c>
      <c r="R101" s="1553" t="e">
        <v>#N/A</v>
      </c>
      <c r="S101" s="1501">
        <v>0</v>
      </c>
      <c r="T101" s="1501">
        <v>0</v>
      </c>
      <c r="U101" s="1501">
        <v>0</v>
      </c>
    </row>
    <row r="102" spans="2:21" ht="13.8" x14ac:dyDescent="0.3">
      <c r="B102" s="1485"/>
      <c r="C102" s="1485" t="s">
        <v>242</v>
      </c>
      <c r="D102" s="1526">
        <v>0</v>
      </c>
      <c r="E102" s="1485" t="s">
        <v>617</v>
      </c>
      <c r="F102" s="1485" t="s">
        <v>211</v>
      </c>
      <c r="G102" s="1492"/>
      <c r="H102" s="1492"/>
      <c r="I102" s="1499">
        <v>0</v>
      </c>
      <c r="J102" s="1487"/>
      <c r="K102" s="1487"/>
      <c r="L102" s="1508" t="e">
        <v>#REF!</v>
      </c>
      <c r="M102" s="1508" t="e">
        <v>#REF!</v>
      </c>
      <c r="N102" s="1553" t="e">
        <v>#DIV/0!</v>
      </c>
      <c r="O102" s="1553" t="e">
        <v>#DIV/0!</v>
      </c>
      <c r="P102" s="1553" t="e">
        <v>#REF!</v>
      </c>
      <c r="Q102" s="1553" t="e">
        <v>#REF!</v>
      </c>
      <c r="R102" s="1553" t="e">
        <v>#N/A</v>
      </c>
      <c r="S102" s="1501">
        <v>0</v>
      </c>
      <c r="T102" s="1501">
        <v>0</v>
      </c>
      <c r="U102" s="1501">
        <v>0</v>
      </c>
    </row>
    <row r="103" spans="2:21" ht="13.8" x14ac:dyDescent="0.3">
      <c r="B103" s="1485"/>
      <c r="C103" s="1485" t="s">
        <v>243</v>
      </c>
      <c r="D103" s="1526">
        <v>0</v>
      </c>
      <c r="E103" s="1485" t="s">
        <v>617</v>
      </c>
      <c r="F103" s="1485" t="s">
        <v>211</v>
      </c>
      <c r="G103" s="1492"/>
      <c r="H103" s="1492"/>
      <c r="I103" s="1499">
        <v>0</v>
      </c>
      <c r="J103" s="1487"/>
      <c r="K103" s="1487"/>
      <c r="L103" s="1508" t="e">
        <v>#REF!</v>
      </c>
      <c r="M103" s="1508" t="e">
        <v>#REF!</v>
      </c>
      <c r="N103" s="1553" t="e">
        <v>#DIV/0!</v>
      </c>
      <c r="O103" s="1553" t="e">
        <v>#DIV/0!</v>
      </c>
      <c r="P103" s="1553" t="e">
        <v>#REF!</v>
      </c>
      <c r="Q103" s="1553" t="e">
        <v>#REF!</v>
      </c>
      <c r="R103" s="1553" t="e">
        <v>#N/A</v>
      </c>
      <c r="S103" s="1501">
        <v>0</v>
      </c>
      <c r="T103" s="1501">
        <v>0</v>
      </c>
      <c r="U103" s="1501">
        <v>0</v>
      </c>
    </row>
    <row r="104" spans="2:21" ht="13.8" x14ac:dyDescent="0.3">
      <c r="B104" s="1485"/>
      <c r="C104" s="1485" t="s">
        <v>244</v>
      </c>
      <c r="D104" s="1526">
        <v>0</v>
      </c>
      <c r="E104" s="1485" t="s">
        <v>617</v>
      </c>
      <c r="F104" s="1485" t="s">
        <v>211</v>
      </c>
      <c r="G104" s="1492"/>
      <c r="H104" s="1492"/>
      <c r="I104" s="1499">
        <v>0</v>
      </c>
      <c r="J104" s="1487"/>
      <c r="K104" s="1487"/>
      <c r="L104" s="1508" t="e">
        <v>#REF!</v>
      </c>
      <c r="M104" s="1508" t="e">
        <v>#REF!</v>
      </c>
      <c r="N104" s="1553" t="e">
        <v>#DIV/0!</v>
      </c>
      <c r="O104" s="1553" t="e">
        <v>#DIV/0!</v>
      </c>
      <c r="P104" s="1553" t="e">
        <v>#REF!</v>
      </c>
      <c r="Q104" s="1553" t="e">
        <v>#REF!</v>
      </c>
      <c r="R104" s="1553" t="e">
        <v>#N/A</v>
      </c>
      <c r="S104" s="1501">
        <v>0</v>
      </c>
      <c r="T104" s="1501">
        <v>0</v>
      </c>
      <c r="U104" s="1501">
        <v>0</v>
      </c>
    </row>
    <row r="105" spans="2:21" ht="13.8" x14ac:dyDescent="0.3">
      <c r="B105" s="1485"/>
      <c r="C105" s="1485" t="s">
        <v>245</v>
      </c>
      <c r="D105" s="1526">
        <v>0</v>
      </c>
      <c r="E105" s="1485" t="s">
        <v>617</v>
      </c>
      <c r="F105" s="1485" t="s">
        <v>211</v>
      </c>
      <c r="G105" s="1492"/>
      <c r="H105" s="1492"/>
      <c r="I105" s="1499">
        <v>0</v>
      </c>
      <c r="J105" s="1487"/>
      <c r="K105" s="1487"/>
      <c r="L105" s="1508" t="e">
        <v>#REF!</v>
      </c>
      <c r="M105" s="1508" t="e">
        <v>#REF!</v>
      </c>
      <c r="N105" s="1553" t="e">
        <v>#DIV/0!</v>
      </c>
      <c r="O105" s="1553" t="e">
        <v>#DIV/0!</v>
      </c>
      <c r="P105" s="1553" t="e">
        <v>#REF!</v>
      </c>
      <c r="Q105" s="1553" t="e">
        <v>#REF!</v>
      </c>
      <c r="R105" s="1553" t="e">
        <v>#N/A</v>
      </c>
      <c r="S105" s="1501">
        <v>0</v>
      </c>
      <c r="T105" s="1501">
        <v>0</v>
      </c>
      <c r="U105" s="1501">
        <v>0</v>
      </c>
    </row>
    <row r="106" spans="2:21" ht="13.8" x14ac:dyDescent="0.3">
      <c r="B106" s="1485"/>
      <c r="C106" s="1485" t="s">
        <v>246</v>
      </c>
      <c r="D106" s="1526">
        <v>0</v>
      </c>
      <c r="E106" s="1485" t="s">
        <v>617</v>
      </c>
      <c r="F106" s="1485" t="s">
        <v>211</v>
      </c>
      <c r="G106" s="1492"/>
      <c r="H106" s="1492"/>
      <c r="I106" s="1499">
        <v>0</v>
      </c>
      <c r="J106" s="1487"/>
      <c r="K106" s="1487"/>
      <c r="L106" s="1508" t="e">
        <v>#REF!</v>
      </c>
      <c r="M106" s="1508" t="e">
        <v>#REF!</v>
      </c>
      <c r="N106" s="1553" t="e">
        <v>#DIV/0!</v>
      </c>
      <c r="O106" s="1553" t="e">
        <v>#DIV/0!</v>
      </c>
      <c r="P106" s="1553" t="e">
        <v>#REF!</v>
      </c>
      <c r="Q106" s="1553" t="e">
        <v>#REF!</v>
      </c>
      <c r="R106" s="1553" t="e">
        <v>#N/A</v>
      </c>
      <c r="S106" s="1501">
        <v>0</v>
      </c>
      <c r="T106" s="1501">
        <v>0</v>
      </c>
      <c r="U106" s="1501">
        <v>0</v>
      </c>
    </row>
    <row r="107" spans="2:21" ht="13.8" x14ac:dyDescent="0.3">
      <c r="B107" s="1485"/>
      <c r="C107" s="1485" t="s">
        <v>247</v>
      </c>
      <c r="D107" s="1526">
        <v>0</v>
      </c>
      <c r="E107" s="1485" t="s">
        <v>617</v>
      </c>
      <c r="F107" s="1485" t="s">
        <v>211</v>
      </c>
      <c r="G107" s="1492"/>
      <c r="H107" s="1492"/>
      <c r="I107" s="1499">
        <v>0</v>
      </c>
      <c r="J107" s="1487"/>
      <c r="K107" s="1487"/>
      <c r="L107" s="1508" t="e">
        <v>#REF!</v>
      </c>
      <c r="M107" s="1508" t="e">
        <v>#REF!</v>
      </c>
      <c r="N107" s="1553" t="e">
        <v>#DIV/0!</v>
      </c>
      <c r="O107" s="1553" t="e">
        <v>#DIV/0!</v>
      </c>
      <c r="P107" s="1553" t="e">
        <v>#REF!</v>
      </c>
      <c r="Q107" s="1553" t="e">
        <v>#REF!</v>
      </c>
      <c r="R107" s="1553" t="e">
        <v>#N/A</v>
      </c>
      <c r="S107" s="1501">
        <v>0</v>
      </c>
      <c r="T107" s="1501">
        <v>0</v>
      </c>
      <c r="U107" s="1501">
        <v>0</v>
      </c>
    </row>
    <row r="108" spans="2:21" ht="14.4" thickBot="1" x14ac:dyDescent="0.35">
      <c r="B108" s="1485"/>
      <c r="C108" s="1485" t="s">
        <v>248</v>
      </c>
      <c r="D108" s="1526">
        <v>0</v>
      </c>
      <c r="E108" s="1485" t="s">
        <v>617</v>
      </c>
      <c r="F108" s="1485" t="s">
        <v>211</v>
      </c>
      <c r="G108" s="1492"/>
      <c r="H108" s="1492"/>
      <c r="I108" s="1499">
        <v>0</v>
      </c>
      <c r="J108" s="1487"/>
      <c r="K108" s="1487"/>
      <c r="L108" s="1511" t="e">
        <v>#REF!</v>
      </c>
      <c r="M108" s="1511" t="e">
        <v>#REF!</v>
      </c>
      <c r="N108" s="1554" t="e">
        <v>#DIV/0!</v>
      </c>
      <c r="O108" s="1554" t="e">
        <v>#DIV/0!</v>
      </c>
      <c r="P108" s="1553" t="e">
        <v>#REF!</v>
      </c>
      <c r="Q108" s="1554" t="e">
        <v>#REF!</v>
      </c>
      <c r="R108" s="1554" t="e">
        <v>#N/A</v>
      </c>
      <c r="S108" s="1501">
        <v>0</v>
      </c>
      <c r="T108" s="1501">
        <v>0</v>
      </c>
      <c r="U108" s="1501">
        <v>0</v>
      </c>
    </row>
    <row r="109" spans="2:21" ht="14.4" thickBot="1" x14ac:dyDescent="0.35">
      <c r="B109" s="1485"/>
      <c r="C109" s="1485" t="s">
        <v>249</v>
      </c>
      <c r="D109" s="1526">
        <v>0</v>
      </c>
      <c r="E109" s="1485" t="s">
        <v>617</v>
      </c>
      <c r="F109" s="1485" t="s">
        <v>211</v>
      </c>
      <c r="G109" s="1492"/>
      <c r="H109" s="1492"/>
      <c r="I109" s="1509">
        <v>0</v>
      </c>
      <c r="J109" s="1484" t="e">
        <v>#DIV/0!</v>
      </c>
      <c r="K109" s="1482"/>
      <c r="L109" s="1512" t="e">
        <v>#N/A</v>
      </c>
      <c r="M109" s="1513" t="e">
        <v>#N/A</v>
      </c>
      <c r="N109" s="1539" t="e">
        <v>#DIV/0!</v>
      </c>
      <c r="O109" s="1539" t="e">
        <v>#DIV/0!</v>
      </c>
      <c r="P109" s="1539" t="e">
        <v>#N/A</v>
      </c>
      <c r="Q109" s="1540" t="e">
        <v>#N/A</v>
      </c>
      <c r="R109" s="1540" t="e">
        <v>#DIV/0!</v>
      </c>
      <c r="S109" s="1502">
        <v>0</v>
      </c>
      <c r="T109" s="1502">
        <v>0</v>
      </c>
      <c r="U109" s="1502">
        <v>0</v>
      </c>
    </row>
    <row r="110" spans="2:21" ht="13.8" x14ac:dyDescent="0.3">
      <c r="B110" s="1485"/>
      <c r="C110" s="1485" t="s">
        <v>250</v>
      </c>
      <c r="D110" s="1526">
        <v>0</v>
      </c>
      <c r="E110" s="1485" t="s">
        <v>617</v>
      </c>
      <c r="F110" s="1485" t="s">
        <v>211</v>
      </c>
      <c r="G110" s="1492"/>
      <c r="H110" s="1492"/>
    </row>
    <row r="111" spans="2:21" ht="13.8" x14ac:dyDescent="0.3">
      <c r="B111" s="1485"/>
      <c r="C111" s="1485" t="s">
        <v>251</v>
      </c>
      <c r="D111" s="1526">
        <v>0</v>
      </c>
      <c r="E111" s="1485" t="s">
        <v>617</v>
      </c>
      <c r="F111" s="1485" t="s">
        <v>211</v>
      </c>
      <c r="G111" s="1492"/>
      <c r="H111" s="1492"/>
    </row>
    <row r="112" spans="2:21" ht="13.8" x14ac:dyDescent="0.3">
      <c r="B112" s="1481"/>
      <c r="C112" s="1481"/>
      <c r="D112" s="1481"/>
      <c r="E112" s="1481"/>
      <c r="F112" s="1481"/>
      <c r="G112" s="1510">
        <v>0</v>
      </c>
      <c r="H112" s="1500">
        <v>0</v>
      </c>
    </row>
  </sheetData>
  <customSheetViews>
    <customSheetView guid="{074EB09C-6289-46D7-9513-012B68BCA7BF}" showPageBreaks="1">
      <selection activeCell="C2" sqref="C2:C3"/>
      <pageMargins left="0.7" right="0.7" top="0.75" bottom="0.75" header="0.3" footer="0.3"/>
      <pageSetup orientation="portrait" r:id="rId1"/>
    </customSheetView>
  </customSheetViews>
  <mergeCells count="14">
    <mergeCell ref="V2:V3"/>
    <mergeCell ref="D10:E10"/>
    <mergeCell ref="I10:L10"/>
    <mergeCell ref="M10:N10"/>
    <mergeCell ref="Q2:R2"/>
    <mergeCell ref="S2:U2"/>
    <mergeCell ref="S65:U65"/>
    <mergeCell ref="V65:X65"/>
    <mergeCell ref="C11:F11"/>
    <mergeCell ref="I11:L11"/>
    <mergeCell ref="M11:O11"/>
    <mergeCell ref="P11:R11"/>
    <mergeCell ref="I12:K12"/>
    <mergeCell ref="L65:R65"/>
  </mergeCells>
  <pageMargins left="0.24" right="0.28000000000000003" top="0.37" bottom="0.43" header="0.3" footer="0.3"/>
  <pageSetup paperSize="17" scale="49" orientation="landscape"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Y106"/>
  <sheetViews>
    <sheetView workbookViewId="0">
      <pane xSplit="1" ySplit="1" topLeftCell="B2" activePane="bottomRight" state="frozen"/>
      <selection pane="topRight" activeCell="B1" sqref="B1"/>
      <selection pane="bottomLeft" activeCell="A2" sqref="A2"/>
      <selection pane="bottomRight" activeCell="D6" sqref="D6"/>
    </sheetView>
  </sheetViews>
  <sheetFormatPr defaultRowHeight="13.2" x14ac:dyDescent="0.25"/>
  <cols>
    <col min="1" max="1" width="16" style="3369" customWidth="1"/>
    <col min="2" max="2" width="15.6640625" customWidth="1"/>
    <col min="3" max="3" width="25.33203125" customWidth="1"/>
    <col min="4" max="6" width="14.109375" customWidth="1"/>
    <col min="7" max="7" width="12.109375" customWidth="1"/>
    <col min="8" max="12" width="19.109375" customWidth="1"/>
    <col min="13" max="13" width="15.109375" customWidth="1"/>
    <col min="14" max="14" width="12.6640625" customWidth="1"/>
    <col min="15" max="15" width="15.44140625" customWidth="1"/>
    <col min="16" max="22" width="15.109375" customWidth="1"/>
  </cols>
  <sheetData>
    <row r="1" spans="1:22" ht="42.75" customHeight="1" thickBot="1" x14ac:dyDescent="0.35">
      <c r="B1" s="3881"/>
      <c r="C1" s="2076"/>
      <c r="D1" s="2076"/>
      <c r="E1" s="2076"/>
      <c r="F1" s="2087"/>
      <c r="G1" s="2087">
        <v>18230602</v>
      </c>
      <c r="H1" s="3698" t="s">
        <v>1133</v>
      </c>
      <c r="I1" s="2087"/>
      <c r="J1" s="2076"/>
      <c r="K1" s="2076"/>
      <c r="L1" s="2076"/>
      <c r="M1" s="2076"/>
      <c r="N1" s="2076"/>
      <c r="O1" s="2076"/>
      <c r="P1" s="2076"/>
      <c r="Q1" s="2076"/>
      <c r="R1" s="2076"/>
      <c r="S1" s="2076"/>
      <c r="T1" s="2076"/>
      <c r="U1" s="2076"/>
      <c r="V1" s="2076"/>
    </row>
    <row r="2" spans="1:22" ht="16.2" thickBot="1" x14ac:dyDescent="0.35">
      <c r="B2" s="2087" t="s">
        <v>131</v>
      </c>
      <c r="C2" s="4512" t="s">
        <v>871</v>
      </c>
      <c r="D2" s="2076"/>
      <c r="E2" s="2076"/>
      <c r="F2" s="2076"/>
      <c r="G2" s="2094" t="s">
        <v>8</v>
      </c>
      <c r="H2" s="2076"/>
      <c r="I2" s="2076"/>
      <c r="J2" s="2076"/>
      <c r="K2" s="2076"/>
      <c r="L2" s="2076"/>
      <c r="M2" s="2076"/>
      <c r="N2" s="2076"/>
      <c r="O2" s="2076"/>
      <c r="P2" s="2076"/>
      <c r="Q2" s="4798"/>
      <c r="R2" s="4798"/>
      <c r="S2" s="4785" t="s">
        <v>132</v>
      </c>
      <c r="T2" s="4786"/>
      <c r="U2" s="4787"/>
      <c r="V2" s="4793" t="s">
        <v>133</v>
      </c>
    </row>
    <row r="3" spans="1:22" ht="16.2" thickBot="1" x14ac:dyDescent="0.35">
      <c r="B3" s="2120" t="s">
        <v>6</v>
      </c>
      <c r="C3" s="2120">
        <v>18230602</v>
      </c>
      <c r="D3" s="2076"/>
      <c r="E3" s="2076"/>
      <c r="F3" s="2076"/>
      <c r="G3" s="2106" t="s">
        <v>9</v>
      </c>
      <c r="H3" s="2104" t="s">
        <v>10</v>
      </c>
      <c r="I3" s="2104" t="s">
        <v>11</v>
      </c>
      <c r="J3" s="2104" t="s">
        <v>12</v>
      </c>
      <c r="K3" s="2104" t="s">
        <v>13</v>
      </c>
      <c r="L3" s="2104" t="s">
        <v>14</v>
      </c>
      <c r="M3" s="2104" t="s">
        <v>15</v>
      </c>
      <c r="N3" s="2104" t="s">
        <v>16</v>
      </c>
      <c r="O3" s="2104" t="s">
        <v>134</v>
      </c>
      <c r="P3" s="2104" t="s">
        <v>135</v>
      </c>
      <c r="Q3" s="2107" t="s">
        <v>18</v>
      </c>
      <c r="R3" s="2107" t="s">
        <v>136</v>
      </c>
      <c r="S3" s="2096" t="s">
        <v>137</v>
      </c>
      <c r="T3" s="2096" t="s">
        <v>12</v>
      </c>
      <c r="U3" s="2097" t="s">
        <v>138</v>
      </c>
      <c r="V3" s="4794"/>
    </row>
    <row r="4" spans="1:22" ht="16.2" thickBot="1" x14ac:dyDescent="0.35">
      <c r="B4" s="2120" t="s">
        <v>139</v>
      </c>
      <c r="C4" s="4516" t="s">
        <v>1285</v>
      </c>
      <c r="D4" s="2076"/>
      <c r="E4" s="2076"/>
      <c r="F4" s="2087">
        <v>2011</v>
      </c>
      <c r="G4" s="2143">
        <v>0</v>
      </c>
      <c r="H4" s="2144">
        <v>0</v>
      </c>
      <c r="I4" s="2144">
        <v>0</v>
      </c>
      <c r="J4" s="2144">
        <v>50400</v>
      </c>
      <c r="K4" s="2144">
        <v>300</v>
      </c>
      <c r="L4" s="2144">
        <v>20796</v>
      </c>
      <c r="M4" s="2144">
        <v>0</v>
      </c>
      <c r="N4" s="2144">
        <v>0</v>
      </c>
      <c r="O4" s="2144">
        <v>0</v>
      </c>
      <c r="P4" s="2144">
        <v>0</v>
      </c>
      <c r="Q4" s="2148">
        <v>71496</v>
      </c>
      <c r="R4" s="2164">
        <v>0</v>
      </c>
      <c r="S4" s="2175">
        <v>0</v>
      </c>
      <c r="T4" s="2175">
        <v>0.70493454179254789</v>
      </c>
      <c r="U4" s="2175">
        <v>0.2908694192682108</v>
      </c>
      <c r="V4" s="2177" t="e">
        <v>#DIV/0!</v>
      </c>
    </row>
    <row r="5" spans="1:22" ht="16.2" thickBot="1" x14ac:dyDescent="0.35">
      <c r="B5" s="2087" t="s">
        <v>34</v>
      </c>
      <c r="C5" s="2076"/>
      <c r="D5" s="4511" t="s">
        <v>1287</v>
      </c>
      <c r="E5" s="2076"/>
      <c r="F5" s="2087">
        <v>2012</v>
      </c>
      <c r="G5" s="2145">
        <f>D13</f>
        <v>172537.96</v>
      </c>
      <c r="H5" s="2146">
        <f>D18</f>
        <v>0</v>
      </c>
      <c r="I5" s="2146">
        <f>D23</f>
        <v>108698.91479999998</v>
      </c>
      <c r="J5" s="2146">
        <f>D28</f>
        <v>14748.8</v>
      </c>
      <c r="K5" s="2146">
        <f>D33</f>
        <v>2445.58</v>
      </c>
      <c r="L5" s="2146">
        <f>D38</f>
        <v>104412.4</v>
      </c>
      <c r="M5" s="2146">
        <f>D44</f>
        <v>7604</v>
      </c>
      <c r="N5" s="2146">
        <f>D49</f>
        <v>3915</v>
      </c>
      <c r="O5" s="2146">
        <v>0</v>
      </c>
      <c r="P5" s="2146">
        <v>0</v>
      </c>
      <c r="Q5" s="2147">
        <f>SUM(G5:P5)</f>
        <v>414362.65480000002</v>
      </c>
      <c r="R5" s="2165">
        <v>0</v>
      </c>
      <c r="S5" s="2176">
        <v>0</v>
      </c>
      <c r="T5" s="2176">
        <v>4.0968345455626984E-2</v>
      </c>
      <c r="U5" s="2176">
        <v>0.16967525733501002</v>
      </c>
      <c r="V5" s="2178" t="e">
        <v>#DIV/0!</v>
      </c>
    </row>
    <row r="6" spans="1:22" ht="16.2" thickBot="1" x14ac:dyDescent="0.35">
      <c r="B6" s="2076"/>
      <c r="C6" s="2087" t="s">
        <v>886</v>
      </c>
      <c r="D6" s="2076"/>
      <c r="E6" s="2076"/>
      <c r="F6" s="2087">
        <v>2013</v>
      </c>
      <c r="G6" s="2160">
        <f>E13</f>
        <v>174797.16999999998</v>
      </c>
      <c r="H6" s="2161">
        <f>E18</f>
        <v>0</v>
      </c>
      <c r="I6" s="2161">
        <f>E23</f>
        <v>110122.21709999999</v>
      </c>
      <c r="J6" s="2161">
        <f>E28</f>
        <v>7900.8</v>
      </c>
      <c r="K6" s="2161">
        <f>E33</f>
        <v>2445.58</v>
      </c>
      <c r="L6" s="2161">
        <f>E38</f>
        <v>119825.4</v>
      </c>
      <c r="M6" s="2161">
        <f>E44</f>
        <v>7604</v>
      </c>
      <c r="N6" s="2161">
        <f>E49</f>
        <v>3825</v>
      </c>
      <c r="O6" s="2161">
        <v>0</v>
      </c>
      <c r="P6" s="2161">
        <v>0</v>
      </c>
      <c r="Q6" s="3669">
        <f>SUM(G6:P6)</f>
        <v>426520.16709999996</v>
      </c>
      <c r="R6" s="2166">
        <v>0</v>
      </c>
      <c r="S6" s="2176">
        <v>0</v>
      </c>
      <c r="T6" s="2176">
        <v>2.130196584504641E-2</v>
      </c>
      <c r="U6" s="2176">
        <v>0.20534636967832373</v>
      </c>
      <c r="V6" s="2178" t="e">
        <v>#DIV/0!</v>
      </c>
    </row>
    <row r="7" spans="1:22" ht="16.2" thickBot="1" x14ac:dyDescent="0.35">
      <c r="B7" s="2076"/>
      <c r="C7" s="2170" t="s">
        <v>873</v>
      </c>
      <c r="D7" s="2076"/>
      <c r="E7" s="2076"/>
      <c r="F7" s="2159" t="s">
        <v>140</v>
      </c>
      <c r="G7" s="2162">
        <f>SUM(G5:G6)</f>
        <v>347335.13</v>
      </c>
      <c r="H7" s="2162">
        <f t="shared" ref="H7:P7" si="0">SUM(H5:H6)</f>
        <v>0</v>
      </c>
      <c r="I7" s="2162">
        <f t="shared" si="0"/>
        <v>218821.13189999998</v>
      </c>
      <c r="J7" s="2162">
        <f t="shared" si="0"/>
        <v>22649.599999999999</v>
      </c>
      <c r="K7" s="2162">
        <f t="shared" si="0"/>
        <v>4891.16</v>
      </c>
      <c r="L7" s="2162">
        <f t="shared" si="0"/>
        <v>224237.8</v>
      </c>
      <c r="M7" s="2162">
        <f t="shared" si="0"/>
        <v>15208</v>
      </c>
      <c r="N7" s="2162">
        <f t="shared" si="0"/>
        <v>7740</v>
      </c>
      <c r="O7" s="2162">
        <f t="shared" si="0"/>
        <v>0</v>
      </c>
      <c r="P7" s="2162">
        <f t="shared" si="0"/>
        <v>0</v>
      </c>
      <c r="Q7" s="2162">
        <f>SUM(Q5:Q6)</f>
        <v>840882.82189999998</v>
      </c>
      <c r="R7" s="2167">
        <v>0</v>
      </c>
      <c r="S7" s="2176">
        <v>0</v>
      </c>
      <c r="T7" s="2176">
        <v>3.0971407649094999E-2</v>
      </c>
      <c r="U7" s="2176">
        <v>0.18780782157139186</v>
      </c>
      <c r="V7" s="2178" t="e">
        <v>#DIV/0!</v>
      </c>
    </row>
    <row r="8" spans="1:22" ht="13.8" x14ac:dyDescent="0.3">
      <c r="P8" s="2427"/>
      <c r="Q8" s="86"/>
    </row>
    <row r="9" spans="1:22" s="2410" customFormat="1" ht="13.8" x14ac:dyDescent="0.3">
      <c r="A9" s="3369"/>
      <c r="P9" s="2427"/>
    </row>
    <row r="10" spans="1:22" ht="14.4" thickBot="1" x14ac:dyDescent="0.35">
      <c r="B10" s="2076"/>
      <c r="C10" s="2139" t="s">
        <v>141</v>
      </c>
      <c r="D10" s="4795" t="s">
        <v>142</v>
      </c>
      <c r="E10" s="4795"/>
      <c r="F10" s="2076"/>
      <c r="G10" s="2076"/>
      <c r="H10" s="2076"/>
      <c r="I10" s="4796" t="s">
        <v>143</v>
      </c>
      <c r="J10" s="4796"/>
      <c r="K10" s="4796"/>
      <c r="L10" s="4796"/>
      <c r="M10" s="4797" t="s">
        <v>142</v>
      </c>
      <c r="N10" s="4797"/>
      <c r="O10" s="2076"/>
      <c r="P10" s="2076"/>
      <c r="Q10" s="2076"/>
      <c r="R10" s="2076"/>
      <c r="S10" s="2076"/>
      <c r="T10" s="2076"/>
      <c r="U10" s="2076"/>
      <c r="V10" s="2076"/>
    </row>
    <row r="11" spans="1:22" ht="16.2" thickBot="1" x14ac:dyDescent="0.35">
      <c r="B11" s="2142" t="s">
        <v>144</v>
      </c>
      <c r="C11" s="4788" t="s">
        <v>145</v>
      </c>
      <c r="D11" s="4788"/>
      <c r="E11" s="4788"/>
      <c r="F11" s="4789"/>
      <c r="G11" s="2076"/>
      <c r="H11" s="2076"/>
      <c r="I11" s="4785" t="s">
        <v>146</v>
      </c>
      <c r="J11" s="4786"/>
      <c r="K11" s="4786"/>
      <c r="L11" s="4787"/>
      <c r="M11" s="4785" t="s">
        <v>147</v>
      </c>
      <c r="N11" s="4786"/>
      <c r="O11" s="4787"/>
      <c r="P11" s="4785" t="s">
        <v>148</v>
      </c>
      <c r="Q11" s="4786"/>
      <c r="R11" s="4787"/>
      <c r="S11" s="2076"/>
      <c r="T11" s="2141" t="s">
        <v>149</v>
      </c>
      <c r="U11" s="2076"/>
      <c r="V11" s="2076"/>
    </row>
    <row r="12" spans="1:22" ht="16.2" thickBot="1" x14ac:dyDescent="0.35">
      <c r="B12" s="2152">
        <v>2011</v>
      </c>
      <c r="C12" s="2140" t="s">
        <v>150</v>
      </c>
      <c r="D12" s="2134">
        <v>2012</v>
      </c>
      <c r="E12" s="2134">
        <v>2013</v>
      </c>
      <c r="F12" s="2134" t="s">
        <v>151</v>
      </c>
      <c r="G12" s="2076"/>
      <c r="H12" s="2095"/>
      <c r="I12" s="4790" t="s">
        <v>152</v>
      </c>
      <c r="J12" s="4791"/>
      <c r="K12" s="4792"/>
      <c r="L12" s="2130" t="s">
        <v>153</v>
      </c>
      <c r="M12" s="2131" t="s">
        <v>154</v>
      </c>
      <c r="N12" s="2132" t="s">
        <v>155</v>
      </c>
      <c r="O12" s="2133" t="s">
        <v>156</v>
      </c>
      <c r="P12" s="2131" t="s">
        <v>157</v>
      </c>
      <c r="Q12" s="2131" t="s">
        <v>158</v>
      </c>
      <c r="R12" s="2133" t="s">
        <v>159</v>
      </c>
      <c r="S12" s="2076"/>
      <c r="T12" s="2142" t="s">
        <v>160</v>
      </c>
      <c r="U12" s="2076"/>
      <c r="V12" s="2076"/>
    </row>
    <row r="13" spans="1:22" ht="14.4" thickBot="1" x14ac:dyDescent="0.35">
      <c r="B13" s="2149">
        <v>0</v>
      </c>
      <c r="C13" s="2108" t="s">
        <v>161</v>
      </c>
      <c r="D13" s="2109">
        <f>SUM(D14:D17)</f>
        <v>172537.96</v>
      </c>
      <c r="E13" s="3598">
        <f>SUM(E14:E17)</f>
        <v>174797.16999999998</v>
      </c>
      <c r="F13" s="2110">
        <f>SUM(D13:E13)</f>
        <v>347335.13</v>
      </c>
      <c r="G13" s="2076"/>
      <c r="H13" s="2098"/>
      <c r="I13" s="2127" t="s">
        <v>409</v>
      </c>
      <c r="J13" s="2128"/>
      <c r="K13" s="2129"/>
      <c r="L13" s="2137">
        <v>0</v>
      </c>
      <c r="M13" s="2083"/>
      <c r="N13" s="2083"/>
      <c r="O13" s="2099">
        <v>0</v>
      </c>
      <c r="P13" s="2135">
        <v>0</v>
      </c>
      <c r="Q13" s="2135">
        <v>0</v>
      </c>
      <c r="R13" s="2136">
        <v>0</v>
      </c>
      <c r="S13" s="2076"/>
      <c r="T13" s="2168">
        <v>0</v>
      </c>
      <c r="U13" s="2076"/>
      <c r="V13" s="2076"/>
    </row>
    <row r="14" spans="1:22" ht="13.8" x14ac:dyDescent="0.3">
      <c r="B14" s="2150"/>
      <c r="C14" s="2082" t="s">
        <v>906</v>
      </c>
      <c r="D14" s="2090">
        <v>110073.97</v>
      </c>
      <c r="E14" s="2090">
        <v>111446.78</v>
      </c>
      <c r="F14" s="2090">
        <f>SUM(D14:E14)</f>
        <v>221520.75</v>
      </c>
      <c r="G14" s="2076"/>
      <c r="H14" s="2098"/>
      <c r="I14" s="2123" t="s">
        <v>410</v>
      </c>
      <c r="J14" s="2124"/>
      <c r="K14" s="2125"/>
      <c r="L14" s="2137">
        <v>0</v>
      </c>
      <c r="M14" s="2083"/>
      <c r="N14" s="2083"/>
      <c r="O14" s="2099">
        <v>0</v>
      </c>
      <c r="P14" s="2135">
        <v>0</v>
      </c>
      <c r="Q14" s="2135">
        <v>0</v>
      </c>
      <c r="R14" s="2136">
        <v>0</v>
      </c>
      <c r="S14" s="2076"/>
      <c r="T14" s="2169">
        <v>0</v>
      </c>
      <c r="U14" s="2076"/>
      <c r="V14" s="2076"/>
    </row>
    <row r="15" spans="1:22" ht="13.8" x14ac:dyDescent="0.3">
      <c r="B15" s="2151"/>
      <c r="C15" s="2082" t="s">
        <v>889</v>
      </c>
      <c r="D15" s="2090">
        <v>55786.99</v>
      </c>
      <c r="E15" s="2090">
        <v>56473.39</v>
      </c>
      <c r="F15" s="3596">
        <f t="shared" ref="F15:F17" si="1">SUM(D15:E15)</f>
        <v>112260.38</v>
      </c>
      <c r="G15" s="2076"/>
      <c r="H15" s="2098"/>
      <c r="I15" s="2123" t="s">
        <v>411</v>
      </c>
      <c r="J15" s="2124"/>
      <c r="K15" s="2125"/>
      <c r="L15" s="2137">
        <v>0</v>
      </c>
      <c r="M15" s="2083">
        <v>0</v>
      </c>
      <c r="N15" s="2083">
        <v>0</v>
      </c>
      <c r="O15" s="2099">
        <v>0</v>
      </c>
      <c r="P15" s="2135">
        <v>0</v>
      </c>
      <c r="Q15" s="2135">
        <v>0</v>
      </c>
      <c r="R15" s="2136">
        <v>0</v>
      </c>
      <c r="S15" s="2076"/>
      <c r="T15" s="2169">
        <v>0</v>
      </c>
      <c r="U15" s="2076"/>
      <c r="V15" s="2076"/>
    </row>
    <row r="16" spans="1:22" ht="13.8" x14ac:dyDescent="0.3">
      <c r="B16" s="2151"/>
      <c r="C16" s="2082"/>
      <c r="D16" s="2092"/>
      <c r="E16" s="2092"/>
      <c r="F16" s="3596">
        <f t="shared" si="1"/>
        <v>0</v>
      </c>
      <c r="G16" s="2076"/>
      <c r="H16" s="2098"/>
      <c r="I16" s="2123" t="s">
        <v>213</v>
      </c>
      <c r="J16" s="2124"/>
      <c r="K16" s="2125"/>
      <c r="L16" s="2137">
        <v>0</v>
      </c>
      <c r="M16" s="2083">
        <v>0</v>
      </c>
      <c r="N16" s="2083">
        <v>0</v>
      </c>
      <c r="O16" s="2099">
        <v>0</v>
      </c>
      <c r="P16" s="2135">
        <v>0</v>
      </c>
      <c r="Q16" s="2135">
        <v>0</v>
      </c>
      <c r="R16" s="2136">
        <v>0</v>
      </c>
      <c r="S16" s="2076"/>
      <c r="T16" s="2169">
        <v>0</v>
      </c>
      <c r="U16" s="2076"/>
      <c r="V16" s="2076"/>
    </row>
    <row r="17" spans="2:22" ht="14.4" thickBot="1" x14ac:dyDescent="0.35">
      <c r="B17" s="2151"/>
      <c r="C17" s="2082" t="s">
        <v>907</v>
      </c>
      <c r="D17" s="2092">
        <v>6677</v>
      </c>
      <c r="E17" s="2092">
        <v>6877</v>
      </c>
      <c r="F17" s="3596">
        <f t="shared" si="1"/>
        <v>13554</v>
      </c>
      <c r="G17" s="2076"/>
      <c r="H17" s="2098"/>
      <c r="I17" s="2123" t="s">
        <v>214</v>
      </c>
      <c r="J17" s="2124"/>
      <c r="K17" s="2125"/>
      <c r="L17" s="2137">
        <v>0</v>
      </c>
      <c r="M17" s="2083">
        <v>0</v>
      </c>
      <c r="N17" s="2083">
        <v>0</v>
      </c>
      <c r="O17" s="2099">
        <v>0</v>
      </c>
      <c r="P17" s="2135">
        <v>0</v>
      </c>
      <c r="Q17" s="2135">
        <v>0</v>
      </c>
      <c r="R17" s="2136">
        <v>0</v>
      </c>
      <c r="S17" s="2076"/>
      <c r="T17" s="2169">
        <v>0</v>
      </c>
      <c r="U17" s="2076"/>
      <c r="V17" s="2076"/>
    </row>
    <row r="18" spans="2:22" ht="14.4" thickBot="1" x14ac:dyDescent="0.35">
      <c r="B18" s="2149">
        <v>0</v>
      </c>
      <c r="C18" s="2108" t="s">
        <v>166</v>
      </c>
      <c r="D18" s="3598">
        <f>SUM(D19:D22)</f>
        <v>0</v>
      </c>
      <c r="E18" s="3598">
        <f>SUM(E19:E22)</f>
        <v>0</v>
      </c>
      <c r="F18" s="3576">
        <f>SUM(D18:E18)</f>
        <v>0</v>
      </c>
      <c r="G18" s="2076"/>
      <c r="H18" s="2098"/>
      <c r="I18" s="2123" t="s">
        <v>215</v>
      </c>
      <c r="J18" s="2124"/>
      <c r="K18" s="2125"/>
      <c r="L18" s="2137">
        <v>0</v>
      </c>
      <c r="M18" s="2083">
        <v>0</v>
      </c>
      <c r="N18" s="2083">
        <v>0</v>
      </c>
      <c r="O18" s="2099">
        <v>0</v>
      </c>
      <c r="P18" s="2135">
        <v>0</v>
      </c>
      <c r="Q18" s="2135">
        <v>0</v>
      </c>
      <c r="R18" s="2136">
        <v>0</v>
      </c>
      <c r="S18" s="2076"/>
      <c r="T18" s="2169">
        <v>0</v>
      </c>
    </row>
    <row r="19" spans="2:22" ht="13.8" x14ac:dyDescent="0.3">
      <c r="B19" s="2150"/>
      <c r="C19" s="2082" t="s">
        <v>162</v>
      </c>
      <c r="D19" s="2090">
        <v>0</v>
      </c>
      <c r="E19" s="2090">
        <v>0</v>
      </c>
      <c r="F19" s="2090">
        <f>SUM(D19:E19)</f>
        <v>0</v>
      </c>
      <c r="G19" s="2076"/>
      <c r="H19" s="2098"/>
      <c r="I19" s="2123" t="s">
        <v>216</v>
      </c>
      <c r="J19" s="2124"/>
      <c r="K19" s="2125"/>
      <c r="L19" s="2137">
        <v>0</v>
      </c>
      <c r="M19" s="2083">
        <v>0</v>
      </c>
      <c r="N19" s="2083">
        <v>0</v>
      </c>
      <c r="O19" s="2099">
        <v>0</v>
      </c>
      <c r="P19" s="2135">
        <v>0</v>
      </c>
      <c r="Q19" s="2135">
        <v>0</v>
      </c>
      <c r="R19" s="2136">
        <v>0</v>
      </c>
      <c r="S19" s="2076"/>
      <c r="T19" s="2169">
        <v>0</v>
      </c>
    </row>
    <row r="20" spans="2:22" ht="13.8" x14ac:dyDescent="0.3">
      <c r="B20" s="2151"/>
      <c r="C20" s="2082" t="s">
        <v>163</v>
      </c>
      <c r="D20" s="2090">
        <v>0</v>
      </c>
      <c r="E20" s="2090">
        <v>0</v>
      </c>
      <c r="F20" s="3596">
        <f t="shared" ref="F20:F22" si="2">SUM(D20:E20)</f>
        <v>0</v>
      </c>
      <c r="G20" s="2076"/>
      <c r="H20" s="2098"/>
      <c r="I20" s="2123" t="s">
        <v>217</v>
      </c>
      <c r="J20" s="2124"/>
      <c r="K20" s="2125"/>
      <c r="L20" s="2137">
        <v>0</v>
      </c>
      <c r="M20" s="2083">
        <v>0</v>
      </c>
      <c r="N20" s="2083">
        <v>0</v>
      </c>
      <c r="O20" s="2099">
        <v>0</v>
      </c>
      <c r="P20" s="2135">
        <v>0</v>
      </c>
      <c r="Q20" s="2135">
        <v>0</v>
      </c>
      <c r="R20" s="2136">
        <v>0</v>
      </c>
      <c r="S20" s="2076"/>
      <c r="T20" s="2169">
        <v>0</v>
      </c>
    </row>
    <row r="21" spans="2:22" ht="13.8" x14ac:dyDescent="0.3">
      <c r="B21" s="2151"/>
      <c r="C21" s="2082" t="s">
        <v>164</v>
      </c>
      <c r="D21" s="2092">
        <v>0</v>
      </c>
      <c r="E21" s="2092"/>
      <c r="F21" s="3596">
        <f t="shared" si="2"/>
        <v>0</v>
      </c>
      <c r="G21" s="2076"/>
      <c r="H21" s="2098"/>
      <c r="I21" s="2123" t="s">
        <v>218</v>
      </c>
      <c r="J21" s="2124"/>
      <c r="K21" s="2125"/>
      <c r="L21" s="2137">
        <v>0</v>
      </c>
      <c r="M21" s="2083">
        <v>0</v>
      </c>
      <c r="N21" s="2083">
        <v>0</v>
      </c>
      <c r="O21" s="2099">
        <v>0</v>
      </c>
      <c r="P21" s="2135">
        <v>0</v>
      </c>
      <c r="Q21" s="2135">
        <v>0</v>
      </c>
      <c r="R21" s="2136">
        <v>0</v>
      </c>
      <c r="S21" s="2076"/>
      <c r="T21" s="2169">
        <v>0</v>
      </c>
    </row>
    <row r="22" spans="2:22" ht="14.4" thickBot="1" x14ac:dyDescent="0.35">
      <c r="B22" s="2151"/>
      <c r="C22" s="2082" t="s">
        <v>165</v>
      </c>
      <c r="D22" s="2092">
        <v>0</v>
      </c>
      <c r="E22" s="2092"/>
      <c r="F22" s="3596">
        <f t="shared" si="2"/>
        <v>0</v>
      </c>
      <c r="G22" s="2076"/>
      <c r="H22" s="2098"/>
      <c r="I22" s="2123" t="s">
        <v>219</v>
      </c>
      <c r="J22" s="2124"/>
      <c r="K22" s="2125"/>
      <c r="L22" s="2137">
        <v>0</v>
      </c>
      <c r="M22" s="2083">
        <v>0</v>
      </c>
      <c r="N22" s="2083">
        <v>0</v>
      </c>
      <c r="O22" s="2099">
        <v>0</v>
      </c>
      <c r="P22" s="2135">
        <v>0</v>
      </c>
      <c r="Q22" s="2135">
        <v>0</v>
      </c>
      <c r="R22" s="2136">
        <v>0</v>
      </c>
      <c r="S22" s="2076"/>
      <c r="T22" s="2169">
        <v>0</v>
      </c>
    </row>
    <row r="23" spans="2:22" ht="14.4" thickBot="1" x14ac:dyDescent="0.35">
      <c r="B23" s="2149">
        <v>0</v>
      </c>
      <c r="C23" s="2108" t="s">
        <v>167</v>
      </c>
      <c r="D23" s="3598">
        <f>SUM(D24:D27)</f>
        <v>108698.91479999998</v>
      </c>
      <c r="E23" s="3598">
        <f>SUM(E24:E27)</f>
        <v>110122.21709999999</v>
      </c>
      <c r="F23" s="3576">
        <f>SUM(D23:E23)</f>
        <v>218821.13189999998</v>
      </c>
      <c r="G23" s="2081"/>
      <c r="H23" s="2098"/>
      <c r="I23" s="2123" t="s">
        <v>220</v>
      </c>
      <c r="J23" s="2124"/>
      <c r="K23" s="2125"/>
      <c r="L23" s="2137">
        <v>0</v>
      </c>
      <c r="M23" s="2083">
        <v>0</v>
      </c>
      <c r="N23" s="2083">
        <v>0</v>
      </c>
      <c r="O23" s="2099">
        <v>0</v>
      </c>
      <c r="P23" s="2135">
        <v>0</v>
      </c>
      <c r="Q23" s="2135">
        <v>0</v>
      </c>
      <c r="R23" s="2136">
        <v>0</v>
      </c>
      <c r="S23" s="2076"/>
      <c r="T23" s="2169">
        <v>0</v>
      </c>
    </row>
    <row r="24" spans="2:22" ht="13.8" x14ac:dyDescent="0.3">
      <c r="B24" s="2150"/>
      <c r="C24" s="2088" t="s">
        <v>168</v>
      </c>
      <c r="D24" s="2090">
        <f>0.63*D14</f>
        <v>69346.6011</v>
      </c>
      <c r="E24" s="2090">
        <f>0.63*E14</f>
        <v>70211.471399999995</v>
      </c>
      <c r="F24" s="2090">
        <f>SUM(D24:E24)</f>
        <v>139558.07250000001</v>
      </c>
      <c r="G24" s="2076"/>
      <c r="H24" s="2098"/>
      <c r="I24" s="2123" t="s">
        <v>221</v>
      </c>
      <c r="J24" s="2124"/>
      <c r="K24" s="2125"/>
      <c r="L24" s="2137">
        <v>0</v>
      </c>
      <c r="M24" s="2083">
        <v>0</v>
      </c>
      <c r="N24" s="2083">
        <v>0</v>
      </c>
      <c r="O24" s="2099">
        <v>0</v>
      </c>
      <c r="P24" s="2135">
        <v>0</v>
      </c>
      <c r="Q24" s="2135">
        <v>0</v>
      </c>
      <c r="R24" s="2136">
        <v>0</v>
      </c>
      <c r="S24" s="2076"/>
      <c r="T24" s="2169">
        <v>0</v>
      </c>
    </row>
    <row r="25" spans="2:22" ht="13.8" x14ac:dyDescent="0.3">
      <c r="B25" s="2150"/>
      <c r="C25" s="2088" t="s">
        <v>169</v>
      </c>
      <c r="D25" s="2091">
        <f>0.63*D15</f>
        <v>35145.803699999997</v>
      </c>
      <c r="E25" s="2091">
        <f>0.63*E15</f>
        <v>35578.235699999997</v>
      </c>
      <c r="F25" s="3596">
        <f t="shared" ref="F25:F27" si="3">SUM(D25:E25)</f>
        <v>70724.039399999994</v>
      </c>
      <c r="G25" s="2076"/>
      <c r="H25" s="2098"/>
      <c r="I25" s="2123" t="s">
        <v>222</v>
      </c>
      <c r="J25" s="2124"/>
      <c r="K25" s="2125"/>
      <c r="L25" s="2137">
        <v>0</v>
      </c>
      <c r="M25" s="2083">
        <v>0</v>
      </c>
      <c r="N25" s="2083">
        <v>0</v>
      </c>
      <c r="O25" s="2099">
        <v>0</v>
      </c>
      <c r="P25" s="2135">
        <v>0</v>
      </c>
      <c r="Q25" s="2135">
        <v>0</v>
      </c>
      <c r="R25" s="2136">
        <v>0</v>
      </c>
      <c r="S25" s="2076"/>
      <c r="T25" s="2169">
        <v>0</v>
      </c>
    </row>
    <row r="26" spans="2:22" ht="13.8" x14ac:dyDescent="0.3">
      <c r="B26" s="2151"/>
      <c r="C26" s="4517" t="s">
        <v>907</v>
      </c>
      <c r="D26" s="2092">
        <f>0.63*D17</f>
        <v>4206.51</v>
      </c>
      <c r="E26" s="2092">
        <f>0.63*E17</f>
        <v>4332.51</v>
      </c>
      <c r="F26" s="3596">
        <f t="shared" si="3"/>
        <v>8539.02</v>
      </c>
      <c r="G26" s="2076"/>
      <c r="H26" s="2098"/>
      <c r="I26" s="2123" t="s">
        <v>223</v>
      </c>
      <c r="J26" s="2124"/>
      <c r="K26" s="2125"/>
      <c r="L26" s="2137">
        <v>0</v>
      </c>
      <c r="M26" s="2083">
        <v>0</v>
      </c>
      <c r="N26" s="2083">
        <v>0</v>
      </c>
      <c r="O26" s="2099">
        <v>0</v>
      </c>
      <c r="P26" s="2135">
        <v>0</v>
      </c>
      <c r="Q26" s="2135">
        <v>0</v>
      </c>
      <c r="R26" s="2136">
        <v>0</v>
      </c>
      <c r="S26" s="2076"/>
      <c r="T26" s="2169">
        <v>0</v>
      </c>
    </row>
    <row r="27" spans="2:22" ht="14.4" thickBot="1" x14ac:dyDescent="0.35">
      <c r="B27" s="2151"/>
      <c r="C27" s="2082"/>
      <c r="D27" s="2092"/>
      <c r="E27" s="2092"/>
      <c r="F27" s="3596">
        <f t="shared" si="3"/>
        <v>0</v>
      </c>
      <c r="G27" s="2076"/>
      <c r="H27" s="2098"/>
      <c r="I27" s="2123" t="s">
        <v>224</v>
      </c>
      <c r="J27" s="2124"/>
      <c r="K27" s="2125"/>
      <c r="L27" s="2137">
        <v>0</v>
      </c>
      <c r="M27" s="2083">
        <v>0</v>
      </c>
      <c r="N27" s="2083">
        <v>0</v>
      </c>
      <c r="O27" s="2099">
        <v>0</v>
      </c>
      <c r="P27" s="2135">
        <v>0</v>
      </c>
      <c r="Q27" s="2135">
        <v>0</v>
      </c>
      <c r="R27" s="2136">
        <v>0</v>
      </c>
      <c r="S27" s="2076"/>
      <c r="T27" s="2169">
        <v>0</v>
      </c>
    </row>
    <row r="28" spans="2:22" ht="14.4" thickBot="1" x14ac:dyDescent="0.35">
      <c r="B28" s="2149">
        <v>50400</v>
      </c>
      <c r="C28" s="2108" t="s">
        <v>170</v>
      </c>
      <c r="D28" s="3598">
        <f>SUM(D29:D32)</f>
        <v>14748.8</v>
      </c>
      <c r="E28" s="3598">
        <f>SUM(E29:E32)</f>
        <v>7900.8</v>
      </c>
      <c r="F28" s="3576">
        <f>SUM(D28:E28)</f>
        <v>22649.599999999999</v>
      </c>
      <c r="G28" s="2076"/>
      <c r="H28" s="2098"/>
      <c r="I28" s="2123" t="s">
        <v>225</v>
      </c>
      <c r="J28" s="2124"/>
      <c r="K28" s="2125"/>
      <c r="L28" s="2137">
        <v>0</v>
      </c>
      <c r="M28" s="2083">
        <v>0</v>
      </c>
      <c r="N28" s="2083">
        <v>0</v>
      </c>
      <c r="O28" s="2099">
        <v>0</v>
      </c>
      <c r="P28" s="2135">
        <v>0</v>
      </c>
      <c r="Q28" s="2135">
        <v>0</v>
      </c>
      <c r="R28" s="2136">
        <v>0</v>
      </c>
      <c r="S28" s="2076"/>
      <c r="T28" s="2169">
        <v>0</v>
      </c>
    </row>
    <row r="29" spans="2:22" ht="13.8" x14ac:dyDescent="0.3">
      <c r="B29" s="2150"/>
      <c r="C29" s="3664" t="s">
        <v>1120</v>
      </c>
      <c r="D29" s="2090">
        <v>10572.8</v>
      </c>
      <c r="E29" s="2090">
        <v>3724.8</v>
      </c>
      <c r="F29" s="2090">
        <f>SUM(D29:E29)</f>
        <v>14297.599999999999</v>
      </c>
      <c r="G29" s="2076"/>
      <c r="H29" s="2098"/>
      <c r="I29" s="2123" t="s">
        <v>226</v>
      </c>
      <c r="J29" s="2124"/>
      <c r="K29" s="2125"/>
      <c r="L29" s="2137">
        <v>0</v>
      </c>
      <c r="M29" s="2083">
        <v>0</v>
      </c>
      <c r="N29" s="2083">
        <v>0</v>
      </c>
      <c r="O29" s="2099">
        <v>0</v>
      </c>
      <c r="P29" s="2135">
        <v>0</v>
      </c>
      <c r="Q29" s="2135">
        <v>0</v>
      </c>
      <c r="R29" s="2136">
        <v>0</v>
      </c>
      <c r="S29" s="2076"/>
      <c r="T29" s="2169">
        <v>0</v>
      </c>
    </row>
    <row r="30" spans="2:22" ht="13.8" x14ac:dyDescent="0.3">
      <c r="B30" s="2151"/>
      <c r="C30" s="2082" t="s">
        <v>908</v>
      </c>
      <c r="D30" s="2091">
        <v>4176</v>
      </c>
      <c r="E30" s="2091">
        <v>4176</v>
      </c>
      <c r="F30" s="3596">
        <f t="shared" ref="F30:F32" si="4">SUM(D30:E30)</f>
        <v>8352</v>
      </c>
      <c r="G30" s="2076"/>
      <c r="H30" s="2098"/>
      <c r="I30" s="2123" t="s">
        <v>227</v>
      </c>
      <c r="J30" s="2124"/>
      <c r="K30" s="2125"/>
      <c r="L30" s="2137">
        <v>0</v>
      </c>
      <c r="M30" s="2083">
        <v>0</v>
      </c>
      <c r="N30" s="2083">
        <v>0</v>
      </c>
      <c r="O30" s="2099">
        <v>0</v>
      </c>
      <c r="P30" s="2135">
        <v>0</v>
      </c>
      <c r="Q30" s="2135">
        <v>0</v>
      </c>
      <c r="R30" s="2136">
        <v>0</v>
      </c>
      <c r="S30" s="2076"/>
      <c r="T30" s="2169">
        <v>0</v>
      </c>
    </row>
    <row r="31" spans="2:22" ht="13.8" x14ac:dyDescent="0.3">
      <c r="B31" s="2151"/>
      <c r="C31" s="2082" t="s">
        <v>164</v>
      </c>
      <c r="D31" s="2091">
        <v>0</v>
      </c>
      <c r="E31" s="2091"/>
      <c r="F31" s="3596">
        <f t="shared" si="4"/>
        <v>0</v>
      </c>
      <c r="G31" s="2076"/>
      <c r="H31" s="2098"/>
      <c r="I31" s="2123" t="s">
        <v>228</v>
      </c>
      <c r="J31" s="2124"/>
      <c r="K31" s="2125"/>
      <c r="L31" s="2137">
        <v>0</v>
      </c>
      <c r="M31" s="2083">
        <v>0</v>
      </c>
      <c r="N31" s="2083">
        <v>0</v>
      </c>
      <c r="O31" s="2099">
        <v>0</v>
      </c>
      <c r="P31" s="2135">
        <v>0</v>
      </c>
      <c r="Q31" s="2135">
        <v>0</v>
      </c>
      <c r="R31" s="2136">
        <v>0</v>
      </c>
      <c r="S31" s="2076"/>
      <c r="T31" s="2169">
        <v>0</v>
      </c>
    </row>
    <row r="32" spans="2:22" ht="14.4" thickBot="1" x14ac:dyDescent="0.35">
      <c r="B32" s="2151"/>
      <c r="C32" s="2082" t="s">
        <v>165</v>
      </c>
      <c r="D32" s="2091">
        <v>0</v>
      </c>
      <c r="E32" s="2091"/>
      <c r="F32" s="3596">
        <f t="shared" si="4"/>
        <v>0</v>
      </c>
      <c r="G32" s="2076"/>
      <c r="H32" s="2098"/>
      <c r="I32" s="2123" t="s">
        <v>229</v>
      </c>
      <c r="J32" s="2124"/>
      <c r="K32" s="2125"/>
      <c r="L32" s="2137">
        <v>0</v>
      </c>
      <c r="M32" s="2083">
        <v>0</v>
      </c>
      <c r="N32" s="2083">
        <v>0</v>
      </c>
      <c r="O32" s="2099">
        <v>0</v>
      </c>
      <c r="P32" s="2135">
        <v>0</v>
      </c>
      <c r="Q32" s="2135">
        <v>0</v>
      </c>
      <c r="R32" s="2136">
        <v>0</v>
      </c>
      <c r="S32" s="2076"/>
      <c r="T32" s="2169">
        <v>0</v>
      </c>
    </row>
    <row r="33" spans="2:20" ht="14.4" thickBot="1" x14ac:dyDescent="0.35">
      <c r="B33" s="2149">
        <v>300</v>
      </c>
      <c r="C33" s="2108" t="s">
        <v>171</v>
      </c>
      <c r="D33" s="3598">
        <f>SUM(D34:D37)</f>
        <v>2445.58</v>
      </c>
      <c r="E33" s="3598">
        <f>SUM(E34:E37)</f>
        <v>2445.58</v>
      </c>
      <c r="F33" s="3576">
        <f>SUM(D33:E33)</f>
        <v>4891.16</v>
      </c>
      <c r="G33" s="2076"/>
      <c r="H33" s="2098"/>
      <c r="I33" s="2123" t="s">
        <v>230</v>
      </c>
      <c r="J33" s="2124"/>
      <c r="K33" s="2125"/>
      <c r="L33" s="2137">
        <v>0</v>
      </c>
      <c r="M33" s="2083">
        <v>0</v>
      </c>
      <c r="N33" s="2083">
        <v>0</v>
      </c>
      <c r="O33" s="2099">
        <v>0</v>
      </c>
      <c r="P33" s="2135">
        <v>0</v>
      </c>
      <c r="Q33" s="2135">
        <v>0</v>
      </c>
      <c r="R33" s="2136">
        <v>0</v>
      </c>
      <c r="S33" s="2076"/>
      <c r="T33" s="2169">
        <v>0</v>
      </c>
    </row>
    <row r="34" spans="2:20" ht="13.8" x14ac:dyDescent="0.3">
      <c r="B34" s="2151"/>
      <c r="C34" s="2082" t="s">
        <v>162</v>
      </c>
      <c r="D34" s="2091">
        <v>1321.58</v>
      </c>
      <c r="E34" s="2091">
        <v>1321.58</v>
      </c>
      <c r="F34" s="2090">
        <f>SUM(D34:E34)</f>
        <v>2643.16</v>
      </c>
      <c r="G34" s="2076"/>
      <c r="H34" s="2098"/>
      <c r="I34" s="2123" t="s">
        <v>231</v>
      </c>
      <c r="J34" s="2124"/>
      <c r="K34" s="2125"/>
      <c r="L34" s="2137">
        <v>0</v>
      </c>
      <c r="M34" s="2083">
        <v>0</v>
      </c>
      <c r="N34" s="2083">
        <v>0</v>
      </c>
      <c r="O34" s="2099">
        <v>0</v>
      </c>
      <c r="P34" s="2135">
        <v>0</v>
      </c>
      <c r="Q34" s="2135">
        <v>0</v>
      </c>
      <c r="R34" s="2136">
        <v>0</v>
      </c>
      <c r="S34" s="2076"/>
      <c r="T34" s="2169">
        <v>0</v>
      </c>
    </row>
    <row r="35" spans="2:20" ht="13.8" x14ac:dyDescent="0.3">
      <c r="B35" s="2151"/>
      <c r="C35" s="2082" t="s">
        <v>909</v>
      </c>
      <c r="D35" s="2091">
        <v>1124</v>
      </c>
      <c r="E35" s="2091">
        <v>1124</v>
      </c>
      <c r="F35" s="3596">
        <f t="shared" ref="F35:F37" si="5">SUM(D35:E35)</f>
        <v>2248</v>
      </c>
      <c r="G35" s="2076"/>
      <c r="H35" s="2098"/>
      <c r="I35" s="2123" t="s">
        <v>232</v>
      </c>
      <c r="J35" s="2124"/>
      <c r="K35" s="2125"/>
      <c r="L35" s="2137">
        <v>0</v>
      </c>
      <c r="M35" s="2083">
        <v>0</v>
      </c>
      <c r="N35" s="2083">
        <v>0</v>
      </c>
      <c r="O35" s="2099">
        <v>0</v>
      </c>
      <c r="P35" s="2135">
        <v>0</v>
      </c>
      <c r="Q35" s="2135">
        <v>0</v>
      </c>
      <c r="R35" s="2136">
        <v>0</v>
      </c>
      <c r="S35" s="2076"/>
      <c r="T35" s="2169">
        <v>0</v>
      </c>
    </row>
    <row r="36" spans="2:20" ht="13.8" x14ac:dyDescent="0.3">
      <c r="B36" s="2151"/>
      <c r="C36" s="2082" t="s">
        <v>164</v>
      </c>
      <c r="D36" s="2091">
        <v>0</v>
      </c>
      <c r="E36" s="2091"/>
      <c r="F36" s="3596">
        <f t="shared" si="5"/>
        <v>0</v>
      </c>
      <c r="G36" s="2076"/>
      <c r="H36" s="2098"/>
      <c r="I36" s="2123" t="s">
        <v>233</v>
      </c>
      <c r="J36" s="2124"/>
      <c r="K36" s="2125"/>
      <c r="L36" s="2137">
        <v>0</v>
      </c>
      <c r="M36" s="2083">
        <v>0</v>
      </c>
      <c r="N36" s="2083">
        <v>0</v>
      </c>
      <c r="O36" s="2099">
        <v>0</v>
      </c>
      <c r="P36" s="2135">
        <v>0</v>
      </c>
      <c r="Q36" s="2135">
        <v>0</v>
      </c>
      <c r="R36" s="2136">
        <v>0</v>
      </c>
      <c r="S36" s="2076"/>
      <c r="T36" s="2169">
        <v>0</v>
      </c>
    </row>
    <row r="37" spans="2:20" ht="14.4" thickBot="1" x14ac:dyDescent="0.35">
      <c r="B37" s="2151"/>
      <c r="C37" s="2082" t="s">
        <v>165</v>
      </c>
      <c r="D37" s="2091">
        <v>0</v>
      </c>
      <c r="E37" s="2091"/>
      <c r="F37" s="3596">
        <f t="shared" si="5"/>
        <v>0</v>
      </c>
      <c r="G37" s="2076"/>
      <c r="H37" s="2098"/>
      <c r="I37" s="2123" t="s">
        <v>234</v>
      </c>
      <c r="J37" s="2124"/>
      <c r="K37" s="2125"/>
      <c r="L37" s="2137">
        <v>0</v>
      </c>
      <c r="M37" s="2083">
        <v>0</v>
      </c>
      <c r="N37" s="2083">
        <v>0</v>
      </c>
      <c r="O37" s="2099">
        <v>0</v>
      </c>
      <c r="P37" s="2135">
        <v>0</v>
      </c>
      <c r="Q37" s="2135">
        <v>0</v>
      </c>
      <c r="R37" s="2136">
        <v>0</v>
      </c>
      <c r="S37" s="2076"/>
      <c r="T37" s="2169">
        <v>0</v>
      </c>
    </row>
    <row r="38" spans="2:20" ht="14.4" thickBot="1" x14ac:dyDescent="0.35">
      <c r="B38" s="2149">
        <v>20796</v>
      </c>
      <c r="C38" s="2108" t="s">
        <v>172</v>
      </c>
      <c r="D38" s="3598">
        <f>SUM(D39:D43)</f>
        <v>104412.4</v>
      </c>
      <c r="E38" s="3598">
        <f>SUM(E39:E43)</f>
        <v>119825.4</v>
      </c>
      <c r="F38" s="3576">
        <f>SUM(D38:E38)</f>
        <v>224237.8</v>
      </c>
      <c r="G38" s="2076"/>
      <c r="H38" s="2098"/>
      <c r="I38" s="2123" t="s">
        <v>235</v>
      </c>
      <c r="J38" s="2124"/>
      <c r="K38" s="2126"/>
      <c r="L38" s="2137">
        <v>0</v>
      </c>
      <c r="M38" s="2083">
        <v>0</v>
      </c>
      <c r="N38" s="2083">
        <v>0</v>
      </c>
      <c r="O38" s="2099">
        <v>0</v>
      </c>
      <c r="P38" s="2135">
        <v>0</v>
      </c>
      <c r="Q38" s="2135">
        <v>0</v>
      </c>
      <c r="R38" s="2136">
        <v>0</v>
      </c>
      <c r="S38" s="2076"/>
      <c r="T38" s="2169">
        <v>0</v>
      </c>
    </row>
    <row r="39" spans="2:20" ht="21.6" x14ac:dyDescent="0.3">
      <c r="B39" s="2151"/>
      <c r="C39" s="2179" t="s">
        <v>910</v>
      </c>
      <c r="D39" s="4519">
        <v>44300.4</v>
      </c>
      <c r="E39" s="4519">
        <v>59713.4</v>
      </c>
      <c r="F39" s="2090">
        <f>SUM(D39:E39)</f>
        <v>104013.8</v>
      </c>
      <c r="G39" s="2076"/>
      <c r="H39" s="2098"/>
      <c r="I39" s="2123" t="s">
        <v>236</v>
      </c>
      <c r="J39" s="2124"/>
      <c r="K39" s="2126"/>
      <c r="L39" s="2137">
        <v>0</v>
      </c>
      <c r="M39" s="2083">
        <v>0</v>
      </c>
      <c r="N39" s="2083">
        <v>0</v>
      </c>
      <c r="O39" s="2099">
        <v>0</v>
      </c>
      <c r="P39" s="2135">
        <v>0</v>
      </c>
      <c r="Q39" s="2135">
        <v>0</v>
      </c>
      <c r="R39" s="2136">
        <v>0</v>
      </c>
      <c r="S39" s="2076"/>
      <c r="T39" s="2169">
        <v>0</v>
      </c>
    </row>
    <row r="40" spans="2:20" ht="13.8" x14ac:dyDescent="0.3">
      <c r="B40" s="2151"/>
      <c r="C40" s="2082" t="s">
        <v>911</v>
      </c>
      <c r="D40" s="4519">
        <v>13812</v>
      </c>
      <c r="E40" s="4519">
        <v>13812</v>
      </c>
      <c r="F40" s="3699">
        <f t="shared" ref="F40:F43" si="6">SUM(D40:E40)</f>
        <v>27624</v>
      </c>
      <c r="G40" s="2076"/>
      <c r="H40" s="2098"/>
      <c r="I40" s="2123" t="s">
        <v>237</v>
      </c>
      <c r="J40" s="2124"/>
      <c r="K40" s="2126"/>
      <c r="L40" s="2137">
        <v>0</v>
      </c>
      <c r="M40" s="2083">
        <v>0</v>
      </c>
      <c r="N40" s="2083">
        <v>0</v>
      </c>
      <c r="O40" s="2099">
        <v>0</v>
      </c>
      <c r="P40" s="2135">
        <v>0</v>
      </c>
      <c r="Q40" s="2135">
        <v>0</v>
      </c>
      <c r="R40" s="2136">
        <v>0</v>
      </c>
      <c r="S40" s="2076"/>
      <c r="T40" s="2169">
        <v>0</v>
      </c>
    </row>
    <row r="41" spans="2:20" ht="13.8" x14ac:dyDescent="0.3">
      <c r="B41" s="3571"/>
      <c r="C41" s="3666" t="s">
        <v>1121</v>
      </c>
      <c r="D41" s="4519">
        <v>26100</v>
      </c>
      <c r="E41" s="4519">
        <v>26100</v>
      </c>
      <c r="F41" s="3699">
        <f t="shared" si="6"/>
        <v>52200</v>
      </c>
      <c r="G41" s="2076"/>
      <c r="H41" s="2098"/>
      <c r="I41" s="2123" t="s">
        <v>238</v>
      </c>
      <c r="J41" s="2124"/>
      <c r="K41" s="2126"/>
      <c r="L41" s="2137">
        <v>0</v>
      </c>
      <c r="M41" s="2083">
        <v>0</v>
      </c>
      <c r="N41" s="2083">
        <v>0</v>
      </c>
      <c r="O41" s="2099">
        <v>0</v>
      </c>
      <c r="P41" s="2135">
        <v>0</v>
      </c>
      <c r="Q41" s="2135">
        <v>0</v>
      </c>
      <c r="R41" s="2136">
        <v>0</v>
      </c>
      <c r="S41" s="2076"/>
      <c r="T41" s="2169">
        <v>0</v>
      </c>
    </row>
    <row r="42" spans="2:20" ht="13.8" x14ac:dyDescent="0.3">
      <c r="B42" s="2151"/>
      <c r="C42" s="3666" t="s">
        <v>1122</v>
      </c>
      <c r="D42" s="4519">
        <v>11500</v>
      </c>
      <c r="E42" s="4519">
        <v>11500</v>
      </c>
      <c r="F42" s="3699">
        <f t="shared" si="6"/>
        <v>23000</v>
      </c>
      <c r="G42" s="2076"/>
      <c r="H42" s="2098"/>
      <c r="I42" s="2123" t="s">
        <v>239</v>
      </c>
      <c r="J42" s="2124"/>
      <c r="K42" s="2126"/>
      <c r="L42" s="2137">
        <v>0</v>
      </c>
      <c r="M42" s="2083">
        <v>0</v>
      </c>
      <c r="N42" s="2083">
        <v>0</v>
      </c>
      <c r="O42" s="2099">
        <v>0</v>
      </c>
      <c r="P42" s="2135">
        <v>0</v>
      </c>
      <c r="Q42" s="2135">
        <v>0</v>
      </c>
      <c r="R42" s="2136">
        <v>0</v>
      </c>
      <c r="S42" s="2076"/>
      <c r="T42" s="2169">
        <v>0</v>
      </c>
    </row>
    <row r="43" spans="2:20" ht="14.4" thickBot="1" x14ac:dyDescent="0.35">
      <c r="B43" s="2151"/>
      <c r="C43" s="3666" t="s">
        <v>1123</v>
      </c>
      <c r="D43" s="4519">
        <v>8700</v>
      </c>
      <c r="E43" s="4519">
        <v>8700</v>
      </c>
      <c r="F43" s="3699">
        <f t="shared" si="6"/>
        <v>17400</v>
      </c>
      <c r="G43" s="2076"/>
      <c r="H43" s="2098"/>
      <c r="I43" s="2123" t="s">
        <v>240</v>
      </c>
      <c r="J43" s="2124"/>
      <c r="K43" s="2126"/>
      <c r="L43" s="2137">
        <v>0</v>
      </c>
      <c r="M43" s="2083">
        <v>0</v>
      </c>
      <c r="N43" s="2083">
        <v>0</v>
      </c>
      <c r="O43" s="2099">
        <v>0</v>
      </c>
      <c r="P43" s="2135">
        <v>0</v>
      </c>
      <c r="Q43" s="2135">
        <v>0</v>
      </c>
      <c r="R43" s="2136">
        <v>0</v>
      </c>
      <c r="S43" s="2076"/>
      <c r="T43" s="2169">
        <v>0</v>
      </c>
    </row>
    <row r="44" spans="2:20" ht="14.4" thickBot="1" x14ac:dyDescent="0.35">
      <c r="B44" s="2149">
        <v>0</v>
      </c>
      <c r="C44" s="2108" t="s">
        <v>173</v>
      </c>
      <c r="D44" s="3598">
        <f>SUM(D45:D48)</f>
        <v>7604</v>
      </c>
      <c r="E44" s="3598">
        <f>SUM(E45:E48)</f>
        <v>7604</v>
      </c>
      <c r="F44" s="3576">
        <f>SUM(D44:E44)</f>
        <v>15208</v>
      </c>
      <c r="G44" s="2076"/>
      <c r="H44" s="2098"/>
      <c r="I44" s="2123" t="s">
        <v>241</v>
      </c>
      <c r="J44" s="2124"/>
      <c r="K44" s="2126"/>
      <c r="L44" s="2137">
        <v>0</v>
      </c>
      <c r="M44" s="2083">
        <v>0</v>
      </c>
      <c r="N44" s="2083">
        <v>0</v>
      </c>
      <c r="O44" s="2099">
        <v>0</v>
      </c>
      <c r="P44" s="2135">
        <v>0</v>
      </c>
      <c r="Q44" s="2135">
        <v>0</v>
      </c>
      <c r="R44" s="2136">
        <v>0</v>
      </c>
      <c r="S44" s="2076"/>
      <c r="T44" s="2169">
        <v>0</v>
      </c>
    </row>
    <row r="45" spans="2:20" ht="13.8" x14ac:dyDescent="0.3">
      <c r="B45" s="2151"/>
      <c r="C45" s="3676" t="s">
        <v>912</v>
      </c>
      <c r="D45" s="2091">
        <v>7604</v>
      </c>
      <c r="E45" s="2091">
        <v>7604</v>
      </c>
      <c r="F45" s="2090">
        <f>SUM(D45:E45)</f>
        <v>15208</v>
      </c>
      <c r="G45" s="2076"/>
      <c r="H45" s="2098"/>
      <c r="I45" s="2123" t="s">
        <v>242</v>
      </c>
      <c r="J45" s="2124"/>
      <c r="K45" s="2126"/>
      <c r="L45" s="2137">
        <v>0</v>
      </c>
      <c r="M45" s="2083">
        <v>0</v>
      </c>
      <c r="N45" s="2083">
        <v>0</v>
      </c>
      <c r="O45" s="2099">
        <v>0</v>
      </c>
      <c r="P45" s="2135">
        <v>0</v>
      </c>
      <c r="Q45" s="2135">
        <v>0</v>
      </c>
      <c r="R45" s="2136">
        <v>0</v>
      </c>
      <c r="S45" s="2076"/>
      <c r="T45" s="2169">
        <v>0</v>
      </c>
    </row>
    <row r="46" spans="2:20" ht="13.8" x14ac:dyDescent="0.3">
      <c r="B46" s="3673"/>
      <c r="C46" s="3676"/>
      <c r="D46" s="3678"/>
      <c r="E46" s="3678"/>
      <c r="F46" s="3677">
        <f t="shared" ref="F46:F48" si="7">SUM(D46:E46)</f>
        <v>0</v>
      </c>
      <c r="G46" s="2076"/>
      <c r="H46" s="2098"/>
      <c r="I46" s="2123" t="s">
        <v>243</v>
      </c>
      <c r="J46" s="2124"/>
      <c r="K46" s="2126"/>
      <c r="L46" s="2137">
        <v>0</v>
      </c>
      <c r="M46" s="2083">
        <v>0</v>
      </c>
      <c r="N46" s="2083">
        <v>0</v>
      </c>
      <c r="O46" s="2099">
        <v>0</v>
      </c>
      <c r="P46" s="2135">
        <v>0</v>
      </c>
      <c r="Q46" s="2135">
        <v>0</v>
      </c>
      <c r="R46" s="2136">
        <v>0</v>
      </c>
      <c r="S46" s="2076"/>
      <c r="T46" s="2169">
        <v>0</v>
      </c>
    </row>
    <row r="47" spans="2:20" ht="13.8" x14ac:dyDescent="0.3">
      <c r="B47" s="2151"/>
      <c r="C47" s="3676"/>
      <c r="D47" s="3678"/>
      <c r="E47" s="3678"/>
      <c r="F47" s="3596">
        <f t="shared" si="7"/>
        <v>0</v>
      </c>
      <c r="G47" s="2076"/>
      <c r="H47" s="2098"/>
      <c r="I47" s="2123" t="s">
        <v>244</v>
      </c>
      <c r="J47" s="2124"/>
      <c r="K47" s="2126"/>
      <c r="L47" s="2137">
        <v>0</v>
      </c>
      <c r="M47" s="2083">
        <v>0</v>
      </c>
      <c r="N47" s="2083">
        <v>0</v>
      </c>
      <c r="O47" s="2099">
        <v>0</v>
      </c>
      <c r="P47" s="2135">
        <v>0</v>
      </c>
      <c r="Q47" s="2135">
        <v>0</v>
      </c>
      <c r="R47" s="2136">
        <v>0</v>
      </c>
      <c r="S47" s="2076"/>
      <c r="T47" s="2169">
        <v>0</v>
      </c>
    </row>
    <row r="48" spans="2:20" ht="14.4" thickBot="1" x14ac:dyDescent="0.35">
      <c r="B48" s="2151"/>
      <c r="C48" s="3676"/>
      <c r="D48" s="3678"/>
      <c r="E48" s="3678"/>
      <c r="F48" s="3596">
        <f t="shared" si="7"/>
        <v>0</v>
      </c>
      <c r="G48" s="2076"/>
      <c r="H48" s="2098"/>
      <c r="I48" s="2123" t="s">
        <v>245</v>
      </c>
      <c r="J48" s="2124"/>
      <c r="K48" s="2126"/>
      <c r="L48" s="2137">
        <v>0</v>
      </c>
      <c r="M48" s="2083">
        <v>0</v>
      </c>
      <c r="N48" s="2083">
        <v>0</v>
      </c>
      <c r="O48" s="2099">
        <v>0</v>
      </c>
      <c r="P48" s="2135">
        <v>0</v>
      </c>
      <c r="Q48" s="2135">
        <v>0</v>
      </c>
      <c r="R48" s="2136">
        <v>0</v>
      </c>
      <c r="S48" s="2076"/>
      <c r="T48" s="2169">
        <v>0</v>
      </c>
    </row>
    <row r="49" spans="2:25" ht="14.4" thickBot="1" x14ac:dyDescent="0.35">
      <c r="B49" s="2149">
        <v>0</v>
      </c>
      <c r="C49" s="2108" t="s">
        <v>174</v>
      </c>
      <c r="D49" s="3598">
        <f>SUM(D50:D53)</f>
        <v>3915</v>
      </c>
      <c r="E49" s="3598">
        <f>SUM(E50:E53)</f>
        <v>3825</v>
      </c>
      <c r="F49" s="3576">
        <f>SUM(D49:E49)</f>
        <v>7740</v>
      </c>
      <c r="G49" s="2076"/>
      <c r="H49" s="2098"/>
      <c r="I49" s="2123" t="s">
        <v>246</v>
      </c>
      <c r="J49" s="2124"/>
      <c r="K49" s="2126"/>
      <c r="L49" s="2137">
        <v>0</v>
      </c>
      <c r="M49" s="2083">
        <v>0</v>
      </c>
      <c r="N49" s="2083">
        <v>0</v>
      </c>
      <c r="O49" s="2099">
        <v>0</v>
      </c>
      <c r="P49" s="2135">
        <v>0</v>
      </c>
      <c r="Q49" s="2135">
        <v>0</v>
      </c>
      <c r="R49" s="2136">
        <v>0</v>
      </c>
      <c r="S49" s="2076"/>
      <c r="T49" s="2169">
        <v>0</v>
      </c>
    </row>
    <row r="50" spans="2:25" ht="13.8" x14ac:dyDescent="0.3">
      <c r="B50" s="2151"/>
      <c r="C50" s="3667" t="s">
        <v>1124</v>
      </c>
      <c r="D50" s="3909">
        <v>2175</v>
      </c>
      <c r="E50" s="3909">
        <v>2175</v>
      </c>
      <c r="F50" s="2090">
        <f>SUM(D50:E50)</f>
        <v>4350</v>
      </c>
      <c r="G50" s="2076"/>
      <c r="H50" s="2076"/>
      <c r="I50" s="2123" t="s">
        <v>247</v>
      </c>
      <c r="J50" s="2124"/>
      <c r="K50" s="2125"/>
      <c r="L50" s="2137">
        <v>0</v>
      </c>
      <c r="M50" s="2083">
        <v>0</v>
      </c>
      <c r="N50" s="2083">
        <v>0</v>
      </c>
      <c r="O50" s="2099">
        <v>0</v>
      </c>
      <c r="P50" s="2135">
        <v>0</v>
      </c>
      <c r="Q50" s="2135">
        <v>0</v>
      </c>
      <c r="R50" s="2136">
        <v>0</v>
      </c>
      <c r="S50" s="2076"/>
      <c r="T50" s="2169">
        <v>0</v>
      </c>
      <c r="U50" s="2076"/>
      <c r="V50" s="2076"/>
      <c r="W50" s="2076"/>
      <c r="X50" s="2076"/>
    </row>
    <row r="51" spans="2:25" ht="13.8" x14ac:dyDescent="0.3">
      <c r="B51" s="2151"/>
      <c r="C51" s="3667" t="s">
        <v>1125</v>
      </c>
      <c r="D51" s="3909">
        <v>435</v>
      </c>
      <c r="E51" s="3909">
        <v>435</v>
      </c>
      <c r="F51" s="3596">
        <f t="shared" ref="F51:F53" si="8">SUM(D51:E51)</f>
        <v>870</v>
      </c>
      <c r="G51" s="2076"/>
      <c r="H51" s="2076"/>
      <c r="I51" s="2123" t="s">
        <v>248</v>
      </c>
      <c r="J51" s="2124"/>
      <c r="K51" s="2125"/>
      <c r="L51" s="2137">
        <v>0</v>
      </c>
      <c r="M51" s="2083">
        <v>0</v>
      </c>
      <c r="N51" s="2083">
        <v>0</v>
      </c>
      <c r="O51" s="2099">
        <v>0</v>
      </c>
      <c r="P51" s="2135">
        <v>0</v>
      </c>
      <c r="Q51" s="2135">
        <v>0</v>
      </c>
      <c r="R51" s="2136">
        <v>0</v>
      </c>
      <c r="S51" s="2076"/>
      <c r="T51" s="2169">
        <v>0</v>
      </c>
      <c r="U51" s="2076"/>
      <c r="V51" s="2076"/>
      <c r="W51" s="2076"/>
      <c r="X51" s="2076"/>
    </row>
    <row r="52" spans="2:25" ht="13.8" x14ac:dyDescent="0.3">
      <c r="B52" s="2151"/>
      <c r="C52" s="3667" t="s">
        <v>1126</v>
      </c>
      <c r="D52" s="3909">
        <v>435</v>
      </c>
      <c r="E52" s="3909">
        <v>435</v>
      </c>
      <c r="F52" s="3596">
        <f t="shared" si="8"/>
        <v>870</v>
      </c>
      <c r="G52" s="2076"/>
      <c r="H52" s="2076"/>
      <c r="I52" s="2123" t="s">
        <v>249</v>
      </c>
      <c r="J52" s="2124"/>
      <c r="K52" s="2125"/>
      <c r="L52" s="2137">
        <v>0</v>
      </c>
      <c r="M52" s="2083">
        <v>0</v>
      </c>
      <c r="N52" s="2083">
        <v>0</v>
      </c>
      <c r="O52" s="2099">
        <v>0</v>
      </c>
      <c r="P52" s="2135">
        <v>0</v>
      </c>
      <c r="Q52" s="2135">
        <v>0</v>
      </c>
      <c r="R52" s="2136">
        <v>0</v>
      </c>
      <c r="S52" s="2076"/>
      <c r="T52" s="2169">
        <v>0</v>
      </c>
      <c r="U52" s="2076"/>
      <c r="V52" s="2076"/>
      <c r="W52" s="2076"/>
      <c r="X52" s="2076"/>
    </row>
    <row r="53" spans="2:25" ht="14.4" thickBot="1" x14ac:dyDescent="0.35">
      <c r="B53" s="2151"/>
      <c r="C53" s="3676" t="s">
        <v>1129</v>
      </c>
      <c r="D53" s="3909">
        <v>870</v>
      </c>
      <c r="E53" s="3909">
        <v>780</v>
      </c>
      <c r="F53" s="3596">
        <f t="shared" si="8"/>
        <v>1650</v>
      </c>
      <c r="G53" s="2111" t="s">
        <v>176</v>
      </c>
      <c r="H53" s="2076"/>
      <c r="I53" s="2123" t="s">
        <v>250</v>
      </c>
      <c r="J53" s="2124"/>
      <c r="K53" s="2125"/>
      <c r="L53" s="2137">
        <v>0</v>
      </c>
      <c r="M53" s="2083">
        <v>0</v>
      </c>
      <c r="N53" s="2083">
        <v>0</v>
      </c>
      <c r="O53" s="2099">
        <v>0</v>
      </c>
      <c r="P53" s="2135">
        <v>0</v>
      </c>
      <c r="Q53" s="2135">
        <v>0</v>
      </c>
      <c r="R53" s="2136">
        <v>0</v>
      </c>
      <c r="S53" s="2076"/>
      <c r="T53" s="2169">
        <v>0</v>
      </c>
      <c r="U53" s="2076"/>
      <c r="V53" s="2076"/>
      <c r="W53" s="2076"/>
      <c r="X53" s="2076"/>
    </row>
    <row r="54" spans="2:25" ht="14.4" thickBot="1" x14ac:dyDescent="0.35">
      <c r="B54" s="2149">
        <v>0</v>
      </c>
      <c r="C54" s="2108" t="s">
        <v>175</v>
      </c>
      <c r="D54" s="2109">
        <v>0</v>
      </c>
      <c r="E54" s="2109">
        <v>0</v>
      </c>
      <c r="F54" s="3576">
        <f>SUM(D54:E54)</f>
        <v>0</v>
      </c>
      <c r="G54" s="2076"/>
      <c r="H54" s="2076"/>
      <c r="I54" s="2123" t="s">
        <v>251</v>
      </c>
      <c r="J54" s="2124"/>
      <c r="K54" s="2125"/>
      <c r="L54" s="2137">
        <v>0</v>
      </c>
      <c r="M54" s="2083">
        <v>0</v>
      </c>
      <c r="N54" s="2083">
        <v>0</v>
      </c>
      <c r="O54" s="2099">
        <v>0</v>
      </c>
      <c r="P54" s="2135">
        <v>0</v>
      </c>
      <c r="Q54" s="2135">
        <v>0</v>
      </c>
      <c r="R54" s="2136">
        <v>0</v>
      </c>
      <c r="S54" s="2076"/>
      <c r="T54" s="2169">
        <v>0</v>
      </c>
      <c r="U54" s="2076"/>
      <c r="V54" s="2076"/>
      <c r="W54" s="2076"/>
      <c r="X54" s="2076"/>
    </row>
    <row r="55" spans="2:25" ht="14.4" thickBot="1" x14ac:dyDescent="0.35">
      <c r="B55" s="2149">
        <v>0</v>
      </c>
      <c r="C55" s="2108" t="s">
        <v>177</v>
      </c>
      <c r="D55" s="2109">
        <v>0</v>
      </c>
      <c r="E55" s="2109">
        <v>0</v>
      </c>
      <c r="F55" s="3576">
        <f>SUM(D55:E55)</f>
        <v>0</v>
      </c>
      <c r="G55" s="2076"/>
      <c r="H55" s="2076"/>
      <c r="I55" s="2076"/>
      <c r="J55" s="2076"/>
      <c r="K55" s="2076"/>
      <c r="L55" s="2076"/>
      <c r="M55" s="2076"/>
      <c r="N55" s="2076"/>
      <c r="O55" s="2076"/>
      <c r="P55" s="2157">
        <v>0</v>
      </c>
      <c r="Q55" s="2157">
        <v>0</v>
      </c>
      <c r="R55" s="2157">
        <v>0</v>
      </c>
      <c r="S55" s="2076"/>
      <c r="T55" s="2157">
        <v>0</v>
      </c>
      <c r="U55" s="2076"/>
      <c r="V55" s="2076"/>
      <c r="W55" s="2076"/>
      <c r="X55" s="2076"/>
    </row>
    <row r="56" spans="2:25" ht="13.8" x14ac:dyDescent="0.3">
      <c r="B56" s="2093">
        <v>71496</v>
      </c>
      <c r="C56" s="2077" t="s">
        <v>178</v>
      </c>
      <c r="D56" s="2093">
        <f>D13+D18+D23+D28+D33+D38+D44+D49+D54+D55</f>
        <v>414362.65480000002</v>
      </c>
      <c r="E56" s="3668">
        <f>E13+E18+E23+E28+E33+E38+E44+E49+E54+E55</f>
        <v>426520.16709999996</v>
      </c>
      <c r="F56" s="3668">
        <f>F13+F18+F23+F28+F33+F38+F44+F49+F54+F55</f>
        <v>840882.8219000001</v>
      </c>
      <c r="G56" s="2076"/>
      <c r="H56" s="2076"/>
      <c r="I56" s="2076"/>
      <c r="J56" s="2076"/>
      <c r="K56" s="2076"/>
      <c r="L56" s="2076"/>
      <c r="M56" s="2076"/>
      <c r="N56" s="2076"/>
      <c r="O56" s="2076"/>
      <c r="P56" s="2076"/>
      <c r="Q56" s="2076"/>
      <c r="R56" s="2076"/>
      <c r="S56" s="2076"/>
      <c r="T56" s="2076"/>
      <c r="U56" s="2076"/>
      <c r="V56" s="2076"/>
      <c r="W56" s="2076"/>
      <c r="X56" s="2076"/>
    </row>
    <row r="57" spans="2:25" ht="13.8" x14ac:dyDescent="0.3">
      <c r="B57" s="2076"/>
      <c r="C57" s="2077"/>
      <c r="D57" s="2093"/>
      <c r="E57" s="2093"/>
      <c r="F57" s="2093"/>
      <c r="G57" s="2076"/>
      <c r="H57" s="2076"/>
      <c r="I57" s="2076"/>
      <c r="J57" s="2076"/>
      <c r="K57" s="2076"/>
      <c r="L57" s="2076"/>
      <c r="M57" s="2076"/>
      <c r="N57" s="2076"/>
      <c r="O57" s="2076"/>
      <c r="P57" s="2076"/>
      <c r="Q57" s="2076"/>
      <c r="R57" s="2076"/>
      <c r="S57" s="2076"/>
      <c r="T57" s="2076"/>
      <c r="U57" s="2076"/>
      <c r="V57" s="2076"/>
      <c r="W57" s="2076"/>
      <c r="X57" s="2076"/>
    </row>
    <row r="58" spans="2:25" ht="13.8" x14ac:dyDescent="0.3">
      <c r="B58" s="2076"/>
      <c r="C58" s="2077" t="s">
        <v>179</v>
      </c>
      <c r="D58" s="2093">
        <v>337821.79499999998</v>
      </c>
      <c r="E58" s="2093">
        <v>349263.54</v>
      </c>
      <c r="F58" s="2093">
        <v>687085.33499999996</v>
      </c>
      <c r="G58" s="2172">
        <v>0</v>
      </c>
      <c r="H58" s="2173" t="s">
        <v>181</v>
      </c>
      <c r="I58" s="2076"/>
      <c r="J58" s="2076"/>
      <c r="K58" s="2076"/>
      <c r="L58" s="2076"/>
      <c r="M58" s="2076"/>
      <c r="N58" s="2076"/>
      <c r="O58" s="2076"/>
      <c r="P58" s="2076"/>
      <c r="Q58" s="2076"/>
      <c r="R58" s="2076"/>
      <c r="S58" s="2076"/>
      <c r="T58" s="2076"/>
      <c r="U58" s="2076"/>
      <c r="V58" s="2076"/>
      <c r="W58" s="2076"/>
      <c r="X58" s="2076"/>
    </row>
    <row r="59" spans="2:25" ht="13.8" x14ac:dyDescent="0.3">
      <c r="B59" s="2076"/>
      <c r="C59" s="2077" t="s">
        <v>180</v>
      </c>
      <c r="D59" s="2078">
        <v>0</v>
      </c>
      <c r="E59" s="2078">
        <v>0</v>
      </c>
      <c r="F59" s="2078">
        <v>0</v>
      </c>
      <c r="G59" s="2076"/>
      <c r="H59" s="2076"/>
      <c r="I59" s="2076"/>
      <c r="J59" s="2076"/>
      <c r="K59" s="2076"/>
      <c r="L59" s="2076"/>
      <c r="M59" s="2076"/>
      <c r="N59" s="2076"/>
      <c r="O59" s="2076"/>
      <c r="P59" s="2076"/>
      <c r="Q59" s="2076"/>
      <c r="R59" s="2076"/>
      <c r="S59" s="2076"/>
      <c r="T59" s="2076"/>
      <c r="U59" s="2076"/>
      <c r="V59" s="2076"/>
      <c r="W59" s="2076"/>
      <c r="X59" s="2076"/>
    </row>
    <row r="60" spans="2:25" ht="14.4" thickBot="1" x14ac:dyDescent="0.35">
      <c r="B60" s="2076"/>
      <c r="C60" s="2076"/>
      <c r="D60" s="2076"/>
      <c r="E60" s="2076"/>
      <c r="F60" s="2076"/>
      <c r="G60" s="3665"/>
      <c r="H60" s="3665"/>
      <c r="I60" s="3665"/>
      <c r="J60" s="3665"/>
      <c r="K60" s="3665"/>
      <c r="L60" s="3665"/>
      <c r="M60" s="3665"/>
      <c r="N60" s="3665"/>
      <c r="O60" s="3665"/>
      <c r="P60" s="3665"/>
      <c r="Q60" s="3665"/>
      <c r="R60" s="3665"/>
      <c r="S60" s="3665"/>
      <c r="T60" s="3665"/>
      <c r="U60" s="3665"/>
      <c r="V60" s="3665"/>
      <c r="W60" s="3665"/>
      <c r="X60" s="3665"/>
    </row>
    <row r="61" spans="2:25" ht="16.2" thickBot="1" x14ac:dyDescent="0.35">
      <c r="B61" s="2121" t="s">
        <v>182</v>
      </c>
      <c r="C61" s="2122"/>
      <c r="D61" s="3625" t="s">
        <v>183</v>
      </c>
      <c r="E61" s="3624"/>
      <c r="F61" s="3624"/>
      <c r="G61" s="3662"/>
      <c r="H61" s="3662"/>
      <c r="I61" s="2076"/>
      <c r="J61" s="2076"/>
      <c r="K61" s="3672"/>
      <c r="L61" s="2076"/>
      <c r="M61" s="2076"/>
      <c r="N61" s="2076"/>
      <c r="O61" s="2076"/>
      <c r="P61" s="2076"/>
      <c r="Q61" s="2076"/>
      <c r="R61" s="2076"/>
      <c r="S61" s="2076"/>
      <c r="T61" s="2076"/>
      <c r="U61" s="2076"/>
      <c r="V61" s="2076"/>
      <c r="W61" s="2076"/>
      <c r="X61" s="2076"/>
    </row>
    <row r="62" spans="2:25" ht="16.2" thickBot="1" x14ac:dyDescent="0.35">
      <c r="B62" s="3621" t="s">
        <v>184</v>
      </c>
      <c r="C62" s="3622"/>
      <c r="D62" s="3622"/>
      <c r="E62" s="3622"/>
      <c r="F62" s="3622"/>
      <c r="G62" s="3622"/>
      <c r="H62" s="3622"/>
      <c r="I62" s="3622"/>
      <c r="J62" s="3622"/>
      <c r="K62" s="3623"/>
      <c r="L62" s="4785" t="s">
        <v>185</v>
      </c>
      <c r="M62" s="4786"/>
      <c r="N62" s="4786"/>
      <c r="O62" s="4786"/>
      <c r="P62" s="4786"/>
      <c r="Q62" s="4786"/>
      <c r="R62" s="4787"/>
      <c r="S62" s="4785" t="s">
        <v>186</v>
      </c>
      <c r="T62" s="4786"/>
      <c r="U62" s="4787"/>
      <c r="V62" s="4785" t="s">
        <v>132</v>
      </c>
      <c r="W62" s="4786"/>
      <c r="X62" s="4787"/>
      <c r="Y62" s="3369"/>
    </row>
    <row r="63" spans="2:25" ht="14.4" thickBot="1" x14ac:dyDescent="0.35">
      <c r="B63" s="2084" t="s">
        <v>187</v>
      </c>
      <c r="C63" s="2085" t="s">
        <v>152</v>
      </c>
      <c r="D63" s="2085" t="s">
        <v>153</v>
      </c>
      <c r="E63" s="2085" t="s">
        <v>188</v>
      </c>
      <c r="F63" s="2085" t="s">
        <v>189</v>
      </c>
      <c r="G63" s="2085" t="s">
        <v>190</v>
      </c>
      <c r="H63" s="2085" t="s">
        <v>191</v>
      </c>
      <c r="I63" s="2085" t="s">
        <v>192</v>
      </c>
      <c r="J63" s="2085" t="s">
        <v>193</v>
      </c>
      <c r="K63" s="2086" t="s">
        <v>194</v>
      </c>
      <c r="L63" s="2158" t="s">
        <v>195</v>
      </c>
      <c r="M63" s="2112" t="s">
        <v>196</v>
      </c>
      <c r="N63" s="2112" t="s">
        <v>891</v>
      </c>
      <c r="O63" s="2112" t="s">
        <v>892</v>
      </c>
      <c r="P63" s="2119" t="s">
        <v>893</v>
      </c>
      <c r="Q63" s="2119" t="s">
        <v>894</v>
      </c>
      <c r="R63" s="2119" t="s">
        <v>885</v>
      </c>
      <c r="S63" s="2096" t="s">
        <v>202</v>
      </c>
      <c r="T63" s="2096" t="s">
        <v>203</v>
      </c>
      <c r="U63" s="2097" t="s">
        <v>204</v>
      </c>
      <c r="V63" s="2096" t="s">
        <v>137</v>
      </c>
      <c r="W63" s="2096" t="s">
        <v>12</v>
      </c>
      <c r="X63" s="2097" t="s">
        <v>138</v>
      </c>
      <c r="Y63" s="3369"/>
    </row>
    <row r="64" spans="2:25" ht="13.8" x14ac:dyDescent="0.3">
      <c r="B64" s="2083"/>
      <c r="C64" s="2080" t="s">
        <v>409</v>
      </c>
      <c r="D64" s="2083"/>
      <c r="E64" s="2083" t="s">
        <v>206</v>
      </c>
      <c r="F64" s="2083" t="s">
        <v>211</v>
      </c>
      <c r="G64" s="2089"/>
      <c r="H64" s="2171"/>
      <c r="I64" s="2100">
        <v>0</v>
      </c>
      <c r="J64" s="2083"/>
      <c r="K64" s="2083"/>
      <c r="L64" s="2113" t="e">
        <v>#N/A</v>
      </c>
      <c r="M64" s="2113" t="e">
        <v>#N/A</v>
      </c>
      <c r="N64" s="2105" t="e">
        <v>#DIV/0!</v>
      </c>
      <c r="O64" s="2105" t="e">
        <v>#DIV/0!</v>
      </c>
      <c r="P64" s="2105" t="e">
        <v>#N/A</v>
      </c>
      <c r="Q64" s="2105" t="e">
        <v>#N/A</v>
      </c>
      <c r="R64" s="2105" t="e">
        <v>#N/A</v>
      </c>
      <c r="S64" s="2102">
        <v>0</v>
      </c>
      <c r="T64" s="2102">
        <v>0</v>
      </c>
      <c r="U64" s="2102">
        <v>0</v>
      </c>
      <c r="V64" s="2174" t="e">
        <v>#DIV/0!</v>
      </c>
      <c r="W64" s="2174" t="e">
        <v>#DIV/0!</v>
      </c>
      <c r="X64" s="2174" t="e">
        <v>#DIV/0!</v>
      </c>
      <c r="Y64" s="3369"/>
    </row>
    <row r="65" spans="2:25" ht="13.8" x14ac:dyDescent="0.3">
      <c r="B65" s="2080"/>
      <c r="C65" s="2080" t="s">
        <v>410</v>
      </c>
      <c r="D65" s="2080"/>
      <c r="E65" s="2080" t="s">
        <v>206</v>
      </c>
      <c r="F65" s="2083" t="s">
        <v>211</v>
      </c>
      <c r="G65" s="2089"/>
      <c r="H65" s="2171"/>
      <c r="I65" s="2100">
        <v>0</v>
      </c>
      <c r="J65" s="2083"/>
      <c r="K65" s="2083"/>
      <c r="L65" s="2113" t="e">
        <v>#N/A</v>
      </c>
      <c r="M65" s="2113" t="e">
        <v>#N/A</v>
      </c>
      <c r="N65" s="2105" t="e">
        <v>#DIV/0!</v>
      </c>
      <c r="O65" s="2105" t="e">
        <v>#DIV/0!</v>
      </c>
      <c r="P65" s="2105" t="e">
        <v>#N/A</v>
      </c>
      <c r="Q65" s="2105" t="e">
        <v>#N/A</v>
      </c>
      <c r="R65" s="2105" t="e">
        <v>#N/A</v>
      </c>
      <c r="S65" s="2102">
        <v>0</v>
      </c>
      <c r="T65" s="2102">
        <v>0</v>
      </c>
      <c r="U65" s="2102">
        <v>0</v>
      </c>
      <c r="V65" s="2174" t="e">
        <v>#DIV/0!</v>
      </c>
      <c r="W65" s="2174" t="e">
        <v>#DIV/0!</v>
      </c>
      <c r="X65" s="2174" t="e">
        <v>#DIV/0!</v>
      </c>
      <c r="Y65" s="3369"/>
    </row>
    <row r="66" spans="2:25" ht="13.8" x14ac:dyDescent="0.3">
      <c r="B66" s="2080"/>
      <c r="C66" s="2080" t="s">
        <v>411</v>
      </c>
      <c r="D66" s="2080">
        <v>0</v>
      </c>
      <c r="E66" s="2080" t="s">
        <v>206</v>
      </c>
      <c r="F66" s="2080" t="s">
        <v>211</v>
      </c>
      <c r="G66" s="2089"/>
      <c r="H66" s="2089"/>
      <c r="I66" s="2100">
        <v>0</v>
      </c>
      <c r="J66" s="2083"/>
      <c r="K66" s="2083"/>
      <c r="L66" s="2113" t="e">
        <v>#N/A</v>
      </c>
      <c r="M66" s="2113" t="e">
        <v>#N/A</v>
      </c>
      <c r="N66" s="2105" t="e">
        <v>#DIV/0!</v>
      </c>
      <c r="O66" s="2105" t="e">
        <v>#DIV/0!</v>
      </c>
      <c r="P66" s="2105" t="e">
        <v>#N/A</v>
      </c>
      <c r="Q66" s="2105" t="e">
        <v>#N/A</v>
      </c>
      <c r="R66" s="2105" t="e">
        <v>#N/A</v>
      </c>
      <c r="S66" s="2102">
        <v>0</v>
      </c>
      <c r="T66" s="2102">
        <v>0</v>
      </c>
      <c r="U66" s="2102">
        <v>0</v>
      </c>
      <c r="V66" s="2174" t="e">
        <v>#DIV/0!</v>
      </c>
      <c r="W66" s="2174" t="e">
        <v>#DIV/0!</v>
      </c>
      <c r="X66" s="2174" t="e">
        <v>#DIV/0!</v>
      </c>
      <c r="Y66" s="3369"/>
    </row>
    <row r="67" spans="2:25" ht="13.8" x14ac:dyDescent="0.3">
      <c r="B67" s="2080"/>
      <c r="C67" s="2080" t="s">
        <v>213</v>
      </c>
      <c r="D67" s="2080">
        <v>0</v>
      </c>
      <c r="E67" s="2080" t="s">
        <v>206</v>
      </c>
      <c r="F67" s="2080" t="s">
        <v>211</v>
      </c>
      <c r="G67" s="2089"/>
      <c r="H67" s="2089"/>
      <c r="I67" s="2100">
        <v>0</v>
      </c>
      <c r="J67" s="2083"/>
      <c r="K67" s="2083"/>
      <c r="L67" s="2113" t="e">
        <v>#N/A</v>
      </c>
      <c r="M67" s="2113" t="e">
        <v>#N/A</v>
      </c>
      <c r="N67" s="2105" t="e">
        <v>#DIV/0!</v>
      </c>
      <c r="O67" s="2105" t="e">
        <v>#DIV/0!</v>
      </c>
      <c r="P67" s="2105" t="e">
        <v>#N/A</v>
      </c>
      <c r="Q67" s="2105" t="e">
        <v>#N/A</v>
      </c>
      <c r="R67" s="2105" t="e">
        <v>#N/A</v>
      </c>
      <c r="S67" s="2102">
        <v>0</v>
      </c>
      <c r="T67" s="2102">
        <v>0</v>
      </c>
      <c r="U67" s="2102">
        <v>0</v>
      </c>
      <c r="V67" s="2174" t="e">
        <v>#DIV/0!</v>
      </c>
      <c r="W67" s="2174" t="e">
        <v>#DIV/0!</v>
      </c>
      <c r="X67" s="2174" t="e">
        <v>#DIV/0!</v>
      </c>
      <c r="Y67" s="3369"/>
    </row>
    <row r="68" spans="2:25" ht="13.8" x14ac:dyDescent="0.3">
      <c r="B68" s="2080"/>
      <c r="C68" s="2080" t="s">
        <v>214</v>
      </c>
      <c r="D68" s="2080">
        <v>0</v>
      </c>
      <c r="E68" s="2080" t="s">
        <v>206</v>
      </c>
      <c r="F68" s="2080" t="s">
        <v>211</v>
      </c>
      <c r="G68" s="2089"/>
      <c r="H68" s="2089"/>
      <c r="I68" s="2100">
        <v>0</v>
      </c>
      <c r="J68" s="2083"/>
      <c r="K68" s="2083"/>
      <c r="L68" s="2113" t="e">
        <v>#N/A</v>
      </c>
      <c r="M68" s="2113" t="e">
        <v>#N/A</v>
      </c>
      <c r="N68" s="2105" t="e">
        <v>#DIV/0!</v>
      </c>
      <c r="O68" s="2105" t="e">
        <v>#DIV/0!</v>
      </c>
      <c r="P68" s="2105" t="e">
        <v>#N/A</v>
      </c>
      <c r="Q68" s="2153" t="e">
        <v>#N/A</v>
      </c>
      <c r="R68" s="2105" t="e">
        <v>#N/A</v>
      </c>
      <c r="S68" s="2102">
        <v>0</v>
      </c>
      <c r="T68" s="2102">
        <v>0</v>
      </c>
      <c r="U68" s="2102">
        <v>0</v>
      </c>
      <c r="V68" s="2174" t="e">
        <v>#DIV/0!</v>
      </c>
      <c r="W68" s="2174" t="e">
        <v>#DIV/0!</v>
      </c>
      <c r="X68" s="2174" t="e">
        <v>#DIV/0!</v>
      </c>
      <c r="Y68" s="3369"/>
    </row>
    <row r="69" spans="2:25" ht="13.8" x14ac:dyDescent="0.3">
      <c r="B69" s="2080"/>
      <c r="C69" s="2080" t="s">
        <v>215</v>
      </c>
      <c r="D69" s="2080">
        <v>0</v>
      </c>
      <c r="E69" s="2080" t="s">
        <v>206</v>
      </c>
      <c r="F69" s="2080" t="s">
        <v>211</v>
      </c>
      <c r="G69" s="2089"/>
      <c r="H69" s="2089"/>
      <c r="I69" s="2100">
        <v>0</v>
      </c>
      <c r="J69" s="2083"/>
      <c r="K69" s="2083"/>
      <c r="L69" s="2113" t="e">
        <v>#N/A</v>
      </c>
      <c r="M69" s="2113" t="e">
        <v>#N/A</v>
      </c>
      <c r="N69" s="2105" t="e">
        <v>#DIV/0!</v>
      </c>
      <c r="O69" s="2105" t="e">
        <v>#DIV/0!</v>
      </c>
      <c r="P69" s="2105" t="e">
        <v>#N/A</v>
      </c>
      <c r="Q69" s="2153" t="e">
        <v>#N/A</v>
      </c>
      <c r="R69" s="2105" t="e">
        <v>#N/A</v>
      </c>
      <c r="S69" s="2102">
        <v>0</v>
      </c>
      <c r="T69" s="2102">
        <v>0</v>
      </c>
      <c r="U69" s="2102">
        <v>0</v>
      </c>
      <c r="V69" s="2174" t="e">
        <v>#DIV/0!</v>
      </c>
      <c r="W69" s="2174" t="e">
        <v>#DIV/0!</v>
      </c>
      <c r="X69" s="2174" t="e">
        <v>#DIV/0!</v>
      </c>
    </row>
    <row r="70" spans="2:25" ht="13.8" x14ac:dyDescent="0.3">
      <c r="B70" s="2080"/>
      <c r="C70" s="2080" t="s">
        <v>216</v>
      </c>
      <c r="D70" s="2080">
        <v>0</v>
      </c>
      <c r="E70" s="2080" t="s">
        <v>206</v>
      </c>
      <c r="F70" s="2080" t="s">
        <v>211</v>
      </c>
      <c r="G70" s="2089"/>
      <c r="H70" s="2089"/>
      <c r="I70" s="2100">
        <v>0</v>
      </c>
      <c r="J70" s="2083"/>
      <c r="K70" s="2083"/>
      <c r="L70" s="2113" t="e">
        <v>#N/A</v>
      </c>
      <c r="M70" s="2113" t="e">
        <v>#N/A</v>
      </c>
      <c r="N70" s="2105" t="e">
        <v>#DIV/0!</v>
      </c>
      <c r="O70" s="2105" t="e">
        <v>#DIV/0!</v>
      </c>
      <c r="P70" s="2105" t="e">
        <v>#N/A</v>
      </c>
      <c r="Q70" s="2153" t="e">
        <v>#N/A</v>
      </c>
      <c r="R70" s="2105" t="e">
        <v>#N/A</v>
      </c>
      <c r="S70" s="2102">
        <v>0</v>
      </c>
      <c r="T70" s="2102">
        <v>0</v>
      </c>
      <c r="U70" s="2102">
        <v>0</v>
      </c>
      <c r="V70" s="2174" t="e">
        <v>#DIV/0!</v>
      </c>
      <c r="W70" s="2174" t="e">
        <v>#DIV/0!</v>
      </c>
      <c r="X70" s="2174" t="e">
        <v>#DIV/0!</v>
      </c>
    </row>
    <row r="71" spans="2:25" ht="13.8" x14ac:dyDescent="0.3">
      <c r="B71" s="2080"/>
      <c r="C71" s="2080" t="s">
        <v>217</v>
      </c>
      <c r="D71" s="2080">
        <v>0</v>
      </c>
      <c r="E71" s="2080" t="s">
        <v>206</v>
      </c>
      <c r="F71" s="2080" t="s">
        <v>211</v>
      </c>
      <c r="G71" s="2089"/>
      <c r="H71" s="2089"/>
      <c r="I71" s="2100">
        <v>0</v>
      </c>
      <c r="J71" s="2083"/>
      <c r="K71" s="2083"/>
      <c r="L71" s="2113" t="e">
        <v>#N/A</v>
      </c>
      <c r="M71" s="2113" t="e">
        <v>#N/A</v>
      </c>
      <c r="N71" s="2105" t="e">
        <v>#DIV/0!</v>
      </c>
      <c r="O71" s="2105" t="e">
        <v>#DIV/0!</v>
      </c>
      <c r="P71" s="2105" t="e">
        <v>#N/A</v>
      </c>
      <c r="Q71" s="2153" t="e">
        <v>#N/A</v>
      </c>
      <c r="R71" s="2105" t="e">
        <v>#N/A</v>
      </c>
      <c r="S71" s="2102">
        <v>0</v>
      </c>
      <c r="T71" s="2102">
        <v>0</v>
      </c>
      <c r="U71" s="2102">
        <v>0</v>
      </c>
      <c r="V71" s="2174" t="e">
        <v>#DIV/0!</v>
      </c>
      <c r="W71" s="2174" t="e">
        <v>#DIV/0!</v>
      </c>
      <c r="X71" s="2174" t="e">
        <v>#DIV/0!</v>
      </c>
    </row>
    <row r="72" spans="2:25" ht="13.8" x14ac:dyDescent="0.3">
      <c r="B72" s="2080"/>
      <c r="C72" s="2080" t="s">
        <v>218</v>
      </c>
      <c r="D72" s="2080">
        <v>0</v>
      </c>
      <c r="E72" s="2080" t="s">
        <v>206</v>
      </c>
      <c r="F72" s="2080" t="s">
        <v>211</v>
      </c>
      <c r="G72" s="2089"/>
      <c r="H72" s="2089"/>
      <c r="I72" s="2100">
        <v>0</v>
      </c>
      <c r="J72" s="2083"/>
      <c r="K72" s="2083"/>
      <c r="L72" s="2113" t="e">
        <v>#N/A</v>
      </c>
      <c r="M72" s="2113" t="e">
        <v>#N/A</v>
      </c>
      <c r="N72" s="2105" t="e">
        <v>#DIV/0!</v>
      </c>
      <c r="O72" s="2105" t="e">
        <v>#DIV/0!</v>
      </c>
      <c r="P72" s="2105" t="e">
        <v>#N/A</v>
      </c>
      <c r="Q72" s="2153" t="e">
        <v>#N/A</v>
      </c>
      <c r="R72" s="2105" t="e">
        <v>#N/A</v>
      </c>
      <c r="S72" s="2102">
        <v>0</v>
      </c>
      <c r="T72" s="2102">
        <v>0</v>
      </c>
      <c r="U72" s="2102">
        <v>0</v>
      </c>
      <c r="V72" s="2174" t="e">
        <v>#DIV/0!</v>
      </c>
      <c r="W72" s="2174" t="e">
        <v>#DIV/0!</v>
      </c>
      <c r="X72" s="2174" t="e">
        <v>#DIV/0!</v>
      </c>
    </row>
    <row r="73" spans="2:25" ht="13.8" x14ac:dyDescent="0.3">
      <c r="B73" s="2080"/>
      <c r="C73" s="2080" t="s">
        <v>219</v>
      </c>
      <c r="D73" s="2080">
        <v>0</v>
      </c>
      <c r="E73" s="2080" t="s">
        <v>206</v>
      </c>
      <c r="F73" s="2080" t="s">
        <v>211</v>
      </c>
      <c r="G73" s="2089"/>
      <c r="H73" s="2089"/>
      <c r="I73" s="2100">
        <v>0</v>
      </c>
      <c r="J73" s="2083"/>
      <c r="K73" s="2083"/>
      <c r="L73" s="2113" t="e">
        <v>#N/A</v>
      </c>
      <c r="M73" s="2113" t="e">
        <v>#N/A</v>
      </c>
      <c r="N73" s="2105" t="e">
        <v>#DIV/0!</v>
      </c>
      <c r="O73" s="2105" t="e">
        <v>#DIV/0!</v>
      </c>
      <c r="P73" s="2105" t="e">
        <v>#N/A</v>
      </c>
      <c r="Q73" s="2153" t="e">
        <v>#N/A</v>
      </c>
      <c r="R73" s="2105" t="e">
        <v>#N/A</v>
      </c>
      <c r="S73" s="2102">
        <v>0</v>
      </c>
      <c r="T73" s="2102">
        <v>0</v>
      </c>
      <c r="U73" s="2102">
        <v>0</v>
      </c>
      <c r="V73" s="2174" t="e">
        <v>#DIV/0!</v>
      </c>
      <c r="W73" s="2174" t="e">
        <v>#DIV/0!</v>
      </c>
      <c r="X73" s="2174" t="e">
        <v>#DIV/0!</v>
      </c>
    </row>
    <row r="74" spans="2:25" ht="13.8" x14ac:dyDescent="0.3">
      <c r="B74" s="2080"/>
      <c r="C74" s="2080" t="s">
        <v>220</v>
      </c>
      <c r="D74" s="2080">
        <v>0</v>
      </c>
      <c r="E74" s="2080" t="s">
        <v>206</v>
      </c>
      <c r="F74" s="2080" t="s">
        <v>211</v>
      </c>
      <c r="G74" s="2089"/>
      <c r="H74" s="2089"/>
      <c r="I74" s="2100">
        <v>0</v>
      </c>
      <c r="J74" s="2083"/>
      <c r="K74" s="2083"/>
      <c r="L74" s="2113" t="e">
        <v>#N/A</v>
      </c>
      <c r="M74" s="2113" t="e">
        <v>#N/A</v>
      </c>
      <c r="N74" s="2105" t="e">
        <v>#DIV/0!</v>
      </c>
      <c r="O74" s="2105" t="e">
        <v>#DIV/0!</v>
      </c>
      <c r="P74" s="2105" t="e">
        <v>#N/A</v>
      </c>
      <c r="Q74" s="2153" t="e">
        <v>#N/A</v>
      </c>
      <c r="R74" s="2105" t="e">
        <v>#N/A</v>
      </c>
      <c r="S74" s="2102">
        <v>0</v>
      </c>
      <c r="T74" s="2102">
        <v>0</v>
      </c>
      <c r="U74" s="2102">
        <v>0</v>
      </c>
      <c r="V74" s="2174" t="e">
        <v>#DIV/0!</v>
      </c>
      <c r="W74" s="2174" t="e">
        <v>#DIV/0!</v>
      </c>
      <c r="X74" s="2174" t="e">
        <v>#DIV/0!</v>
      </c>
    </row>
    <row r="75" spans="2:25" ht="13.8" x14ac:dyDescent="0.3">
      <c r="B75" s="2080"/>
      <c r="C75" s="2080" t="s">
        <v>221</v>
      </c>
      <c r="D75" s="2080">
        <v>0</v>
      </c>
      <c r="E75" s="2080" t="s">
        <v>206</v>
      </c>
      <c r="F75" s="2080" t="s">
        <v>211</v>
      </c>
      <c r="G75" s="2089"/>
      <c r="H75" s="2089"/>
      <c r="I75" s="2100">
        <v>0</v>
      </c>
      <c r="J75" s="2083"/>
      <c r="K75" s="2083"/>
      <c r="L75" s="2113" t="e">
        <v>#N/A</v>
      </c>
      <c r="M75" s="2113" t="e">
        <v>#N/A</v>
      </c>
      <c r="N75" s="2105" t="e">
        <v>#DIV/0!</v>
      </c>
      <c r="O75" s="2105" t="e">
        <v>#DIV/0!</v>
      </c>
      <c r="P75" s="2105" t="e">
        <v>#N/A</v>
      </c>
      <c r="Q75" s="2153" t="e">
        <v>#N/A</v>
      </c>
      <c r="R75" s="2105" t="e">
        <v>#N/A</v>
      </c>
      <c r="S75" s="2102">
        <v>0</v>
      </c>
      <c r="T75" s="2102">
        <v>0</v>
      </c>
      <c r="U75" s="2102">
        <v>0</v>
      </c>
      <c r="V75" s="2174" t="e">
        <v>#DIV/0!</v>
      </c>
      <c r="W75" s="2174" t="e">
        <v>#DIV/0!</v>
      </c>
      <c r="X75" s="2174" t="e">
        <v>#DIV/0!</v>
      </c>
    </row>
    <row r="76" spans="2:25" ht="13.8" x14ac:dyDescent="0.3">
      <c r="B76" s="2080"/>
      <c r="C76" s="2080" t="s">
        <v>222</v>
      </c>
      <c r="D76" s="2080">
        <v>0</v>
      </c>
      <c r="E76" s="2080" t="s">
        <v>206</v>
      </c>
      <c r="F76" s="2080" t="s">
        <v>211</v>
      </c>
      <c r="G76" s="2089"/>
      <c r="H76" s="2089"/>
      <c r="I76" s="2100">
        <v>0</v>
      </c>
      <c r="J76" s="2083"/>
      <c r="K76" s="2083"/>
      <c r="L76" s="2113" t="e">
        <v>#N/A</v>
      </c>
      <c r="M76" s="2113" t="e">
        <v>#N/A</v>
      </c>
      <c r="N76" s="2105" t="e">
        <v>#DIV/0!</v>
      </c>
      <c r="O76" s="2105" t="e">
        <v>#DIV/0!</v>
      </c>
      <c r="P76" s="2105" t="e">
        <v>#N/A</v>
      </c>
      <c r="Q76" s="2153" t="e">
        <v>#N/A</v>
      </c>
      <c r="R76" s="2105" t="e">
        <v>#N/A</v>
      </c>
      <c r="S76" s="2102">
        <v>0</v>
      </c>
      <c r="T76" s="2102">
        <v>0</v>
      </c>
      <c r="U76" s="2102">
        <v>0</v>
      </c>
      <c r="V76" s="2174" t="e">
        <v>#DIV/0!</v>
      </c>
      <c r="W76" s="2174" t="e">
        <v>#DIV/0!</v>
      </c>
      <c r="X76" s="2174" t="e">
        <v>#DIV/0!</v>
      </c>
    </row>
    <row r="77" spans="2:25" ht="13.8" x14ac:dyDescent="0.3">
      <c r="B77" s="2080"/>
      <c r="C77" s="2080" t="s">
        <v>223</v>
      </c>
      <c r="D77" s="2080">
        <v>0</v>
      </c>
      <c r="E77" s="2080" t="s">
        <v>206</v>
      </c>
      <c r="F77" s="2080" t="s">
        <v>211</v>
      </c>
      <c r="G77" s="2089"/>
      <c r="H77" s="2089"/>
      <c r="I77" s="2100">
        <v>0</v>
      </c>
      <c r="J77" s="2083"/>
      <c r="K77" s="2083"/>
      <c r="L77" s="2113" t="e">
        <v>#N/A</v>
      </c>
      <c r="M77" s="2113" t="e">
        <v>#N/A</v>
      </c>
      <c r="N77" s="2105" t="e">
        <v>#DIV/0!</v>
      </c>
      <c r="O77" s="2105" t="e">
        <v>#DIV/0!</v>
      </c>
      <c r="P77" s="2105" t="e">
        <v>#N/A</v>
      </c>
      <c r="Q77" s="2153" t="e">
        <v>#N/A</v>
      </c>
      <c r="R77" s="2105" t="e">
        <v>#N/A</v>
      </c>
      <c r="S77" s="2102">
        <v>0</v>
      </c>
      <c r="T77" s="2102">
        <v>0</v>
      </c>
      <c r="U77" s="2102">
        <v>0</v>
      </c>
      <c r="V77" s="2174" t="e">
        <v>#DIV/0!</v>
      </c>
      <c r="W77" s="2174" t="e">
        <v>#DIV/0!</v>
      </c>
      <c r="X77" s="2174" t="e">
        <v>#DIV/0!</v>
      </c>
    </row>
    <row r="78" spans="2:25" ht="13.8" x14ac:dyDescent="0.3">
      <c r="B78" s="2080"/>
      <c r="C78" s="2080" t="s">
        <v>224</v>
      </c>
      <c r="D78" s="2080">
        <v>0</v>
      </c>
      <c r="E78" s="2080" t="s">
        <v>206</v>
      </c>
      <c r="F78" s="2080" t="s">
        <v>211</v>
      </c>
      <c r="G78" s="2089"/>
      <c r="H78" s="2089"/>
      <c r="I78" s="2100">
        <v>0</v>
      </c>
      <c r="J78" s="2083"/>
      <c r="K78" s="2083"/>
      <c r="L78" s="2113" t="e">
        <v>#N/A</v>
      </c>
      <c r="M78" s="2113" t="e">
        <v>#N/A</v>
      </c>
      <c r="N78" s="2105" t="e">
        <v>#DIV/0!</v>
      </c>
      <c r="O78" s="2105" t="e">
        <v>#DIV/0!</v>
      </c>
      <c r="P78" s="2105" t="e">
        <v>#N/A</v>
      </c>
      <c r="Q78" s="2153" t="e">
        <v>#N/A</v>
      </c>
      <c r="R78" s="2105" t="e">
        <v>#N/A</v>
      </c>
      <c r="S78" s="2102">
        <v>0</v>
      </c>
      <c r="T78" s="2102">
        <v>0</v>
      </c>
      <c r="U78" s="2102">
        <v>0</v>
      </c>
      <c r="V78" s="2174" t="e">
        <v>#DIV/0!</v>
      </c>
      <c r="W78" s="2174" t="e">
        <v>#DIV/0!</v>
      </c>
      <c r="X78" s="2174" t="e">
        <v>#DIV/0!</v>
      </c>
    </row>
    <row r="79" spans="2:25" ht="13.8" x14ac:dyDescent="0.3">
      <c r="B79" s="2080"/>
      <c r="C79" s="2080" t="s">
        <v>225</v>
      </c>
      <c r="D79" s="2080">
        <v>0</v>
      </c>
      <c r="E79" s="2080" t="s">
        <v>206</v>
      </c>
      <c r="F79" s="2080" t="s">
        <v>211</v>
      </c>
      <c r="G79" s="2089"/>
      <c r="H79" s="2089"/>
      <c r="I79" s="2100">
        <v>0</v>
      </c>
      <c r="J79" s="2083"/>
      <c r="K79" s="2083"/>
      <c r="L79" s="2113" t="e">
        <v>#N/A</v>
      </c>
      <c r="M79" s="2113" t="e">
        <v>#N/A</v>
      </c>
      <c r="N79" s="2105" t="e">
        <v>#DIV/0!</v>
      </c>
      <c r="O79" s="2105" t="e">
        <v>#DIV/0!</v>
      </c>
      <c r="P79" s="2105" t="e">
        <v>#N/A</v>
      </c>
      <c r="Q79" s="2153" t="e">
        <v>#N/A</v>
      </c>
      <c r="R79" s="2105" t="e">
        <v>#N/A</v>
      </c>
      <c r="S79" s="2102">
        <v>0</v>
      </c>
      <c r="T79" s="2102">
        <v>0</v>
      </c>
      <c r="U79" s="2102">
        <v>0</v>
      </c>
      <c r="V79" s="2174" t="e">
        <v>#DIV/0!</v>
      </c>
      <c r="W79" s="2174" t="e">
        <v>#DIV/0!</v>
      </c>
      <c r="X79" s="2174" t="e">
        <v>#DIV/0!</v>
      </c>
    </row>
    <row r="80" spans="2:25" ht="13.8" x14ac:dyDescent="0.3">
      <c r="B80" s="2080"/>
      <c r="C80" s="2080" t="s">
        <v>226</v>
      </c>
      <c r="D80" s="2080">
        <v>0</v>
      </c>
      <c r="E80" s="2080" t="s">
        <v>206</v>
      </c>
      <c r="F80" s="2080" t="s">
        <v>211</v>
      </c>
      <c r="G80" s="2089"/>
      <c r="H80" s="2089"/>
      <c r="I80" s="2100">
        <v>0</v>
      </c>
      <c r="J80" s="2083"/>
      <c r="K80" s="2083"/>
      <c r="L80" s="2113" t="e">
        <v>#N/A</v>
      </c>
      <c r="M80" s="2113" t="e">
        <v>#N/A</v>
      </c>
      <c r="N80" s="2153" t="e">
        <v>#DIV/0!</v>
      </c>
      <c r="O80" s="2153" t="e">
        <v>#DIV/0!</v>
      </c>
      <c r="P80" s="2105" t="e">
        <v>#N/A</v>
      </c>
      <c r="Q80" s="2153" t="e">
        <v>#N/A</v>
      </c>
      <c r="R80" s="2153" t="e">
        <v>#N/A</v>
      </c>
      <c r="S80" s="2102">
        <v>0</v>
      </c>
      <c r="T80" s="2102">
        <v>0</v>
      </c>
      <c r="U80" s="2102">
        <v>0</v>
      </c>
      <c r="V80" s="2174" t="e">
        <v>#DIV/0!</v>
      </c>
      <c r="W80" s="2174" t="e">
        <v>#DIV/0!</v>
      </c>
      <c r="X80" s="2174" t="e">
        <v>#DIV/0!</v>
      </c>
    </row>
    <row r="81" spans="2:24" ht="13.8" x14ac:dyDescent="0.3">
      <c r="B81" s="2080"/>
      <c r="C81" s="2080" t="s">
        <v>227</v>
      </c>
      <c r="D81" s="2080">
        <v>0</v>
      </c>
      <c r="E81" s="2080" t="s">
        <v>206</v>
      </c>
      <c r="F81" s="2080" t="s">
        <v>211</v>
      </c>
      <c r="G81" s="2089"/>
      <c r="H81" s="2089"/>
      <c r="I81" s="2100">
        <v>0</v>
      </c>
      <c r="J81" s="2083"/>
      <c r="K81" s="2083"/>
      <c r="L81" s="2113" t="e">
        <v>#N/A</v>
      </c>
      <c r="M81" s="2113" t="e">
        <v>#N/A</v>
      </c>
      <c r="N81" s="2153" t="e">
        <v>#DIV/0!</v>
      </c>
      <c r="O81" s="2153" t="e">
        <v>#DIV/0!</v>
      </c>
      <c r="P81" s="2105" t="e">
        <v>#N/A</v>
      </c>
      <c r="Q81" s="2153" t="e">
        <v>#N/A</v>
      </c>
      <c r="R81" s="2153" t="e">
        <v>#N/A</v>
      </c>
      <c r="S81" s="2102">
        <v>0</v>
      </c>
      <c r="T81" s="2102">
        <v>0</v>
      </c>
      <c r="U81" s="2102">
        <v>0</v>
      </c>
      <c r="V81" s="2174" t="e">
        <v>#DIV/0!</v>
      </c>
      <c r="W81" s="2174" t="e">
        <v>#DIV/0!</v>
      </c>
      <c r="X81" s="2174" t="e">
        <v>#DIV/0!</v>
      </c>
    </row>
    <row r="82" spans="2:24" ht="13.8" x14ac:dyDescent="0.3">
      <c r="B82" s="2080"/>
      <c r="C82" s="2080" t="s">
        <v>228</v>
      </c>
      <c r="D82" s="2080">
        <v>0</v>
      </c>
      <c r="E82" s="2080" t="s">
        <v>206</v>
      </c>
      <c r="F82" s="2080" t="s">
        <v>211</v>
      </c>
      <c r="G82" s="2089"/>
      <c r="H82" s="2089"/>
      <c r="I82" s="2100">
        <v>0</v>
      </c>
      <c r="J82" s="2083"/>
      <c r="K82" s="2083"/>
      <c r="L82" s="2113" t="e">
        <v>#N/A</v>
      </c>
      <c r="M82" s="2113" t="e">
        <v>#N/A</v>
      </c>
      <c r="N82" s="2153" t="e">
        <v>#DIV/0!</v>
      </c>
      <c r="O82" s="2153" t="e">
        <v>#DIV/0!</v>
      </c>
      <c r="P82" s="2105" t="e">
        <v>#N/A</v>
      </c>
      <c r="Q82" s="2153" t="e">
        <v>#N/A</v>
      </c>
      <c r="R82" s="2153" t="e">
        <v>#N/A</v>
      </c>
      <c r="S82" s="2102">
        <v>0</v>
      </c>
      <c r="T82" s="2102">
        <v>0</v>
      </c>
      <c r="U82" s="2102">
        <v>0</v>
      </c>
      <c r="V82" s="2174" t="e">
        <v>#DIV/0!</v>
      </c>
      <c r="W82" s="2174" t="e">
        <v>#DIV/0!</v>
      </c>
      <c r="X82" s="2174" t="e">
        <v>#DIV/0!</v>
      </c>
    </row>
    <row r="83" spans="2:24" ht="13.8" x14ac:dyDescent="0.3">
      <c r="B83" s="2080"/>
      <c r="C83" s="2080" t="s">
        <v>229</v>
      </c>
      <c r="D83" s="2080">
        <v>0</v>
      </c>
      <c r="E83" s="2080" t="s">
        <v>206</v>
      </c>
      <c r="F83" s="2080" t="s">
        <v>211</v>
      </c>
      <c r="G83" s="2089"/>
      <c r="H83" s="2089"/>
      <c r="I83" s="2100">
        <v>0</v>
      </c>
      <c r="J83" s="2083"/>
      <c r="K83" s="2083"/>
      <c r="L83" s="2113" t="e">
        <v>#N/A</v>
      </c>
      <c r="M83" s="2113" t="e">
        <v>#N/A</v>
      </c>
      <c r="N83" s="2153" t="e">
        <v>#DIV/0!</v>
      </c>
      <c r="O83" s="2153" t="e">
        <v>#DIV/0!</v>
      </c>
      <c r="P83" s="2105" t="e">
        <v>#N/A</v>
      </c>
      <c r="Q83" s="2153" t="e">
        <v>#N/A</v>
      </c>
      <c r="R83" s="2153" t="e">
        <v>#N/A</v>
      </c>
      <c r="S83" s="2102">
        <v>0</v>
      </c>
      <c r="T83" s="2102">
        <v>0</v>
      </c>
      <c r="U83" s="2102">
        <v>0</v>
      </c>
    </row>
    <row r="84" spans="2:24" ht="13.8" x14ac:dyDescent="0.3">
      <c r="B84" s="2080"/>
      <c r="C84" s="2080" t="s">
        <v>230</v>
      </c>
      <c r="D84" s="2138">
        <v>0</v>
      </c>
      <c r="E84" s="2080" t="s">
        <v>206</v>
      </c>
      <c r="F84" s="2080" t="s">
        <v>211</v>
      </c>
      <c r="G84" s="2089"/>
      <c r="H84" s="2089"/>
      <c r="I84" s="2100">
        <v>0</v>
      </c>
      <c r="J84" s="2083"/>
      <c r="K84" s="2083"/>
      <c r="L84" s="2113" t="e">
        <v>#N/A</v>
      </c>
      <c r="M84" s="2113" t="e">
        <v>#N/A</v>
      </c>
      <c r="N84" s="2153" t="e">
        <v>#DIV/0!</v>
      </c>
      <c r="O84" s="2153" t="e">
        <v>#DIV/0!</v>
      </c>
      <c r="P84" s="2105" t="e">
        <v>#N/A</v>
      </c>
      <c r="Q84" s="2153" t="e">
        <v>#N/A</v>
      </c>
      <c r="R84" s="2153" t="e">
        <v>#N/A</v>
      </c>
      <c r="S84" s="2102">
        <v>0</v>
      </c>
      <c r="T84" s="2102">
        <v>0</v>
      </c>
      <c r="U84" s="2102">
        <v>0</v>
      </c>
    </row>
    <row r="85" spans="2:24" ht="13.8" x14ac:dyDescent="0.3">
      <c r="B85" s="2080"/>
      <c r="C85" s="2080" t="s">
        <v>231</v>
      </c>
      <c r="D85" s="2138">
        <v>0</v>
      </c>
      <c r="E85" s="2080" t="s">
        <v>206</v>
      </c>
      <c r="F85" s="2080" t="s">
        <v>211</v>
      </c>
      <c r="G85" s="2089"/>
      <c r="H85" s="2089"/>
      <c r="I85" s="2100">
        <v>0</v>
      </c>
      <c r="J85" s="2083"/>
      <c r="K85" s="2083"/>
      <c r="L85" s="2113" t="e">
        <v>#N/A</v>
      </c>
      <c r="M85" s="2113" t="e">
        <v>#N/A</v>
      </c>
      <c r="N85" s="2153" t="e">
        <v>#DIV/0!</v>
      </c>
      <c r="O85" s="2153" t="e">
        <v>#DIV/0!</v>
      </c>
      <c r="P85" s="2105" t="e">
        <v>#N/A</v>
      </c>
      <c r="Q85" s="2153" t="e">
        <v>#N/A</v>
      </c>
      <c r="R85" s="2153" t="e">
        <v>#N/A</v>
      </c>
      <c r="S85" s="2102">
        <v>0</v>
      </c>
      <c r="T85" s="2102">
        <v>0</v>
      </c>
      <c r="U85" s="2102">
        <v>0</v>
      </c>
    </row>
    <row r="86" spans="2:24" ht="13.8" x14ac:dyDescent="0.3">
      <c r="B86" s="2080"/>
      <c r="C86" s="2080" t="s">
        <v>232</v>
      </c>
      <c r="D86" s="2138">
        <v>0</v>
      </c>
      <c r="E86" s="2080" t="s">
        <v>206</v>
      </c>
      <c r="F86" s="2080" t="s">
        <v>211</v>
      </c>
      <c r="G86" s="2089"/>
      <c r="H86" s="2089"/>
      <c r="I86" s="2100">
        <v>0</v>
      </c>
      <c r="J86" s="2083"/>
      <c r="K86" s="2083"/>
      <c r="L86" s="2113" t="e">
        <v>#N/A</v>
      </c>
      <c r="M86" s="2113" t="e">
        <v>#N/A</v>
      </c>
      <c r="N86" s="2153" t="e">
        <v>#DIV/0!</v>
      </c>
      <c r="O86" s="2153" t="e">
        <v>#DIV/0!</v>
      </c>
      <c r="P86" s="2105" t="e">
        <v>#N/A</v>
      </c>
      <c r="Q86" s="2153" t="e">
        <v>#N/A</v>
      </c>
      <c r="R86" s="2153" t="e">
        <v>#N/A</v>
      </c>
      <c r="S86" s="2102">
        <v>0</v>
      </c>
      <c r="T86" s="2102">
        <v>0</v>
      </c>
      <c r="U86" s="2102">
        <v>0</v>
      </c>
    </row>
    <row r="87" spans="2:24" ht="13.8" x14ac:dyDescent="0.3">
      <c r="B87" s="2080"/>
      <c r="C87" s="2080" t="s">
        <v>233</v>
      </c>
      <c r="D87" s="2138">
        <v>0</v>
      </c>
      <c r="E87" s="2080" t="s">
        <v>206</v>
      </c>
      <c r="F87" s="2080" t="s">
        <v>211</v>
      </c>
      <c r="G87" s="2089"/>
      <c r="H87" s="2089"/>
      <c r="I87" s="2100">
        <v>0</v>
      </c>
      <c r="J87" s="2083"/>
      <c r="K87" s="2083"/>
      <c r="L87" s="2113" t="e">
        <v>#N/A</v>
      </c>
      <c r="M87" s="2113" t="e">
        <v>#N/A</v>
      </c>
      <c r="N87" s="2153" t="e">
        <v>#DIV/0!</v>
      </c>
      <c r="O87" s="2153" t="e">
        <v>#DIV/0!</v>
      </c>
      <c r="P87" s="2105" t="e">
        <v>#N/A</v>
      </c>
      <c r="Q87" s="2153" t="e">
        <v>#N/A</v>
      </c>
      <c r="R87" s="2153" t="e">
        <v>#N/A</v>
      </c>
      <c r="S87" s="2102">
        <v>0</v>
      </c>
      <c r="T87" s="2102">
        <v>0</v>
      </c>
      <c r="U87" s="2102">
        <v>0</v>
      </c>
    </row>
    <row r="88" spans="2:24" ht="13.8" x14ac:dyDescent="0.3">
      <c r="B88" s="2080"/>
      <c r="C88" s="2080" t="s">
        <v>234</v>
      </c>
      <c r="D88" s="2138">
        <v>0</v>
      </c>
      <c r="E88" s="2080" t="s">
        <v>206</v>
      </c>
      <c r="F88" s="2080" t="s">
        <v>211</v>
      </c>
      <c r="G88" s="2089"/>
      <c r="H88" s="2089"/>
      <c r="I88" s="2100">
        <v>0</v>
      </c>
      <c r="J88" s="2083"/>
      <c r="K88" s="2083"/>
      <c r="L88" s="2113" t="e">
        <v>#N/A</v>
      </c>
      <c r="M88" s="2113" t="e">
        <v>#N/A</v>
      </c>
      <c r="N88" s="2153" t="e">
        <v>#DIV/0!</v>
      </c>
      <c r="O88" s="2153" t="e">
        <v>#DIV/0!</v>
      </c>
      <c r="P88" s="2105" t="e">
        <v>#N/A</v>
      </c>
      <c r="Q88" s="2153" t="e">
        <v>#N/A</v>
      </c>
      <c r="R88" s="2153" t="e">
        <v>#N/A</v>
      </c>
      <c r="S88" s="2102">
        <v>0</v>
      </c>
      <c r="T88" s="2102">
        <v>0</v>
      </c>
      <c r="U88" s="2102">
        <v>0</v>
      </c>
    </row>
    <row r="89" spans="2:24" ht="13.8" x14ac:dyDescent="0.3">
      <c r="B89" s="2080"/>
      <c r="C89" s="2080" t="s">
        <v>235</v>
      </c>
      <c r="D89" s="2138">
        <v>0</v>
      </c>
      <c r="E89" s="2080" t="s">
        <v>206</v>
      </c>
      <c r="F89" s="2080" t="s">
        <v>211</v>
      </c>
      <c r="G89" s="2089"/>
      <c r="H89" s="2089"/>
      <c r="I89" s="2100">
        <v>0</v>
      </c>
      <c r="J89" s="2083"/>
      <c r="K89" s="2083"/>
      <c r="L89" s="2113" t="e">
        <v>#N/A</v>
      </c>
      <c r="M89" s="2113" t="e">
        <v>#N/A</v>
      </c>
      <c r="N89" s="2153" t="e">
        <v>#DIV/0!</v>
      </c>
      <c r="O89" s="2153" t="e">
        <v>#DIV/0!</v>
      </c>
      <c r="P89" s="2105" t="e">
        <v>#N/A</v>
      </c>
      <c r="Q89" s="2153" t="e">
        <v>#N/A</v>
      </c>
      <c r="R89" s="2153" t="e">
        <v>#N/A</v>
      </c>
      <c r="S89" s="2102">
        <v>0</v>
      </c>
      <c r="T89" s="2102">
        <v>0</v>
      </c>
      <c r="U89" s="2102">
        <v>0</v>
      </c>
    </row>
    <row r="90" spans="2:24" ht="13.8" x14ac:dyDescent="0.3">
      <c r="B90" s="2080"/>
      <c r="C90" s="2080" t="s">
        <v>236</v>
      </c>
      <c r="D90" s="2138">
        <v>0</v>
      </c>
      <c r="E90" s="2080" t="s">
        <v>206</v>
      </c>
      <c r="F90" s="2080" t="s">
        <v>211</v>
      </c>
      <c r="G90" s="2089"/>
      <c r="H90" s="2089"/>
      <c r="I90" s="2100">
        <v>0</v>
      </c>
      <c r="J90" s="2083"/>
      <c r="K90" s="2083"/>
      <c r="L90" s="2113" t="e">
        <v>#N/A</v>
      </c>
      <c r="M90" s="2113" t="e">
        <v>#N/A</v>
      </c>
      <c r="N90" s="2153" t="e">
        <v>#DIV/0!</v>
      </c>
      <c r="O90" s="2153" t="e">
        <v>#DIV/0!</v>
      </c>
      <c r="P90" s="2105" t="e">
        <v>#N/A</v>
      </c>
      <c r="Q90" s="2153" t="e">
        <v>#N/A</v>
      </c>
      <c r="R90" s="2153" t="e">
        <v>#N/A</v>
      </c>
      <c r="S90" s="2102">
        <v>0</v>
      </c>
      <c r="T90" s="2102">
        <v>0</v>
      </c>
      <c r="U90" s="2102">
        <v>0</v>
      </c>
    </row>
    <row r="91" spans="2:24" ht="13.8" x14ac:dyDescent="0.3">
      <c r="B91" s="2080"/>
      <c r="C91" s="2080" t="s">
        <v>237</v>
      </c>
      <c r="D91" s="2138">
        <v>0</v>
      </c>
      <c r="E91" s="2080" t="s">
        <v>206</v>
      </c>
      <c r="F91" s="2080" t="s">
        <v>211</v>
      </c>
      <c r="G91" s="2089"/>
      <c r="H91" s="2089"/>
      <c r="I91" s="2100">
        <v>0</v>
      </c>
      <c r="J91" s="2083"/>
      <c r="K91" s="2083"/>
      <c r="L91" s="2113" t="e">
        <v>#N/A</v>
      </c>
      <c r="M91" s="2113" t="e">
        <v>#N/A</v>
      </c>
      <c r="N91" s="2153" t="e">
        <v>#DIV/0!</v>
      </c>
      <c r="O91" s="2153" t="e">
        <v>#DIV/0!</v>
      </c>
      <c r="P91" s="2105" t="e">
        <v>#N/A</v>
      </c>
      <c r="Q91" s="2153" t="e">
        <v>#N/A</v>
      </c>
      <c r="R91" s="2153" t="e">
        <v>#N/A</v>
      </c>
      <c r="S91" s="2102">
        <v>0</v>
      </c>
      <c r="T91" s="2102">
        <v>0</v>
      </c>
      <c r="U91" s="2102">
        <v>0</v>
      </c>
    </row>
    <row r="92" spans="2:24" ht="13.8" x14ac:dyDescent="0.3">
      <c r="B92" s="2080"/>
      <c r="C92" s="2080" t="s">
        <v>238</v>
      </c>
      <c r="D92" s="2138">
        <v>0</v>
      </c>
      <c r="E92" s="2080" t="s">
        <v>206</v>
      </c>
      <c r="F92" s="2080" t="s">
        <v>211</v>
      </c>
      <c r="G92" s="2089"/>
      <c r="H92" s="2089"/>
      <c r="I92" s="2100">
        <v>0</v>
      </c>
      <c r="J92" s="2083"/>
      <c r="K92" s="2083"/>
      <c r="L92" s="2113" t="e">
        <v>#N/A</v>
      </c>
      <c r="M92" s="2113" t="e">
        <v>#N/A</v>
      </c>
      <c r="N92" s="2153" t="e">
        <v>#DIV/0!</v>
      </c>
      <c r="O92" s="2153" t="e">
        <v>#DIV/0!</v>
      </c>
      <c r="P92" s="2105" t="e">
        <v>#N/A</v>
      </c>
      <c r="Q92" s="2153" t="e">
        <v>#N/A</v>
      </c>
      <c r="R92" s="2153" t="e">
        <v>#N/A</v>
      </c>
      <c r="S92" s="2102">
        <v>0</v>
      </c>
      <c r="T92" s="2102">
        <v>0</v>
      </c>
      <c r="U92" s="2102">
        <v>0</v>
      </c>
    </row>
    <row r="93" spans="2:24" ht="13.8" x14ac:dyDescent="0.3">
      <c r="B93" s="2080"/>
      <c r="C93" s="2080" t="s">
        <v>239</v>
      </c>
      <c r="D93" s="2138">
        <v>0</v>
      </c>
      <c r="E93" s="2080" t="s">
        <v>206</v>
      </c>
      <c r="F93" s="2080" t="s">
        <v>211</v>
      </c>
      <c r="G93" s="2089"/>
      <c r="H93" s="2089"/>
      <c r="I93" s="2100">
        <v>0</v>
      </c>
      <c r="J93" s="2083"/>
      <c r="K93" s="2083"/>
      <c r="L93" s="2113" t="e">
        <v>#N/A</v>
      </c>
      <c r="M93" s="2113" t="e">
        <v>#N/A</v>
      </c>
      <c r="N93" s="2153" t="e">
        <v>#DIV/0!</v>
      </c>
      <c r="O93" s="2153" t="e">
        <v>#DIV/0!</v>
      </c>
      <c r="P93" s="2105" t="e">
        <v>#N/A</v>
      </c>
      <c r="Q93" s="2153" t="e">
        <v>#N/A</v>
      </c>
      <c r="R93" s="2153" t="e">
        <v>#N/A</v>
      </c>
      <c r="S93" s="2102">
        <v>0</v>
      </c>
      <c r="T93" s="2102">
        <v>0</v>
      </c>
      <c r="U93" s="2102">
        <v>0</v>
      </c>
    </row>
    <row r="94" spans="2:24" ht="13.8" x14ac:dyDescent="0.3">
      <c r="B94" s="2080"/>
      <c r="C94" s="2080" t="s">
        <v>240</v>
      </c>
      <c r="D94" s="2138">
        <v>0</v>
      </c>
      <c r="E94" s="2080" t="s">
        <v>206</v>
      </c>
      <c r="F94" s="2080" t="s">
        <v>211</v>
      </c>
      <c r="G94" s="2089"/>
      <c r="H94" s="2089"/>
      <c r="I94" s="2100">
        <v>0</v>
      </c>
      <c r="J94" s="2083"/>
      <c r="K94" s="2083"/>
      <c r="L94" s="2113" t="e">
        <v>#N/A</v>
      </c>
      <c r="M94" s="2113" t="e">
        <v>#N/A</v>
      </c>
      <c r="N94" s="2153" t="e">
        <v>#DIV/0!</v>
      </c>
      <c r="O94" s="2153" t="e">
        <v>#DIV/0!</v>
      </c>
      <c r="P94" s="2105" t="e">
        <v>#N/A</v>
      </c>
      <c r="Q94" s="2153" t="e">
        <v>#N/A</v>
      </c>
      <c r="R94" s="2153" t="e">
        <v>#N/A</v>
      </c>
      <c r="S94" s="2102">
        <v>0</v>
      </c>
      <c r="T94" s="2102">
        <v>0</v>
      </c>
      <c r="U94" s="2102">
        <v>0</v>
      </c>
    </row>
    <row r="95" spans="2:24" ht="13.8" x14ac:dyDescent="0.3">
      <c r="B95" s="2080"/>
      <c r="C95" s="2080" t="s">
        <v>241</v>
      </c>
      <c r="D95" s="2138">
        <v>0</v>
      </c>
      <c r="E95" s="2080" t="s">
        <v>206</v>
      </c>
      <c r="F95" s="2080" t="s">
        <v>211</v>
      </c>
      <c r="G95" s="2089"/>
      <c r="H95" s="2089"/>
      <c r="I95" s="2100">
        <v>0</v>
      </c>
      <c r="J95" s="2083"/>
      <c r="K95" s="2083"/>
      <c r="L95" s="2113" t="e">
        <v>#N/A</v>
      </c>
      <c r="M95" s="2113" t="e">
        <v>#N/A</v>
      </c>
      <c r="N95" s="2153" t="e">
        <v>#DIV/0!</v>
      </c>
      <c r="O95" s="2153" t="e">
        <v>#DIV/0!</v>
      </c>
      <c r="P95" s="2105" t="e">
        <v>#N/A</v>
      </c>
      <c r="Q95" s="2153" t="e">
        <v>#N/A</v>
      </c>
      <c r="R95" s="2153" t="e">
        <v>#N/A</v>
      </c>
      <c r="S95" s="2102">
        <v>0</v>
      </c>
      <c r="T95" s="2102">
        <v>0</v>
      </c>
      <c r="U95" s="2102">
        <v>0</v>
      </c>
    </row>
    <row r="96" spans="2:24" ht="13.8" x14ac:dyDescent="0.3">
      <c r="B96" s="2080"/>
      <c r="C96" s="2080" t="s">
        <v>242</v>
      </c>
      <c r="D96" s="2138">
        <v>0</v>
      </c>
      <c r="E96" s="2080" t="s">
        <v>206</v>
      </c>
      <c r="F96" s="2080" t="s">
        <v>211</v>
      </c>
      <c r="G96" s="2089"/>
      <c r="H96" s="2089"/>
      <c r="I96" s="2100">
        <v>0</v>
      </c>
      <c r="J96" s="2083"/>
      <c r="K96" s="2083"/>
      <c r="L96" s="2113" t="e">
        <v>#N/A</v>
      </c>
      <c r="M96" s="2113" t="e">
        <v>#N/A</v>
      </c>
      <c r="N96" s="2153" t="e">
        <v>#DIV/0!</v>
      </c>
      <c r="O96" s="2153" t="e">
        <v>#DIV/0!</v>
      </c>
      <c r="P96" s="2105" t="e">
        <v>#N/A</v>
      </c>
      <c r="Q96" s="2153" t="e">
        <v>#N/A</v>
      </c>
      <c r="R96" s="2153" t="e">
        <v>#N/A</v>
      </c>
      <c r="S96" s="2102">
        <v>0</v>
      </c>
      <c r="T96" s="2102">
        <v>0</v>
      </c>
      <c r="U96" s="2102">
        <v>0</v>
      </c>
    </row>
    <row r="97" spans="2:21" ht="13.8" x14ac:dyDescent="0.3">
      <c r="B97" s="2080"/>
      <c r="C97" s="2080" t="s">
        <v>243</v>
      </c>
      <c r="D97" s="2138">
        <v>0</v>
      </c>
      <c r="E97" s="2080" t="s">
        <v>206</v>
      </c>
      <c r="F97" s="2080" t="s">
        <v>211</v>
      </c>
      <c r="G97" s="2089"/>
      <c r="H97" s="2089"/>
      <c r="I97" s="2100">
        <v>0</v>
      </c>
      <c r="J97" s="2083"/>
      <c r="K97" s="2083"/>
      <c r="L97" s="2113" t="e">
        <v>#N/A</v>
      </c>
      <c r="M97" s="2113" t="e">
        <v>#N/A</v>
      </c>
      <c r="N97" s="2153" t="e">
        <v>#DIV/0!</v>
      </c>
      <c r="O97" s="2153" t="e">
        <v>#DIV/0!</v>
      </c>
      <c r="P97" s="2105" t="e">
        <v>#N/A</v>
      </c>
      <c r="Q97" s="2153" t="e">
        <v>#N/A</v>
      </c>
      <c r="R97" s="2153" t="e">
        <v>#N/A</v>
      </c>
      <c r="S97" s="2102">
        <v>0</v>
      </c>
      <c r="T97" s="2102">
        <v>0</v>
      </c>
      <c r="U97" s="2102">
        <v>0</v>
      </c>
    </row>
    <row r="98" spans="2:21" ht="13.8" x14ac:dyDescent="0.3">
      <c r="B98" s="2080"/>
      <c r="C98" s="2080" t="s">
        <v>244</v>
      </c>
      <c r="D98" s="2138">
        <v>0</v>
      </c>
      <c r="E98" s="2080" t="s">
        <v>206</v>
      </c>
      <c r="F98" s="2080" t="s">
        <v>211</v>
      </c>
      <c r="G98" s="2089"/>
      <c r="H98" s="2089"/>
      <c r="I98" s="2100">
        <v>0</v>
      </c>
      <c r="J98" s="2083"/>
      <c r="K98" s="2083"/>
      <c r="L98" s="2113" t="e">
        <v>#N/A</v>
      </c>
      <c r="M98" s="2113" t="e">
        <v>#N/A</v>
      </c>
      <c r="N98" s="2153" t="e">
        <v>#DIV/0!</v>
      </c>
      <c r="O98" s="2153" t="e">
        <v>#DIV/0!</v>
      </c>
      <c r="P98" s="2105" t="e">
        <v>#N/A</v>
      </c>
      <c r="Q98" s="2153" t="e">
        <v>#N/A</v>
      </c>
      <c r="R98" s="2153" t="e">
        <v>#N/A</v>
      </c>
      <c r="S98" s="2102">
        <v>0</v>
      </c>
      <c r="T98" s="2102">
        <v>0</v>
      </c>
      <c r="U98" s="2102">
        <v>0</v>
      </c>
    </row>
    <row r="99" spans="2:21" ht="13.8" x14ac:dyDescent="0.3">
      <c r="B99" s="2080"/>
      <c r="C99" s="2080" t="s">
        <v>245</v>
      </c>
      <c r="D99" s="2138">
        <v>0</v>
      </c>
      <c r="E99" s="2080" t="s">
        <v>206</v>
      </c>
      <c r="F99" s="2080" t="s">
        <v>211</v>
      </c>
      <c r="G99" s="2089"/>
      <c r="H99" s="2089"/>
      <c r="I99" s="2100">
        <v>0</v>
      </c>
      <c r="J99" s="2083"/>
      <c r="K99" s="2083"/>
      <c r="L99" s="2113" t="e">
        <v>#N/A</v>
      </c>
      <c r="M99" s="2113" t="e">
        <v>#N/A</v>
      </c>
      <c r="N99" s="2153" t="e">
        <v>#DIV/0!</v>
      </c>
      <c r="O99" s="2153" t="e">
        <v>#DIV/0!</v>
      </c>
      <c r="P99" s="2105" t="e">
        <v>#N/A</v>
      </c>
      <c r="Q99" s="2153" t="e">
        <v>#N/A</v>
      </c>
      <c r="R99" s="2153" t="e">
        <v>#N/A</v>
      </c>
      <c r="S99" s="2102">
        <v>0</v>
      </c>
      <c r="T99" s="2102">
        <v>0</v>
      </c>
      <c r="U99" s="2102">
        <v>0</v>
      </c>
    </row>
    <row r="100" spans="2:21" ht="13.8" x14ac:dyDescent="0.3">
      <c r="B100" s="2080"/>
      <c r="C100" s="2080" t="s">
        <v>246</v>
      </c>
      <c r="D100" s="2138">
        <v>0</v>
      </c>
      <c r="E100" s="2080" t="s">
        <v>206</v>
      </c>
      <c r="F100" s="2080" t="s">
        <v>211</v>
      </c>
      <c r="G100" s="2089"/>
      <c r="H100" s="2089"/>
      <c r="I100" s="2100">
        <v>0</v>
      </c>
      <c r="J100" s="2083"/>
      <c r="K100" s="2083"/>
      <c r="L100" s="2113" t="e">
        <v>#N/A</v>
      </c>
      <c r="M100" s="2113" t="e">
        <v>#N/A</v>
      </c>
      <c r="N100" s="2153" t="e">
        <v>#DIV/0!</v>
      </c>
      <c r="O100" s="2153" t="e">
        <v>#DIV/0!</v>
      </c>
      <c r="P100" s="2105" t="e">
        <v>#N/A</v>
      </c>
      <c r="Q100" s="2153" t="e">
        <v>#N/A</v>
      </c>
      <c r="R100" s="2153" t="e">
        <v>#N/A</v>
      </c>
      <c r="S100" s="2102">
        <v>0</v>
      </c>
      <c r="T100" s="2102">
        <v>0</v>
      </c>
      <c r="U100" s="2102">
        <v>0</v>
      </c>
    </row>
    <row r="101" spans="2:21" ht="13.8" x14ac:dyDescent="0.3">
      <c r="B101" s="2080"/>
      <c r="C101" s="2080" t="s">
        <v>247</v>
      </c>
      <c r="D101" s="2138">
        <v>0</v>
      </c>
      <c r="E101" s="2080" t="s">
        <v>206</v>
      </c>
      <c r="F101" s="2080" t="s">
        <v>211</v>
      </c>
      <c r="G101" s="2089"/>
      <c r="H101" s="2089"/>
      <c r="I101" s="2100">
        <v>0</v>
      </c>
      <c r="J101" s="2083"/>
      <c r="K101" s="2083"/>
      <c r="L101" s="2113" t="e">
        <v>#N/A</v>
      </c>
      <c r="M101" s="2113" t="e">
        <v>#N/A</v>
      </c>
      <c r="N101" s="2153" t="e">
        <v>#DIV/0!</v>
      </c>
      <c r="O101" s="2153" t="e">
        <v>#DIV/0!</v>
      </c>
      <c r="P101" s="2105" t="e">
        <v>#N/A</v>
      </c>
      <c r="Q101" s="2153" t="e">
        <v>#N/A</v>
      </c>
      <c r="R101" s="2153" t="e">
        <v>#N/A</v>
      </c>
      <c r="S101" s="2102">
        <v>0</v>
      </c>
      <c r="T101" s="2102">
        <v>0</v>
      </c>
      <c r="U101" s="2102">
        <v>0</v>
      </c>
    </row>
    <row r="102" spans="2:21" ht="13.8" x14ac:dyDescent="0.3">
      <c r="B102" s="2080"/>
      <c r="C102" s="2080" t="s">
        <v>248</v>
      </c>
      <c r="D102" s="2138">
        <v>0</v>
      </c>
      <c r="E102" s="2080" t="s">
        <v>206</v>
      </c>
      <c r="F102" s="2080" t="s">
        <v>211</v>
      </c>
      <c r="G102" s="2089"/>
      <c r="H102" s="2089"/>
      <c r="I102" s="2100">
        <v>0</v>
      </c>
      <c r="J102" s="2083"/>
      <c r="K102" s="2083"/>
      <c r="L102" s="2113" t="e">
        <v>#N/A</v>
      </c>
      <c r="M102" s="2113" t="e">
        <v>#N/A</v>
      </c>
      <c r="N102" s="2153" t="e">
        <v>#DIV/0!</v>
      </c>
      <c r="O102" s="2153" t="e">
        <v>#DIV/0!</v>
      </c>
      <c r="P102" s="2105" t="e">
        <v>#N/A</v>
      </c>
      <c r="Q102" s="2153" t="e">
        <v>#N/A</v>
      </c>
      <c r="R102" s="2153" t="e">
        <v>#N/A</v>
      </c>
      <c r="S102" s="2102">
        <v>0</v>
      </c>
      <c r="T102" s="2102">
        <v>0</v>
      </c>
      <c r="U102" s="2102">
        <v>0</v>
      </c>
    </row>
    <row r="103" spans="2:21" ht="13.8" x14ac:dyDescent="0.3">
      <c r="B103" s="2080"/>
      <c r="C103" s="2080" t="s">
        <v>249</v>
      </c>
      <c r="D103" s="2138">
        <v>0</v>
      </c>
      <c r="E103" s="2080" t="s">
        <v>206</v>
      </c>
      <c r="F103" s="2080" t="s">
        <v>211</v>
      </c>
      <c r="G103" s="2089"/>
      <c r="H103" s="2089"/>
      <c r="I103" s="2100">
        <v>0</v>
      </c>
      <c r="J103" s="2083"/>
      <c r="K103" s="2083"/>
      <c r="L103" s="2113" t="e">
        <v>#N/A</v>
      </c>
      <c r="M103" s="2113" t="e">
        <v>#N/A</v>
      </c>
      <c r="N103" s="2153" t="e">
        <v>#DIV/0!</v>
      </c>
      <c r="O103" s="2153" t="e">
        <v>#DIV/0!</v>
      </c>
      <c r="P103" s="2105" t="e">
        <v>#N/A</v>
      </c>
      <c r="Q103" s="2153" t="e">
        <v>#N/A</v>
      </c>
      <c r="R103" s="2153" t="e">
        <v>#N/A</v>
      </c>
      <c r="S103" s="2102">
        <v>0</v>
      </c>
      <c r="T103" s="2102">
        <v>0</v>
      </c>
      <c r="U103" s="2102">
        <v>0</v>
      </c>
    </row>
    <row r="104" spans="2:21" ht="13.8" x14ac:dyDescent="0.3">
      <c r="B104" s="2080"/>
      <c r="C104" s="2080" t="s">
        <v>250</v>
      </c>
      <c r="D104" s="2138">
        <v>0</v>
      </c>
      <c r="E104" s="2080" t="s">
        <v>206</v>
      </c>
      <c r="F104" s="2080" t="s">
        <v>211</v>
      </c>
      <c r="G104" s="2089"/>
      <c r="H104" s="2089"/>
      <c r="I104" s="2100">
        <v>0</v>
      </c>
      <c r="J104" s="2083"/>
      <c r="K104" s="2083"/>
      <c r="L104" s="2113" t="e">
        <v>#N/A</v>
      </c>
      <c r="M104" s="2113" t="e">
        <v>#N/A</v>
      </c>
      <c r="N104" s="2153" t="e">
        <v>#DIV/0!</v>
      </c>
      <c r="O104" s="2153" t="e">
        <v>#DIV/0!</v>
      </c>
      <c r="P104" s="2105" t="e">
        <v>#N/A</v>
      </c>
      <c r="Q104" s="2153" t="e">
        <v>#N/A</v>
      </c>
      <c r="R104" s="2153" t="e">
        <v>#N/A</v>
      </c>
      <c r="S104" s="2102">
        <v>0</v>
      </c>
      <c r="T104" s="2102">
        <v>0</v>
      </c>
      <c r="U104" s="2102">
        <v>0</v>
      </c>
    </row>
    <row r="105" spans="2:21" ht="14.4" thickBot="1" x14ac:dyDescent="0.35">
      <c r="B105" s="2080"/>
      <c r="C105" s="2080" t="s">
        <v>251</v>
      </c>
      <c r="D105" s="2138">
        <v>0</v>
      </c>
      <c r="E105" s="2080" t="s">
        <v>206</v>
      </c>
      <c r="F105" s="2080" t="s">
        <v>211</v>
      </c>
      <c r="G105" s="2089"/>
      <c r="H105" s="2089"/>
      <c r="I105" s="2100">
        <v>0</v>
      </c>
      <c r="J105" s="2083"/>
      <c r="K105" s="2083"/>
      <c r="L105" s="2116" t="e">
        <v>#N/A</v>
      </c>
      <c r="M105" s="2116" t="e">
        <v>#N/A</v>
      </c>
      <c r="N105" s="2154" t="e">
        <v>#DIV/0!</v>
      </c>
      <c r="O105" s="2154" t="e">
        <v>#DIV/0!</v>
      </c>
      <c r="P105" s="2105" t="e">
        <v>#N/A</v>
      </c>
      <c r="Q105" s="2153" t="e">
        <v>#N/A</v>
      </c>
      <c r="R105" s="2154" t="e">
        <v>#N/A</v>
      </c>
      <c r="S105" s="2102">
        <v>0</v>
      </c>
      <c r="T105" s="2102">
        <v>0</v>
      </c>
      <c r="U105" s="2102">
        <v>0</v>
      </c>
    </row>
    <row r="106" spans="2:21" ht="14.4" thickBot="1" x14ac:dyDescent="0.35">
      <c r="B106" s="2076"/>
      <c r="C106" s="2076"/>
      <c r="D106" s="2076"/>
      <c r="E106" s="2076"/>
      <c r="F106" s="2076"/>
      <c r="G106" s="2115">
        <v>0</v>
      </c>
      <c r="H106" s="2101">
        <v>0</v>
      </c>
      <c r="I106" s="2114">
        <v>0</v>
      </c>
      <c r="J106" s="2079" t="e">
        <v>#DIV/0!</v>
      </c>
      <c r="K106" s="2077" t="s">
        <v>412</v>
      </c>
      <c r="L106" s="2117" t="e">
        <v>#DIV/0!</v>
      </c>
      <c r="M106" s="2118" t="e">
        <v>#DIV/0!</v>
      </c>
      <c r="N106" s="2155" t="e">
        <v>#DIV/0!</v>
      </c>
      <c r="O106" s="2155" t="e">
        <v>#DIV/0!</v>
      </c>
      <c r="P106" s="2155" t="e">
        <v>#DIV/0!</v>
      </c>
      <c r="Q106" s="2156" t="e">
        <v>#DIV/0!</v>
      </c>
      <c r="R106" s="2156" t="e">
        <v>#DIV/0!</v>
      </c>
      <c r="S106" s="2103">
        <v>0</v>
      </c>
      <c r="T106" s="2103">
        <v>0</v>
      </c>
      <c r="U106" s="2103">
        <v>0</v>
      </c>
    </row>
  </sheetData>
  <customSheetViews>
    <customSheetView guid="{074EB09C-6289-46D7-9513-012B68BCA7BF}" showPageBreaks="1" topLeftCell="F1">
      <selection activeCell="O8" sqref="O8"/>
      <pageMargins left="0.7" right="0.7" top="0.75" bottom="0.75" header="0.3" footer="0.3"/>
      <pageSetup orientation="portrait" r:id="rId1"/>
    </customSheetView>
  </customSheetViews>
  <mergeCells count="14">
    <mergeCell ref="V2:V3"/>
    <mergeCell ref="D10:E10"/>
    <mergeCell ref="I10:L10"/>
    <mergeCell ref="M10:N10"/>
    <mergeCell ref="Q2:R2"/>
    <mergeCell ref="S2:U2"/>
    <mergeCell ref="S62:U62"/>
    <mergeCell ref="V62:X62"/>
    <mergeCell ref="C11:F11"/>
    <mergeCell ref="I11:L11"/>
    <mergeCell ref="M11:O11"/>
    <mergeCell ref="P11:R11"/>
    <mergeCell ref="I12:K12"/>
    <mergeCell ref="L62:R62"/>
  </mergeCells>
  <pageMargins left="0.23" right="0.3" top="0.37" bottom="0.43" header="0.3" footer="0.3"/>
  <pageSetup paperSize="17" scale="52" orientation="landscape"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6"/>
  <sheetViews>
    <sheetView workbookViewId="0">
      <pane xSplit="1" ySplit="1" topLeftCell="B2" activePane="bottomRight" state="frozen"/>
      <selection pane="topRight" activeCell="B1" sqref="B1"/>
      <selection pane="bottomLeft" activeCell="A2" sqref="A2"/>
      <selection pane="bottomRight" activeCell="F9" sqref="F9"/>
    </sheetView>
  </sheetViews>
  <sheetFormatPr defaultRowHeight="13.2" x14ac:dyDescent="0.25"/>
  <cols>
    <col min="1" max="1" width="15.44140625" style="3369" customWidth="1"/>
    <col min="2" max="2" width="17.33203125" customWidth="1"/>
    <col min="3" max="3" width="29.5546875" customWidth="1"/>
    <col min="4" max="6" width="11.33203125" customWidth="1"/>
    <col min="7" max="7" width="14.109375" customWidth="1"/>
    <col min="8" max="8" width="15.88671875" customWidth="1"/>
    <col min="9" max="9" width="12.88671875" customWidth="1"/>
    <col min="10" max="10" width="10.88671875" customWidth="1"/>
    <col min="11" max="11" width="13.88671875" customWidth="1"/>
    <col min="12" max="12" width="15.88671875" customWidth="1"/>
    <col min="13" max="14" width="14" customWidth="1"/>
    <col min="15" max="18" width="19.33203125" customWidth="1"/>
  </cols>
  <sheetData>
    <row r="1" spans="1:22" ht="44.25" customHeight="1" thickBot="1" x14ac:dyDescent="0.35">
      <c r="B1" s="3881"/>
      <c r="C1" s="1569"/>
      <c r="D1" s="1569"/>
      <c r="E1" s="1569"/>
      <c r="F1" s="1580"/>
      <c r="G1" s="1580">
        <v>18230482</v>
      </c>
      <c r="H1" s="3698" t="s">
        <v>1132</v>
      </c>
      <c r="I1" s="1580"/>
      <c r="J1" s="1569"/>
      <c r="K1" s="1569"/>
      <c r="L1" s="1569"/>
      <c r="M1" s="1569"/>
      <c r="N1" s="1569"/>
      <c r="O1" s="1569"/>
      <c r="P1" s="1569"/>
      <c r="Q1" s="1569"/>
      <c r="R1" s="1569"/>
      <c r="S1" s="1569"/>
      <c r="T1" s="1569"/>
      <c r="U1" s="1569"/>
      <c r="V1" s="1569"/>
    </row>
    <row r="2" spans="1:22" ht="16.2" thickBot="1" x14ac:dyDescent="0.35">
      <c r="B2" s="1580" t="s">
        <v>131</v>
      </c>
      <c r="C2" s="3675" t="s">
        <v>871</v>
      </c>
      <c r="D2" s="1569"/>
      <c r="E2" s="1569"/>
      <c r="F2" s="1569"/>
      <c r="G2" s="1587" t="s">
        <v>8</v>
      </c>
      <c r="H2" s="1569"/>
      <c r="I2" s="1569"/>
      <c r="J2" s="1569"/>
      <c r="K2" s="1569"/>
      <c r="L2" s="1569"/>
      <c r="M2" s="1569"/>
      <c r="N2" s="1569"/>
      <c r="O2" s="1569"/>
      <c r="P2" s="1569"/>
      <c r="Q2" s="4798"/>
      <c r="R2" s="4798"/>
      <c r="S2" s="4785" t="s">
        <v>132</v>
      </c>
      <c r="T2" s="4786"/>
      <c r="U2" s="4787"/>
      <c r="V2" s="4793" t="s">
        <v>133</v>
      </c>
    </row>
    <row r="3" spans="1:22" ht="16.2" thickBot="1" x14ac:dyDescent="0.35">
      <c r="B3" s="1613" t="s">
        <v>6</v>
      </c>
      <c r="C3" s="1613">
        <v>18230482</v>
      </c>
      <c r="D3" s="1569"/>
      <c r="E3" s="1569"/>
      <c r="F3" s="1569"/>
      <c r="G3" s="1599" t="s">
        <v>9</v>
      </c>
      <c r="H3" s="1597" t="s">
        <v>10</v>
      </c>
      <c r="I3" s="1597" t="s">
        <v>11</v>
      </c>
      <c r="J3" s="1597" t="s">
        <v>12</v>
      </c>
      <c r="K3" s="1597" t="s">
        <v>13</v>
      </c>
      <c r="L3" s="1597" t="s">
        <v>14</v>
      </c>
      <c r="M3" s="1597" t="s">
        <v>15</v>
      </c>
      <c r="N3" s="1597" t="s">
        <v>16</v>
      </c>
      <c r="O3" s="1597" t="s">
        <v>134</v>
      </c>
      <c r="P3" s="1597" t="s">
        <v>135</v>
      </c>
      <c r="Q3" s="1600" t="s">
        <v>18</v>
      </c>
      <c r="R3" s="1600" t="s">
        <v>136</v>
      </c>
      <c r="S3" s="1589" t="s">
        <v>137</v>
      </c>
      <c r="T3" s="1589" t="s">
        <v>12</v>
      </c>
      <c r="U3" s="1590" t="s">
        <v>138</v>
      </c>
      <c r="V3" s="4794"/>
    </row>
    <row r="4" spans="1:22" ht="16.2" thickBot="1" x14ac:dyDescent="0.35">
      <c r="B4" s="1613" t="s">
        <v>139</v>
      </c>
      <c r="C4" s="3702" t="s">
        <v>1200</v>
      </c>
      <c r="D4" s="1569"/>
      <c r="E4" s="1569"/>
      <c r="F4" s="1580">
        <v>2011</v>
      </c>
      <c r="G4" s="1636">
        <v>0</v>
      </c>
      <c r="H4" s="1637">
        <v>0</v>
      </c>
      <c r="I4" s="1637">
        <v>0</v>
      </c>
      <c r="J4" s="1637">
        <v>9600</v>
      </c>
      <c r="K4" s="1637">
        <v>0</v>
      </c>
      <c r="L4" s="1637">
        <v>0</v>
      </c>
      <c r="M4" s="1637">
        <v>0</v>
      </c>
      <c r="N4" s="1637">
        <v>0</v>
      </c>
      <c r="O4" s="1637">
        <v>0</v>
      </c>
      <c r="P4" s="1637">
        <v>0</v>
      </c>
      <c r="Q4" s="1641">
        <v>9600</v>
      </c>
      <c r="R4" s="1656">
        <v>0</v>
      </c>
      <c r="S4" s="1667">
        <v>0</v>
      </c>
      <c r="T4" s="1667">
        <v>1</v>
      </c>
      <c r="U4" s="1667">
        <v>0</v>
      </c>
      <c r="V4" s="1669" t="e">
        <v>#DIV/0!</v>
      </c>
    </row>
    <row r="5" spans="1:22" ht="16.2" thickBot="1" x14ac:dyDescent="0.35">
      <c r="B5" s="1580" t="s">
        <v>34</v>
      </c>
      <c r="C5" s="1569"/>
      <c r="D5" s="1569"/>
      <c r="E5" s="1569"/>
      <c r="F5" s="1580">
        <v>2012</v>
      </c>
      <c r="G5" s="1638">
        <f>D13</f>
        <v>0</v>
      </c>
      <c r="H5" s="1639">
        <f>D18</f>
        <v>0</v>
      </c>
      <c r="I5" s="1639">
        <f>D23</f>
        <v>0</v>
      </c>
      <c r="J5" s="1639">
        <f>D28</f>
        <v>27280</v>
      </c>
      <c r="K5" s="1639">
        <f>D33</f>
        <v>0</v>
      </c>
      <c r="L5" s="1639">
        <f>D38</f>
        <v>2175</v>
      </c>
      <c r="M5" s="1639">
        <f>D43</f>
        <v>24795</v>
      </c>
      <c r="N5" s="1639">
        <f>D49</f>
        <v>0</v>
      </c>
      <c r="O5" s="1639">
        <f>D54</f>
        <v>0</v>
      </c>
      <c r="P5" s="1639">
        <f>D55</f>
        <v>0</v>
      </c>
      <c r="Q5" s="1640">
        <f>SUM(G5:P5)</f>
        <v>54250</v>
      </c>
      <c r="R5" s="1657">
        <v>0</v>
      </c>
      <c r="S5" s="1668">
        <v>0</v>
      </c>
      <c r="T5" s="1668">
        <v>1</v>
      </c>
      <c r="U5" s="1668">
        <v>0</v>
      </c>
      <c r="V5" s="1670" t="e">
        <v>#DIV/0!</v>
      </c>
    </row>
    <row r="6" spans="1:22" ht="16.2" thickBot="1" x14ac:dyDescent="0.35">
      <c r="B6" s="1569"/>
      <c r="C6" s="1580" t="s">
        <v>886</v>
      </c>
      <c r="D6" s="1569"/>
      <c r="E6" s="1569"/>
      <c r="F6" s="1580">
        <v>2013</v>
      </c>
      <c r="G6" s="1653">
        <f>E13</f>
        <v>0</v>
      </c>
      <c r="H6" s="1654">
        <f>E18</f>
        <v>0</v>
      </c>
      <c r="I6" s="1654">
        <f>E23</f>
        <v>0</v>
      </c>
      <c r="J6" s="1654">
        <f>E28</f>
        <v>27280</v>
      </c>
      <c r="K6" s="1654">
        <f>E33</f>
        <v>0</v>
      </c>
      <c r="L6" s="1654">
        <f>E38</f>
        <v>2175</v>
      </c>
      <c r="M6" s="1654">
        <f>E43</f>
        <v>24795</v>
      </c>
      <c r="N6" s="1654">
        <f>E49</f>
        <v>0</v>
      </c>
      <c r="O6" s="1654">
        <f>E54</f>
        <v>0</v>
      </c>
      <c r="P6" s="1654">
        <f>E55</f>
        <v>0</v>
      </c>
      <c r="Q6" s="3703">
        <f>SUM(G6:P6)</f>
        <v>54250</v>
      </c>
      <c r="R6" s="1658">
        <v>0</v>
      </c>
      <c r="S6" s="1668">
        <v>0</v>
      </c>
      <c r="T6" s="1668">
        <v>1</v>
      </c>
      <c r="U6" s="1668">
        <v>0</v>
      </c>
      <c r="V6" s="1670" t="e">
        <v>#DIV/0!</v>
      </c>
    </row>
    <row r="7" spans="1:22" ht="16.2" thickBot="1" x14ac:dyDescent="0.35">
      <c r="B7" s="1569"/>
      <c r="C7" s="1662" t="s">
        <v>873</v>
      </c>
      <c r="D7" s="1569"/>
      <c r="E7" s="1569"/>
      <c r="F7" s="1652" t="s">
        <v>140</v>
      </c>
      <c r="G7" s="2163">
        <f t="shared" ref="G7:P7" si="0">SUM(G5:G6)</f>
        <v>0</v>
      </c>
      <c r="H7" s="2163">
        <f t="shared" si="0"/>
        <v>0</v>
      </c>
      <c r="I7" s="2163">
        <f t="shared" si="0"/>
        <v>0</v>
      </c>
      <c r="J7" s="2163">
        <f>SUM(J5:J6)</f>
        <v>54560</v>
      </c>
      <c r="K7" s="2163">
        <f t="shared" si="0"/>
        <v>0</v>
      </c>
      <c r="L7" s="2163">
        <f t="shared" si="0"/>
        <v>4350</v>
      </c>
      <c r="M7" s="2163">
        <f t="shared" si="0"/>
        <v>49590</v>
      </c>
      <c r="N7" s="2163">
        <f t="shared" si="0"/>
        <v>0</v>
      </c>
      <c r="O7" s="2163">
        <f t="shared" si="0"/>
        <v>0</v>
      </c>
      <c r="P7" s="2163">
        <f t="shared" si="0"/>
        <v>0</v>
      </c>
      <c r="Q7" s="1655">
        <f>SUM(Q5:Q6)</f>
        <v>108500</v>
      </c>
      <c r="R7" s="1659">
        <v>0</v>
      </c>
      <c r="S7" s="1668">
        <v>0</v>
      </c>
      <c r="T7" s="1668">
        <v>1</v>
      </c>
      <c r="U7" s="1668">
        <v>0</v>
      </c>
      <c r="V7" s="1670" t="e">
        <v>#DIV/0!</v>
      </c>
    </row>
    <row r="8" spans="1:22" ht="13.8" x14ac:dyDescent="0.3">
      <c r="P8" s="2427"/>
      <c r="Q8" s="86"/>
    </row>
    <row r="9" spans="1:22" s="2410" customFormat="1" ht="13.8" x14ac:dyDescent="0.3">
      <c r="A9" s="3369"/>
      <c r="P9" s="2427"/>
      <c r="Q9" s="86"/>
    </row>
    <row r="10" spans="1:22" ht="14.4" thickBot="1" x14ac:dyDescent="0.35">
      <c r="B10" s="1569"/>
      <c r="C10" s="1632" t="s">
        <v>141</v>
      </c>
      <c r="D10" s="4795" t="s">
        <v>142</v>
      </c>
      <c r="E10" s="4795"/>
      <c r="F10" s="1569"/>
      <c r="G10" s="1569"/>
      <c r="H10" s="1569"/>
      <c r="I10" s="4796" t="s">
        <v>143</v>
      </c>
      <c r="J10" s="4796"/>
      <c r="K10" s="4796"/>
      <c r="L10" s="4796"/>
      <c r="M10" s="4797" t="s">
        <v>142</v>
      </c>
      <c r="N10" s="4797"/>
      <c r="O10" s="1569"/>
      <c r="P10" s="1569"/>
      <c r="Q10" s="1569"/>
      <c r="R10" s="1569"/>
      <c r="S10" s="1569"/>
      <c r="T10" s="1569"/>
      <c r="U10" s="1569"/>
      <c r="V10" s="1569"/>
    </row>
    <row r="11" spans="1:22" ht="16.2" thickBot="1" x14ac:dyDescent="0.35">
      <c r="B11" s="1635" t="s">
        <v>144</v>
      </c>
      <c r="C11" s="4788" t="s">
        <v>145</v>
      </c>
      <c r="D11" s="4788"/>
      <c r="E11" s="4788"/>
      <c r="F11" s="4789"/>
      <c r="G11" s="1569"/>
      <c r="H11" s="1569"/>
      <c r="I11" s="4785" t="s">
        <v>146</v>
      </c>
      <c r="J11" s="4786"/>
      <c r="K11" s="4786"/>
      <c r="L11" s="4787"/>
      <c r="M11" s="4785" t="s">
        <v>147</v>
      </c>
      <c r="N11" s="4786"/>
      <c r="O11" s="4787"/>
      <c r="P11" s="4785" t="s">
        <v>148</v>
      </c>
      <c r="Q11" s="4786"/>
      <c r="R11" s="4787"/>
      <c r="S11" s="1569"/>
      <c r="T11" s="1634" t="s">
        <v>149</v>
      </c>
      <c r="U11" s="1569"/>
      <c r="V11" s="1569"/>
    </row>
    <row r="12" spans="1:22" ht="16.2" thickBot="1" x14ac:dyDescent="0.35">
      <c r="B12" s="1645">
        <v>2011</v>
      </c>
      <c r="C12" s="1633" t="s">
        <v>150</v>
      </c>
      <c r="D12" s="1627">
        <v>2012</v>
      </c>
      <c r="E12" s="1627">
        <v>2013</v>
      </c>
      <c r="F12" s="1627" t="s">
        <v>151</v>
      </c>
      <c r="G12" s="1569"/>
      <c r="H12" s="1588"/>
      <c r="I12" s="4790" t="s">
        <v>152</v>
      </c>
      <c r="J12" s="4791"/>
      <c r="K12" s="4792"/>
      <c r="L12" s="1623" t="s">
        <v>153</v>
      </c>
      <c r="M12" s="1624" t="s">
        <v>154</v>
      </c>
      <c r="N12" s="1625" t="s">
        <v>155</v>
      </c>
      <c r="O12" s="1626" t="s">
        <v>156</v>
      </c>
      <c r="P12" s="1624" t="s">
        <v>157</v>
      </c>
      <c r="Q12" s="1624" t="s">
        <v>158</v>
      </c>
      <c r="R12" s="1626" t="s">
        <v>159</v>
      </c>
      <c r="S12" s="1569"/>
      <c r="T12" s="1635" t="s">
        <v>160</v>
      </c>
      <c r="U12" s="1569"/>
      <c r="V12" s="1569"/>
    </row>
    <row r="13" spans="1:22" ht="14.4" thickBot="1" x14ac:dyDescent="0.35">
      <c r="B13" s="1642">
        <v>0</v>
      </c>
      <c r="C13" s="1601" t="s">
        <v>161</v>
      </c>
      <c r="D13" s="1602">
        <f>SUM(D14:D17)</f>
        <v>0</v>
      </c>
      <c r="E13" s="3701">
        <f>SUM(E14:E17)</f>
        <v>0</v>
      </c>
      <c r="F13" s="1603">
        <f>SUM(D13:E13)</f>
        <v>0</v>
      </c>
      <c r="G13" s="1569"/>
      <c r="H13" s="1591"/>
      <c r="I13" s="1620" t="s">
        <v>409</v>
      </c>
      <c r="J13" s="1621"/>
      <c r="K13" s="1622"/>
      <c r="L13" s="1630">
        <v>0</v>
      </c>
      <c r="M13" s="1576"/>
      <c r="N13" s="1576"/>
      <c r="O13" s="1592">
        <v>0</v>
      </c>
      <c r="P13" s="1628">
        <v>0</v>
      </c>
      <c r="Q13" s="1628">
        <v>0</v>
      </c>
      <c r="R13" s="1629">
        <v>0</v>
      </c>
      <c r="S13" s="1569"/>
      <c r="T13" s="1660">
        <v>0</v>
      </c>
      <c r="U13" s="1569"/>
      <c r="V13" s="1569"/>
    </row>
    <row r="14" spans="1:22" ht="13.8" x14ac:dyDescent="0.3">
      <c r="B14" s="1643"/>
      <c r="C14" s="1575" t="s">
        <v>162</v>
      </c>
      <c r="D14" s="1583">
        <v>0</v>
      </c>
      <c r="E14" s="1583">
        <v>0</v>
      </c>
      <c r="F14" s="1583">
        <f>SUM(D14:E14)</f>
        <v>0</v>
      </c>
      <c r="G14" s="1569"/>
      <c r="H14" s="1591"/>
      <c r="I14" s="1616" t="s">
        <v>410</v>
      </c>
      <c r="J14" s="1617"/>
      <c r="K14" s="1618"/>
      <c r="L14" s="1630">
        <v>0</v>
      </c>
      <c r="M14" s="1576"/>
      <c r="N14" s="1576"/>
      <c r="O14" s="1592">
        <v>0</v>
      </c>
      <c r="P14" s="1628">
        <v>0</v>
      </c>
      <c r="Q14" s="1628">
        <v>0</v>
      </c>
      <c r="R14" s="1629">
        <v>0</v>
      </c>
      <c r="S14" s="1569"/>
      <c r="T14" s="1661">
        <v>0</v>
      </c>
      <c r="U14" s="1569"/>
      <c r="V14" s="1569"/>
    </row>
    <row r="15" spans="1:22" ht="13.8" x14ac:dyDescent="0.3">
      <c r="B15" s="1644"/>
      <c r="C15" s="1575" t="s">
        <v>163</v>
      </c>
      <c r="D15" s="1583">
        <v>0</v>
      </c>
      <c r="E15" s="1583">
        <v>0</v>
      </c>
      <c r="F15" s="3699">
        <f t="shared" ref="F15:F17" si="1">SUM(D15:E15)</f>
        <v>0</v>
      </c>
      <c r="G15" s="1569"/>
      <c r="H15" s="1591"/>
      <c r="I15" s="1616" t="s">
        <v>411</v>
      </c>
      <c r="J15" s="1617"/>
      <c r="K15" s="1618"/>
      <c r="L15" s="1630">
        <v>0</v>
      </c>
      <c r="M15" s="1576">
        <v>0</v>
      </c>
      <c r="N15" s="1576">
        <v>0</v>
      </c>
      <c r="O15" s="1592">
        <v>0</v>
      </c>
      <c r="P15" s="1628">
        <v>0</v>
      </c>
      <c r="Q15" s="1628">
        <v>0</v>
      </c>
      <c r="R15" s="1629">
        <v>0</v>
      </c>
      <c r="S15" s="1569"/>
      <c r="T15" s="1661">
        <v>0</v>
      </c>
      <c r="U15" s="1569"/>
      <c r="V15" s="1569"/>
    </row>
    <row r="16" spans="1:22" ht="13.8" x14ac:dyDescent="0.3">
      <c r="B16" s="1644"/>
      <c r="C16" s="1575" t="s">
        <v>164</v>
      </c>
      <c r="D16" s="1585">
        <v>0</v>
      </c>
      <c r="E16" s="1585"/>
      <c r="F16" s="3699">
        <f t="shared" si="1"/>
        <v>0</v>
      </c>
      <c r="G16" s="1569"/>
      <c r="H16" s="1591"/>
      <c r="I16" s="1616" t="s">
        <v>213</v>
      </c>
      <c r="J16" s="1617"/>
      <c r="K16" s="1618"/>
      <c r="L16" s="1630">
        <v>0</v>
      </c>
      <c r="M16" s="1576">
        <v>0</v>
      </c>
      <c r="N16" s="1576">
        <v>0</v>
      </c>
      <c r="O16" s="1592">
        <v>0</v>
      </c>
      <c r="P16" s="1628">
        <v>0</v>
      </c>
      <c r="Q16" s="1628">
        <v>0</v>
      </c>
      <c r="R16" s="1629">
        <v>0</v>
      </c>
      <c r="S16" s="1569"/>
      <c r="T16" s="1661">
        <v>0</v>
      </c>
      <c r="U16" s="1569"/>
      <c r="V16" s="1569"/>
    </row>
    <row r="17" spans="2:22" ht="14.4" thickBot="1" x14ac:dyDescent="0.35">
      <c r="B17" s="1644"/>
      <c r="C17" s="1575" t="s">
        <v>165</v>
      </c>
      <c r="D17" s="1585">
        <v>0</v>
      </c>
      <c r="E17" s="1585"/>
      <c r="F17" s="3699">
        <f t="shared" si="1"/>
        <v>0</v>
      </c>
      <c r="G17" s="1569"/>
      <c r="H17" s="1591"/>
      <c r="I17" s="1616" t="s">
        <v>214</v>
      </c>
      <c r="J17" s="1617"/>
      <c r="K17" s="1618"/>
      <c r="L17" s="1630">
        <v>0</v>
      </c>
      <c r="M17" s="1576">
        <v>0</v>
      </c>
      <c r="N17" s="1576">
        <v>0</v>
      </c>
      <c r="O17" s="1592">
        <v>0</v>
      </c>
      <c r="P17" s="1628">
        <v>0</v>
      </c>
      <c r="Q17" s="1628">
        <v>0</v>
      </c>
      <c r="R17" s="1629">
        <v>0</v>
      </c>
      <c r="S17" s="1569"/>
      <c r="T17" s="1661">
        <v>0</v>
      </c>
      <c r="U17" s="1569"/>
      <c r="V17" s="1569"/>
    </row>
    <row r="18" spans="2:22" ht="14.4" thickBot="1" x14ac:dyDescent="0.35">
      <c r="B18" s="1642">
        <v>0</v>
      </c>
      <c r="C18" s="1601" t="s">
        <v>166</v>
      </c>
      <c r="D18" s="1602">
        <f>SUM(D19:D22)</f>
        <v>0</v>
      </c>
      <c r="E18" s="3701">
        <f>SUM(E19:E22)</f>
        <v>0</v>
      </c>
      <c r="F18" s="1603">
        <f>SUM(D18:E18)</f>
        <v>0</v>
      </c>
      <c r="G18" s="1569"/>
      <c r="H18" s="1591"/>
      <c r="I18" s="1616" t="s">
        <v>215</v>
      </c>
      <c r="J18" s="1617"/>
      <c r="K18" s="1618"/>
      <c r="L18" s="1630">
        <v>0</v>
      </c>
      <c r="M18" s="1576">
        <v>0</v>
      </c>
      <c r="N18" s="1576">
        <v>0</v>
      </c>
      <c r="O18" s="1592">
        <v>0</v>
      </c>
      <c r="P18" s="1628">
        <v>0</v>
      </c>
      <c r="Q18" s="1628">
        <v>0</v>
      </c>
      <c r="R18" s="1629">
        <v>0</v>
      </c>
      <c r="S18" s="1569"/>
      <c r="T18" s="1661">
        <v>0</v>
      </c>
    </row>
    <row r="19" spans="2:22" ht="13.8" x14ac:dyDescent="0.3">
      <c r="B19" s="1643"/>
      <c r="C19" s="1575" t="s">
        <v>162</v>
      </c>
      <c r="D19" s="1583">
        <v>0</v>
      </c>
      <c r="E19" s="1583">
        <v>0</v>
      </c>
      <c r="F19" s="1583">
        <f>SUM(D19:E19)</f>
        <v>0</v>
      </c>
      <c r="G19" s="1569"/>
      <c r="H19" s="1591"/>
      <c r="I19" s="1616" t="s">
        <v>216</v>
      </c>
      <c r="J19" s="1617"/>
      <c r="K19" s="1618"/>
      <c r="L19" s="1630">
        <v>0</v>
      </c>
      <c r="M19" s="1576">
        <v>0</v>
      </c>
      <c r="N19" s="1576">
        <v>0</v>
      </c>
      <c r="O19" s="1592">
        <v>0</v>
      </c>
      <c r="P19" s="1628">
        <v>0</v>
      </c>
      <c r="Q19" s="1628">
        <v>0</v>
      </c>
      <c r="R19" s="1629">
        <v>0</v>
      </c>
      <c r="S19" s="1569"/>
      <c r="T19" s="1661">
        <v>0</v>
      </c>
    </row>
    <row r="20" spans="2:22" ht="13.8" x14ac:dyDescent="0.3">
      <c r="B20" s="1644"/>
      <c r="C20" s="1575" t="s">
        <v>163</v>
      </c>
      <c r="D20" s="1583">
        <v>0</v>
      </c>
      <c r="E20" s="1583">
        <v>0</v>
      </c>
      <c r="F20" s="3699">
        <f t="shared" ref="F20:F22" si="2">SUM(D20:E20)</f>
        <v>0</v>
      </c>
      <c r="G20" s="1569"/>
      <c r="H20" s="1591"/>
      <c r="I20" s="1616" t="s">
        <v>217</v>
      </c>
      <c r="J20" s="1617"/>
      <c r="K20" s="1618"/>
      <c r="L20" s="1630">
        <v>0</v>
      </c>
      <c r="M20" s="1576">
        <v>0</v>
      </c>
      <c r="N20" s="1576">
        <v>0</v>
      </c>
      <c r="O20" s="1592">
        <v>0</v>
      </c>
      <c r="P20" s="1628">
        <v>0</v>
      </c>
      <c r="Q20" s="1628">
        <v>0</v>
      </c>
      <c r="R20" s="1629">
        <v>0</v>
      </c>
      <c r="S20" s="1569"/>
      <c r="T20" s="1661">
        <v>0</v>
      </c>
    </row>
    <row r="21" spans="2:22" ht="13.8" x14ac:dyDescent="0.3">
      <c r="B21" s="1644"/>
      <c r="C21" s="1575" t="s">
        <v>164</v>
      </c>
      <c r="D21" s="1585">
        <v>0</v>
      </c>
      <c r="E21" s="1585"/>
      <c r="F21" s="3699">
        <f t="shared" si="2"/>
        <v>0</v>
      </c>
      <c r="G21" s="1569"/>
      <c r="H21" s="1591"/>
      <c r="I21" s="1616" t="s">
        <v>218</v>
      </c>
      <c r="J21" s="1617"/>
      <c r="K21" s="1618"/>
      <c r="L21" s="1630">
        <v>0</v>
      </c>
      <c r="M21" s="1576">
        <v>0</v>
      </c>
      <c r="N21" s="1576">
        <v>0</v>
      </c>
      <c r="O21" s="1592">
        <v>0</v>
      </c>
      <c r="P21" s="1628">
        <v>0</v>
      </c>
      <c r="Q21" s="1628">
        <v>0</v>
      </c>
      <c r="R21" s="1629">
        <v>0</v>
      </c>
      <c r="S21" s="1569"/>
      <c r="T21" s="1661">
        <v>0</v>
      </c>
    </row>
    <row r="22" spans="2:22" ht="14.4" thickBot="1" x14ac:dyDescent="0.35">
      <c r="B22" s="1644"/>
      <c r="C22" s="1575" t="s">
        <v>165</v>
      </c>
      <c r="D22" s="1585">
        <v>0</v>
      </c>
      <c r="E22" s="1585"/>
      <c r="F22" s="3699">
        <f t="shared" si="2"/>
        <v>0</v>
      </c>
      <c r="G22" s="1569"/>
      <c r="H22" s="1591"/>
      <c r="I22" s="1616" t="s">
        <v>219</v>
      </c>
      <c r="J22" s="1617"/>
      <c r="K22" s="1618"/>
      <c r="L22" s="1630">
        <v>0</v>
      </c>
      <c r="M22" s="1576">
        <v>0</v>
      </c>
      <c r="N22" s="1576">
        <v>0</v>
      </c>
      <c r="O22" s="1592">
        <v>0</v>
      </c>
      <c r="P22" s="1628">
        <v>0</v>
      </c>
      <c r="Q22" s="1628">
        <v>0</v>
      </c>
      <c r="R22" s="1629">
        <v>0</v>
      </c>
      <c r="S22" s="1569"/>
      <c r="T22" s="1661">
        <v>0</v>
      </c>
    </row>
    <row r="23" spans="2:22" ht="14.4" thickBot="1" x14ac:dyDescent="0.35">
      <c r="B23" s="1642">
        <v>0</v>
      </c>
      <c r="C23" s="1601" t="s">
        <v>167</v>
      </c>
      <c r="D23" s="1602">
        <f>SUM(D24:D27)</f>
        <v>0</v>
      </c>
      <c r="E23" s="3701">
        <f>SUM(E24:E27)</f>
        <v>0</v>
      </c>
      <c r="F23" s="1603">
        <f>SUM(D23:E23)</f>
        <v>0</v>
      </c>
      <c r="G23" s="1574"/>
      <c r="H23" s="1591"/>
      <c r="I23" s="1616" t="s">
        <v>220</v>
      </c>
      <c r="J23" s="1617"/>
      <c r="K23" s="1618"/>
      <c r="L23" s="1630">
        <v>0</v>
      </c>
      <c r="M23" s="1576">
        <v>0</v>
      </c>
      <c r="N23" s="1576">
        <v>0</v>
      </c>
      <c r="O23" s="1592">
        <v>0</v>
      </c>
      <c r="P23" s="1628">
        <v>0</v>
      </c>
      <c r="Q23" s="1628">
        <v>0</v>
      </c>
      <c r="R23" s="1629">
        <v>0</v>
      </c>
      <c r="S23" s="1569"/>
      <c r="T23" s="1661">
        <v>0</v>
      </c>
    </row>
    <row r="24" spans="2:22" ht="13.8" x14ac:dyDescent="0.3">
      <c r="B24" s="1643"/>
      <c r="C24" s="1581" t="s">
        <v>168</v>
      </c>
      <c r="D24" s="1583">
        <v>0</v>
      </c>
      <c r="E24" s="1583">
        <v>0</v>
      </c>
      <c r="F24" s="1583">
        <f>SUM(D24:E24)</f>
        <v>0</v>
      </c>
      <c r="G24" s="1569"/>
      <c r="H24" s="1591"/>
      <c r="I24" s="1616" t="s">
        <v>221</v>
      </c>
      <c r="J24" s="1617"/>
      <c r="K24" s="1618"/>
      <c r="L24" s="1630">
        <v>0</v>
      </c>
      <c r="M24" s="1576">
        <v>0</v>
      </c>
      <c r="N24" s="1576">
        <v>0</v>
      </c>
      <c r="O24" s="1592">
        <v>0</v>
      </c>
      <c r="P24" s="1628">
        <v>0</v>
      </c>
      <c r="Q24" s="1628">
        <v>0</v>
      </c>
      <c r="R24" s="1629">
        <v>0</v>
      </c>
      <c r="S24" s="1569"/>
      <c r="T24" s="1661">
        <v>0</v>
      </c>
    </row>
    <row r="25" spans="2:22" ht="13.8" x14ac:dyDescent="0.3">
      <c r="B25" s="1643"/>
      <c r="C25" s="1581" t="s">
        <v>169</v>
      </c>
      <c r="D25" s="1584">
        <v>0</v>
      </c>
      <c r="E25" s="1584">
        <v>0</v>
      </c>
      <c r="F25" s="3699">
        <f t="shared" ref="F25:F27" si="3">SUM(D25:E25)</f>
        <v>0</v>
      </c>
      <c r="G25" s="1569"/>
      <c r="H25" s="1591"/>
      <c r="I25" s="1616" t="s">
        <v>222</v>
      </c>
      <c r="J25" s="1617"/>
      <c r="K25" s="1618"/>
      <c r="L25" s="1630">
        <v>0</v>
      </c>
      <c r="M25" s="1576">
        <v>0</v>
      </c>
      <c r="N25" s="1576">
        <v>0</v>
      </c>
      <c r="O25" s="1592">
        <v>0</v>
      </c>
      <c r="P25" s="1628">
        <v>0</v>
      </c>
      <c r="Q25" s="1628">
        <v>0</v>
      </c>
      <c r="R25" s="1629">
        <v>0</v>
      </c>
      <c r="S25" s="1569"/>
      <c r="T25" s="1661">
        <v>0</v>
      </c>
    </row>
    <row r="26" spans="2:22" ht="13.8" x14ac:dyDescent="0.3">
      <c r="B26" s="1644"/>
      <c r="C26" s="1575"/>
      <c r="D26" s="1585"/>
      <c r="E26" s="1585"/>
      <c r="F26" s="3699">
        <f t="shared" si="3"/>
        <v>0</v>
      </c>
      <c r="G26" s="1569"/>
      <c r="H26" s="1591"/>
      <c r="I26" s="1616" t="s">
        <v>223</v>
      </c>
      <c r="J26" s="1617"/>
      <c r="K26" s="1618"/>
      <c r="L26" s="1630">
        <v>0</v>
      </c>
      <c r="M26" s="1576">
        <v>0</v>
      </c>
      <c r="N26" s="1576">
        <v>0</v>
      </c>
      <c r="O26" s="1592">
        <v>0</v>
      </c>
      <c r="P26" s="1628">
        <v>0</v>
      </c>
      <c r="Q26" s="1628">
        <v>0</v>
      </c>
      <c r="R26" s="1629">
        <v>0</v>
      </c>
      <c r="S26" s="1569"/>
      <c r="T26" s="1661">
        <v>0</v>
      </c>
    </row>
    <row r="27" spans="2:22" ht="14.4" thickBot="1" x14ac:dyDescent="0.35">
      <c r="B27" s="1644"/>
      <c r="C27" s="1575"/>
      <c r="D27" s="1585"/>
      <c r="E27" s="1585"/>
      <c r="F27" s="3699">
        <f t="shared" si="3"/>
        <v>0</v>
      </c>
      <c r="G27" s="1569"/>
      <c r="H27" s="1591"/>
      <c r="I27" s="1616" t="s">
        <v>224</v>
      </c>
      <c r="J27" s="1617"/>
      <c r="K27" s="1618"/>
      <c r="L27" s="1630">
        <v>0</v>
      </c>
      <c r="M27" s="1576">
        <v>0</v>
      </c>
      <c r="N27" s="1576">
        <v>0</v>
      </c>
      <c r="O27" s="1592">
        <v>0</v>
      </c>
      <c r="P27" s="1628">
        <v>0</v>
      </c>
      <c r="Q27" s="1628">
        <v>0</v>
      </c>
      <c r="R27" s="1629">
        <v>0</v>
      </c>
      <c r="S27" s="1569"/>
      <c r="T27" s="1661">
        <v>0</v>
      </c>
    </row>
    <row r="28" spans="2:22" ht="14.4" thickBot="1" x14ac:dyDescent="0.35">
      <c r="B28" s="1642">
        <v>9600</v>
      </c>
      <c r="C28" s="1601" t="s">
        <v>170</v>
      </c>
      <c r="D28" s="1602">
        <f>SUM(D29:D32)</f>
        <v>27280</v>
      </c>
      <c r="E28" s="3701">
        <f>SUM(E29:E32)</f>
        <v>27280</v>
      </c>
      <c r="F28" s="1603">
        <f>SUM(D28:E28)</f>
        <v>54560</v>
      </c>
      <c r="G28" s="1569"/>
      <c r="H28" s="1591"/>
      <c r="I28" s="1616" t="s">
        <v>225</v>
      </c>
      <c r="J28" s="1617"/>
      <c r="K28" s="1618"/>
      <c r="L28" s="1630">
        <v>0</v>
      </c>
      <c r="M28" s="1576">
        <v>0</v>
      </c>
      <c r="N28" s="1576">
        <v>0</v>
      </c>
      <c r="O28" s="1592">
        <v>0</v>
      </c>
      <c r="P28" s="1628">
        <v>0</v>
      </c>
      <c r="Q28" s="1628">
        <v>0</v>
      </c>
      <c r="R28" s="1629">
        <v>0</v>
      </c>
      <c r="S28" s="1569"/>
      <c r="T28" s="1661">
        <v>0</v>
      </c>
    </row>
    <row r="29" spans="2:22" ht="13.8" x14ac:dyDescent="0.3">
      <c r="B29" s="1643"/>
      <c r="C29" s="1581" t="s">
        <v>162</v>
      </c>
      <c r="D29" s="1583">
        <v>27280</v>
      </c>
      <c r="E29" s="1583">
        <v>27280</v>
      </c>
      <c r="F29" s="1583">
        <f>SUM(D29:E29)</f>
        <v>54560</v>
      </c>
      <c r="G29" s="1569"/>
      <c r="H29" s="1591"/>
      <c r="I29" s="1616" t="s">
        <v>226</v>
      </c>
      <c r="J29" s="1617"/>
      <c r="K29" s="1618"/>
      <c r="L29" s="1630">
        <v>0</v>
      </c>
      <c r="M29" s="1576">
        <v>0</v>
      </c>
      <c r="N29" s="1576">
        <v>0</v>
      </c>
      <c r="O29" s="1592">
        <v>0</v>
      </c>
      <c r="P29" s="1628">
        <v>0</v>
      </c>
      <c r="Q29" s="1628">
        <v>0</v>
      </c>
      <c r="R29" s="1629">
        <v>0</v>
      </c>
      <c r="S29" s="1569"/>
      <c r="T29" s="1661">
        <v>0</v>
      </c>
    </row>
    <row r="30" spans="2:22" ht="13.8" x14ac:dyDescent="0.3">
      <c r="B30" s="1644"/>
      <c r="C30" s="1575" t="s">
        <v>163</v>
      </c>
      <c r="D30" s="1584">
        <v>0</v>
      </c>
      <c r="E30" s="1584"/>
      <c r="F30" s="3699">
        <f t="shared" ref="F30:F32" si="4">SUM(D30:E30)</f>
        <v>0</v>
      </c>
      <c r="G30" s="1569"/>
      <c r="H30" s="1591"/>
      <c r="I30" s="1616" t="s">
        <v>227</v>
      </c>
      <c r="J30" s="1617"/>
      <c r="K30" s="1618"/>
      <c r="L30" s="1630">
        <v>0</v>
      </c>
      <c r="M30" s="1576">
        <v>0</v>
      </c>
      <c r="N30" s="1576">
        <v>0</v>
      </c>
      <c r="O30" s="1592">
        <v>0</v>
      </c>
      <c r="P30" s="1628">
        <v>0</v>
      </c>
      <c r="Q30" s="1628">
        <v>0</v>
      </c>
      <c r="R30" s="1629">
        <v>0</v>
      </c>
      <c r="S30" s="1569"/>
      <c r="T30" s="1661">
        <v>0</v>
      </c>
    </row>
    <row r="31" spans="2:22" ht="13.8" x14ac:dyDescent="0.3">
      <c r="B31" s="1644"/>
      <c r="C31" s="1575" t="s">
        <v>164</v>
      </c>
      <c r="D31" s="1584">
        <v>0</v>
      </c>
      <c r="E31" s="1584"/>
      <c r="F31" s="3699">
        <f t="shared" si="4"/>
        <v>0</v>
      </c>
      <c r="G31" s="1569"/>
      <c r="H31" s="1591"/>
      <c r="I31" s="1616" t="s">
        <v>228</v>
      </c>
      <c r="J31" s="1617"/>
      <c r="K31" s="1618"/>
      <c r="L31" s="1630">
        <v>0</v>
      </c>
      <c r="M31" s="1576">
        <v>0</v>
      </c>
      <c r="N31" s="1576">
        <v>0</v>
      </c>
      <c r="O31" s="1592">
        <v>0</v>
      </c>
      <c r="P31" s="1628">
        <v>0</v>
      </c>
      <c r="Q31" s="1628">
        <v>0</v>
      </c>
      <c r="R31" s="1629">
        <v>0</v>
      </c>
      <c r="S31" s="1569"/>
      <c r="T31" s="1661">
        <v>0</v>
      </c>
    </row>
    <row r="32" spans="2:22" ht="14.4" thickBot="1" x14ac:dyDescent="0.35">
      <c r="B32" s="1644"/>
      <c r="C32" s="1575" t="s">
        <v>165</v>
      </c>
      <c r="D32" s="1584">
        <v>0</v>
      </c>
      <c r="E32" s="1584"/>
      <c r="F32" s="3699">
        <f t="shared" si="4"/>
        <v>0</v>
      </c>
      <c r="G32" s="1569"/>
      <c r="H32" s="1591"/>
      <c r="I32" s="1616" t="s">
        <v>229</v>
      </c>
      <c r="J32" s="1617"/>
      <c r="K32" s="1618"/>
      <c r="L32" s="1630">
        <v>0</v>
      </c>
      <c r="M32" s="1576">
        <v>0</v>
      </c>
      <c r="N32" s="1576">
        <v>0</v>
      </c>
      <c r="O32" s="1592">
        <v>0</v>
      </c>
      <c r="P32" s="1628">
        <v>0</v>
      </c>
      <c r="Q32" s="1628">
        <v>0</v>
      </c>
      <c r="R32" s="1629">
        <v>0</v>
      </c>
      <c r="S32" s="1569"/>
      <c r="T32" s="1661">
        <v>0</v>
      </c>
    </row>
    <row r="33" spans="2:20" ht="14.4" thickBot="1" x14ac:dyDescent="0.35">
      <c r="B33" s="1642">
        <v>0</v>
      </c>
      <c r="C33" s="1601" t="s">
        <v>171</v>
      </c>
      <c r="D33" s="1602">
        <f>SUM(D34:D37)</f>
        <v>0</v>
      </c>
      <c r="E33" s="3701">
        <f>SUM(E34:E37)</f>
        <v>0</v>
      </c>
      <c r="F33" s="1603">
        <f>SUM(D33:E33)</f>
        <v>0</v>
      </c>
      <c r="G33" s="1569"/>
      <c r="H33" s="1591"/>
      <c r="I33" s="1616" t="s">
        <v>230</v>
      </c>
      <c r="J33" s="1617"/>
      <c r="K33" s="1618"/>
      <c r="L33" s="1630">
        <v>0</v>
      </c>
      <c r="M33" s="1576">
        <v>0</v>
      </c>
      <c r="N33" s="1576">
        <v>0</v>
      </c>
      <c r="O33" s="1592">
        <v>0</v>
      </c>
      <c r="P33" s="1628">
        <v>0</v>
      </c>
      <c r="Q33" s="1628">
        <v>0</v>
      </c>
      <c r="R33" s="1629">
        <v>0</v>
      </c>
      <c r="S33" s="1569"/>
      <c r="T33" s="1661">
        <v>0</v>
      </c>
    </row>
    <row r="34" spans="2:20" ht="13.8" x14ac:dyDescent="0.3">
      <c r="B34" s="1644"/>
      <c r="C34" s="1575" t="s">
        <v>162</v>
      </c>
      <c r="D34" s="1584">
        <v>0</v>
      </c>
      <c r="E34" s="1584"/>
      <c r="F34" s="1583">
        <f>SUM(D34:E34)</f>
        <v>0</v>
      </c>
      <c r="G34" s="1569"/>
      <c r="H34" s="1591"/>
      <c r="I34" s="1616" t="s">
        <v>231</v>
      </c>
      <c r="J34" s="1617"/>
      <c r="K34" s="1618"/>
      <c r="L34" s="1630">
        <v>0</v>
      </c>
      <c r="M34" s="1576">
        <v>0</v>
      </c>
      <c r="N34" s="1576">
        <v>0</v>
      </c>
      <c r="O34" s="1592">
        <v>0</v>
      </c>
      <c r="P34" s="1628">
        <v>0</v>
      </c>
      <c r="Q34" s="1628">
        <v>0</v>
      </c>
      <c r="R34" s="1629">
        <v>0</v>
      </c>
      <c r="S34" s="1569"/>
      <c r="T34" s="1661">
        <v>0</v>
      </c>
    </row>
    <row r="35" spans="2:20" ht="13.8" x14ac:dyDescent="0.3">
      <c r="B35" s="1644"/>
      <c r="C35" s="1575" t="s">
        <v>163</v>
      </c>
      <c r="D35" s="1584">
        <v>0</v>
      </c>
      <c r="E35" s="1584"/>
      <c r="F35" s="3699">
        <f t="shared" ref="F35:F37" si="5">SUM(D35:E35)</f>
        <v>0</v>
      </c>
      <c r="G35" s="1569"/>
      <c r="H35" s="1591"/>
      <c r="I35" s="1616" t="s">
        <v>232</v>
      </c>
      <c r="J35" s="1617"/>
      <c r="K35" s="1618"/>
      <c r="L35" s="1630">
        <v>0</v>
      </c>
      <c r="M35" s="1576">
        <v>0</v>
      </c>
      <c r="N35" s="1576">
        <v>0</v>
      </c>
      <c r="O35" s="1592">
        <v>0</v>
      </c>
      <c r="P35" s="1628">
        <v>0</v>
      </c>
      <c r="Q35" s="1628">
        <v>0</v>
      </c>
      <c r="R35" s="1629">
        <v>0</v>
      </c>
      <c r="S35" s="1569"/>
      <c r="T35" s="1661">
        <v>0</v>
      </c>
    </row>
    <row r="36" spans="2:20" ht="13.8" x14ac:dyDescent="0.3">
      <c r="B36" s="1644"/>
      <c r="C36" s="1575" t="s">
        <v>164</v>
      </c>
      <c r="D36" s="1584">
        <v>0</v>
      </c>
      <c r="E36" s="1584"/>
      <c r="F36" s="3699">
        <f t="shared" si="5"/>
        <v>0</v>
      </c>
      <c r="G36" s="1569"/>
      <c r="H36" s="1591"/>
      <c r="I36" s="1616" t="s">
        <v>233</v>
      </c>
      <c r="J36" s="1617"/>
      <c r="K36" s="1618"/>
      <c r="L36" s="1630">
        <v>0</v>
      </c>
      <c r="M36" s="1576">
        <v>0</v>
      </c>
      <c r="N36" s="1576">
        <v>0</v>
      </c>
      <c r="O36" s="1592">
        <v>0</v>
      </c>
      <c r="P36" s="1628">
        <v>0</v>
      </c>
      <c r="Q36" s="1628">
        <v>0</v>
      </c>
      <c r="R36" s="1629">
        <v>0</v>
      </c>
      <c r="S36" s="1569"/>
      <c r="T36" s="1661">
        <v>0</v>
      </c>
    </row>
    <row r="37" spans="2:20" ht="14.4" thickBot="1" x14ac:dyDescent="0.35">
      <c r="B37" s="1644"/>
      <c r="C37" s="1575" t="s">
        <v>165</v>
      </c>
      <c r="D37" s="1584">
        <v>0</v>
      </c>
      <c r="E37" s="1584"/>
      <c r="F37" s="3699">
        <f t="shared" si="5"/>
        <v>0</v>
      </c>
      <c r="G37" s="1569"/>
      <c r="H37" s="1591"/>
      <c r="I37" s="1616" t="s">
        <v>234</v>
      </c>
      <c r="J37" s="1617"/>
      <c r="K37" s="1618"/>
      <c r="L37" s="1630">
        <v>0</v>
      </c>
      <c r="M37" s="1576">
        <v>0</v>
      </c>
      <c r="N37" s="1576">
        <v>0</v>
      </c>
      <c r="O37" s="1592">
        <v>0</v>
      </c>
      <c r="P37" s="1628">
        <v>0</v>
      </c>
      <c r="Q37" s="1628">
        <v>0</v>
      </c>
      <c r="R37" s="1629">
        <v>0</v>
      </c>
      <c r="S37" s="1569"/>
      <c r="T37" s="1661">
        <v>0</v>
      </c>
    </row>
    <row r="38" spans="2:20" ht="14.4" thickBot="1" x14ac:dyDescent="0.35">
      <c r="B38" s="1642">
        <v>0</v>
      </c>
      <c r="C38" s="1601" t="s">
        <v>172</v>
      </c>
      <c r="D38" s="1602">
        <f>SUM(D39:D42)</f>
        <v>2175</v>
      </c>
      <c r="E38" s="3701">
        <f>SUM(E39:E42)</f>
        <v>2175</v>
      </c>
      <c r="F38" s="1603">
        <f>SUM(D38:E38)</f>
        <v>4350</v>
      </c>
      <c r="G38" s="1569"/>
      <c r="H38" s="1591"/>
      <c r="I38" s="1616" t="s">
        <v>235</v>
      </c>
      <c r="J38" s="1617"/>
      <c r="K38" s="1619"/>
      <c r="L38" s="1630">
        <v>0</v>
      </c>
      <c r="M38" s="1576">
        <v>0</v>
      </c>
      <c r="N38" s="1576">
        <v>0</v>
      </c>
      <c r="O38" s="1592">
        <v>0</v>
      </c>
      <c r="P38" s="1628">
        <v>0</v>
      </c>
      <c r="Q38" s="1628">
        <v>0</v>
      </c>
      <c r="R38" s="1629">
        <v>0</v>
      </c>
      <c r="S38" s="1569"/>
      <c r="T38" s="1661">
        <v>0</v>
      </c>
    </row>
    <row r="39" spans="2:20" ht="13.8" x14ac:dyDescent="0.3">
      <c r="B39" s="1644"/>
      <c r="C39" s="3670" t="s">
        <v>1128</v>
      </c>
      <c r="D39" s="3671">
        <v>1305</v>
      </c>
      <c r="E39" s="3671">
        <v>1305</v>
      </c>
      <c r="F39" s="1583">
        <f>SUM(D39:E39)</f>
        <v>2610</v>
      </c>
      <c r="G39" s="1569"/>
      <c r="H39" s="1591"/>
      <c r="I39" s="1616" t="s">
        <v>236</v>
      </c>
      <c r="J39" s="1617"/>
      <c r="K39" s="1619"/>
      <c r="L39" s="1630">
        <v>0</v>
      </c>
      <c r="M39" s="1576">
        <v>0</v>
      </c>
      <c r="N39" s="1576">
        <v>0</v>
      </c>
      <c r="O39" s="1592">
        <v>0</v>
      </c>
      <c r="P39" s="1628">
        <v>0</v>
      </c>
      <c r="Q39" s="1628">
        <v>0</v>
      </c>
      <c r="R39" s="1629">
        <v>0</v>
      </c>
      <c r="S39" s="1569"/>
      <c r="T39" s="1661">
        <v>0</v>
      </c>
    </row>
    <row r="40" spans="2:20" ht="13.8" x14ac:dyDescent="0.3">
      <c r="B40" s="1644"/>
      <c r="C40" s="3670" t="s">
        <v>1127</v>
      </c>
      <c r="D40" s="3674">
        <v>870</v>
      </c>
      <c r="E40" s="3674">
        <v>870</v>
      </c>
      <c r="F40" s="3699">
        <f>SUM(D40:E40)</f>
        <v>1740</v>
      </c>
      <c r="G40" s="1569"/>
      <c r="H40" s="1591"/>
      <c r="I40" s="1616" t="s">
        <v>237</v>
      </c>
      <c r="J40" s="1617"/>
      <c r="K40" s="1619"/>
      <c r="L40" s="1630">
        <v>0</v>
      </c>
      <c r="M40" s="1576">
        <v>0</v>
      </c>
      <c r="N40" s="1576">
        <v>0</v>
      </c>
      <c r="O40" s="1592">
        <v>0</v>
      </c>
      <c r="P40" s="1628">
        <v>0</v>
      </c>
      <c r="Q40" s="1628">
        <v>0</v>
      </c>
      <c r="R40" s="1629">
        <v>0</v>
      </c>
      <c r="S40" s="1569"/>
      <c r="T40" s="1661">
        <v>0</v>
      </c>
    </row>
    <row r="41" spans="2:20" ht="13.8" x14ac:dyDescent="0.3">
      <c r="B41" s="1644"/>
      <c r="C41" s="1575" t="s">
        <v>164</v>
      </c>
      <c r="D41" s="1584">
        <v>0</v>
      </c>
      <c r="E41" s="1584">
        <v>0</v>
      </c>
      <c r="F41" s="3699">
        <f t="shared" ref="F41:F42" si="6">SUM(D41:E41)</f>
        <v>0</v>
      </c>
      <c r="G41" s="1569"/>
      <c r="H41" s="1591"/>
      <c r="I41" s="1616" t="s">
        <v>238</v>
      </c>
      <c r="J41" s="1617"/>
      <c r="K41" s="1619"/>
      <c r="L41" s="1630">
        <v>0</v>
      </c>
      <c r="M41" s="1576">
        <v>0</v>
      </c>
      <c r="N41" s="1576">
        <v>0</v>
      </c>
      <c r="O41" s="1592">
        <v>0</v>
      </c>
      <c r="P41" s="1628">
        <v>0</v>
      </c>
      <c r="Q41" s="1628">
        <v>0</v>
      </c>
      <c r="R41" s="1629">
        <v>0</v>
      </c>
      <c r="S41" s="1569"/>
      <c r="T41" s="1661">
        <v>0</v>
      </c>
    </row>
    <row r="42" spans="2:20" ht="14.4" thickBot="1" x14ac:dyDescent="0.35">
      <c r="B42" s="1644"/>
      <c r="C42" s="1575" t="s">
        <v>165</v>
      </c>
      <c r="D42" s="1584">
        <v>0</v>
      </c>
      <c r="E42" s="1584"/>
      <c r="F42" s="3699">
        <f t="shared" si="6"/>
        <v>0</v>
      </c>
      <c r="G42" s="1569"/>
      <c r="H42" s="1591"/>
      <c r="I42" s="1616" t="s">
        <v>239</v>
      </c>
      <c r="J42" s="1617"/>
      <c r="K42" s="1619"/>
      <c r="L42" s="1630">
        <v>0</v>
      </c>
      <c r="M42" s="1576">
        <v>0</v>
      </c>
      <c r="N42" s="1576">
        <v>0</v>
      </c>
      <c r="O42" s="1592">
        <v>0</v>
      </c>
      <c r="P42" s="1628">
        <v>0</v>
      </c>
      <c r="Q42" s="1628">
        <v>0</v>
      </c>
      <c r="R42" s="1629">
        <v>0</v>
      </c>
      <c r="S42" s="1569"/>
      <c r="T42" s="1661">
        <v>0</v>
      </c>
    </row>
    <row r="43" spans="2:20" ht="14.4" thickBot="1" x14ac:dyDescent="0.35">
      <c r="B43" s="1642">
        <v>0</v>
      </c>
      <c r="C43" s="1601" t="s">
        <v>173</v>
      </c>
      <c r="D43" s="1602">
        <f>SUM(D44:D48)</f>
        <v>24795</v>
      </c>
      <c r="E43" s="3701">
        <f>SUM(E44:E48)</f>
        <v>24795</v>
      </c>
      <c r="F43" s="1603">
        <f>SUM(D43:E43)</f>
        <v>49590</v>
      </c>
      <c r="G43" s="1569"/>
      <c r="H43" s="1591"/>
      <c r="I43" s="1616" t="s">
        <v>240</v>
      </c>
      <c r="J43" s="1617"/>
      <c r="K43" s="1619"/>
      <c r="L43" s="1630">
        <v>0</v>
      </c>
      <c r="M43" s="1576">
        <v>0</v>
      </c>
      <c r="N43" s="1576">
        <v>0</v>
      </c>
      <c r="O43" s="1592">
        <v>0</v>
      </c>
      <c r="P43" s="1628">
        <v>0</v>
      </c>
      <c r="Q43" s="1628">
        <v>0</v>
      </c>
      <c r="R43" s="1629">
        <v>0</v>
      </c>
      <c r="S43" s="1569"/>
      <c r="T43" s="1661">
        <v>0</v>
      </c>
    </row>
    <row r="44" spans="2:20" ht="13.8" x14ac:dyDescent="0.3">
      <c r="B44" s="1644"/>
      <c r="C44" s="3697" t="s">
        <v>1091</v>
      </c>
      <c r="D44" s="4518">
        <v>870</v>
      </c>
      <c r="E44" s="4518">
        <v>870</v>
      </c>
      <c r="F44" s="1583">
        <f>SUM(D44:E44)</f>
        <v>1740</v>
      </c>
      <c r="G44" s="1569"/>
      <c r="H44" s="1591"/>
      <c r="I44" s="1616" t="s">
        <v>241</v>
      </c>
      <c r="J44" s="1617"/>
      <c r="K44" s="1619"/>
      <c r="L44" s="1630">
        <v>0</v>
      </c>
      <c r="M44" s="1576">
        <v>0</v>
      </c>
      <c r="N44" s="1576">
        <v>0</v>
      </c>
      <c r="O44" s="1592">
        <v>0</v>
      </c>
      <c r="P44" s="1628">
        <v>0</v>
      </c>
      <c r="Q44" s="1628">
        <v>0</v>
      </c>
      <c r="R44" s="1629">
        <v>0</v>
      </c>
      <c r="S44" s="1569"/>
      <c r="T44" s="1661">
        <v>0</v>
      </c>
    </row>
    <row r="45" spans="2:20" ht="13.8" x14ac:dyDescent="0.3">
      <c r="B45" s="1644"/>
      <c r="C45" s="3697" t="s">
        <v>1092</v>
      </c>
      <c r="D45" s="4518">
        <v>435</v>
      </c>
      <c r="E45" s="4518">
        <v>435</v>
      </c>
      <c r="F45" s="3699">
        <f t="shared" ref="F45:F48" si="7">SUM(D45:E45)</f>
        <v>870</v>
      </c>
      <c r="G45" s="1569"/>
      <c r="H45" s="1591"/>
      <c r="I45" s="1616" t="s">
        <v>242</v>
      </c>
      <c r="J45" s="1617"/>
      <c r="K45" s="1619"/>
      <c r="L45" s="1630">
        <v>0</v>
      </c>
      <c r="M45" s="1576">
        <v>0</v>
      </c>
      <c r="N45" s="1576">
        <v>0</v>
      </c>
      <c r="O45" s="1592">
        <v>0</v>
      </c>
      <c r="P45" s="1628">
        <v>0</v>
      </c>
      <c r="Q45" s="1628">
        <v>0</v>
      </c>
      <c r="R45" s="1629">
        <v>0</v>
      </c>
      <c r="S45" s="1569"/>
      <c r="T45" s="1661">
        <v>0</v>
      </c>
    </row>
    <row r="46" spans="2:20" ht="13.8" x14ac:dyDescent="0.3">
      <c r="B46" s="1644"/>
      <c r="C46" s="3697" t="s">
        <v>1093</v>
      </c>
      <c r="D46" s="4518">
        <v>1740</v>
      </c>
      <c r="E46" s="4518">
        <v>1740</v>
      </c>
      <c r="F46" s="3699">
        <f t="shared" si="7"/>
        <v>3480</v>
      </c>
      <c r="G46" s="1569"/>
      <c r="H46" s="1591"/>
      <c r="I46" s="1616" t="s">
        <v>243</v>
      </c>
      <c r="J46" s="1617"/>
      <c r="K46" s="1619"/>
      <c r="L46" s="1630">
        <v>0</v>
      </c>
      <c r="M46" s="1576">
        <v>0</v>
      </c>
      <c r="N46" s="1576">
        <v>0</v>
      </c>
      <c r="O46" s="1592">
        <v>0</v>
      </c>
      <c r="P46" s="1628">
        <v>0</v>
      </c>
      <c r="Q46" s="1628">
        <v>0</v>
      </c>
      <c r="R46" s="1629">
        <v>0</v>
      </c>
      <c r="S46" s="1569"/>
      <c r="T46" s="1661">
        <v>0</v>
      </c>
    </row>
    <row r="47" spans="2:20" ht="13.8" x14ac:dyDescent="0.3">
      <c r="B47" s="1644"/>
      <c r="C47" s="3697" t="s">
        <v>1094</v>
      </c>
      <c r="D47" s="4518">
        <v>18270</v>
      </c>
      <c r="E47" s="4518">
        <v>18270</v>
      </c>
      <c r="F47" s="3699">
        <f t="shared" si="7"/>
        <v>36540</v>
      </c>
      <c r="G47" s="1569"/>
      <c r="H47" s="1591"/>
      <c r="I47" s="1616" t="s">
        <v>244</v>
      </c>
      <c r="J47" s="1617"/>
      <c r="K47" s="1619"/>
      <c r="L47" s="1630">
        <v>0</v>
      </c>
      <c r="M47" s="1576">
        <v>0</v>
      </c>
      <c r="N47" s="1576">
        <v>0</v>
      </c>
      <c r="O47" s="1592">
        <v>0</v>
      </c>
      <c r="P47" s="1628">
        <v>0</v>
      </c>
      <c r="Q47" s="1628">
        <v>0</v>
      </c>
      <c r="R47" s="1629">
        <v>0</v>
      </c>
      <c r="S47" s="1569"/>
      <c r="T47" s="1661">
        <v>0</v>
      </c>
    </row>
    <row r="48" spans="2:20" ht="14.4" thickBot="1" x14ac:dyDescent="0.35">
      <c r="B48" s="3600"/>
      <c r="C48" s="3697" t="s">
        <v>1095</v>
      </c>
      <c r="D48" s="4518">
        <v>3480</v>
      </c>
      <c r="E48" s="3691">
        <v>3480</v>
      </c>
      <c r="F48" s="3699">
        <f t="shared" si="7"/>
        <v>6960</v>
      </c>
      <c r="G48" s="1569"/>
      <c r="H48" s="1591"/>
      <c r="I48" s="1616" t="s">
        <v>245</v>
      </c>
      <c r="J48" s="1617"/>
      <c r="K48" s="1619"/>
      <c r="L48" s="1630">
        <v>0</v>
      </c>
      <c r="M48" s="1576">
        <v>0</v>
      </c>
      <c r="N48" s="1576">
        <v>0</v>
      </c>
      <c r="O48" s="1592">
        <v>0</v>
      </c>
      <c r="P48" s="1628">
        <v>0</v>
      </c>
      <c r="Q48" s="1628">
        <v>0</v>
      </c>
      <c r="R48" s="1629">
        <v>0</v>
      </c>
      <c r="S48" s="1569"/>
      <c r="T48" s="1661">
        <v>0</v>
      </c>
    </row>
    <row r="49" spans="2:24" ht="14.4" thickBot="1" x14ac:dyDescent="0.35">
      <c r="B49" s="1642">
        <v>0</v>
      </c>
      <c r="C49" s="1601" t="s">
        <v>174</v>
      </c>
      <c r="D49" s="1602">
        <f>SUM(D50:D53)</f>
        <v>0</v>
      </c>
      <c r="E49" s="3701">
        <f>SUM(E50:E53)</f>
        <v>0</v>
      </c>
      <c r="F49" s="1603">
        <f>SUM(D49:E49)</f>
        <v>0</v>
      </c>
      <c r="G49" s="1569"/>
      <c r="H49" s="1591"/>
      <c r="I49" s="1616" t="s">
        <v>246</v>
      </c>
      <c r="J49" s="1617"/>
      <c r="K49" s="1619"/>
      <c r="L49" s="1630">
        <v>0</v>
      </c>
      <c r="M49" s="1576">
        <v>0</v>
      </c>
      <c r="N49" s="1576">
        <v>0</v>
      </c>
      <c r="O49" s="1592">
        <v>0</v>
      </c>
      <c r="P49" s="1628">
        <v>0</v>
      </c>
      <c r="Q49" s="1628">
        <v>0</v>
      </c>
      <c r="R49" s="1629">
        <v>0</v>
      </c>
      <c r="S49" s="1569"/>
      <c r="T49" s="1661">
        <v>0</v>
      </c>
    </row>
    <row r="50" spans="2:24" ht="13.8" x14ac:dyDescent="0.3">
      <c r="B50" s="1644"/>
      <c r="C50" s="1575" t="s">
        <v>162</v>
      </c>
      <c r="D50" s="1584">
        <v>0</v>
      </c>
      <c r="E50" s="1584"/>
      <c r="F50" s="1583">
        <f>SUM(D50:E50)</f>
        <v>0</v>
      </c>
      <c r="G50" s="1569"/>
      <c r="H50" s="1569"/>
      <c r="I50" s="1616" t="s">
        <v>247</v>
      </c>
      <c r="J50" s="1617"/>
      <c r="K50" s="1618"/>
      <c r="L50" s="1630">
        <v>0</v>
      </c>
      <c r="M50" s="1576">
        <v>0</v>
      </c>
      <c r="N50" s="1576">
        <v>0</v>
      </c>
      <c r="O50" s="1592">
        <v>0</v>
      </c>
      <c r="P50" s="1628">
        <v>0</v>
      </c>
      <c r="Q50" s="1628">
        <v>0</v>
      </c>
      <c r="R50" s="1629">
        <v>0</v>
      </c>
      <c r="S50" s="1569"/>
      <c r="T50" s="1661">
        <v>0</v>
      </c>
      <c r="U50" s="1569"/>
      <c r="V50" s="1569"/>
      <c r="W50" s="1569"/>
      <c r="X50" s="1569"/>
    </row>
    <row r="51" spans="2:24" ht="13.8" x14ac:dyDescent="0.3">
      <c r="B51" s="1644"/>
      <c r="C51" s="1575" t="s">
        <v>163</v>
      </c>
      <c r="D51" s="1584">
        <v>0</v>
      </c>
      <c r="E51" s="1584"/>
      <c r="F51" s="3699">
        <f t="shared" ref="F51:F53" si="8">SUM(D51:E51)</f>
        <v>0</v>
      </c>
      <c r="G51" s="1569"/>
      <c r="H51" s="1569"/>
      <c r="I51" s="1616" t="s">
        <v>248</v>
      </c>
      <c r="J51" s="1617"/>
      <c r="K51" s="1618"/>
      <c r="L51" s="1630">
        <v>0</v>
      </c>
      <c r="M51" s="1576">
        <v>0</v>
      </c>
      <c r="N51" s="1576">
        <v>0</v>
      </c>
      <c r="O51" s="1592">
        <v>0</v>
      </c>
      <c r="P51" s="1628">
        <v>0</v>
      </c>
      <c r="Q51" s="1628">
        <v>0</v>
      </c>
      <c r="R51" s="1629">
        <v>0</v>
      </c>
      <c r="S51" s="1569"/>
      <c r="T51" s="1661">
        <v>0</v>
      </c>
      <c r="U51" s="1569"/>
      <c r="V51" s="1569"/>
      <c r="W51" s="1569"/>
      <c r="X51" s="1569"/>
    </row>
    <row r="52" spans="2:24" ht="13.8" x14ac:dyDescent="0.3">
      <c r="B52" s="1644"/>
      <c r="C52" s="1575" t="s">
        <v>164</v>
      </c>
      <c r="D52" s="1584">
        <v>0</v>
      </c>
      <c r="E52" s="1584"/>
      <c r="F52" s="3699">
        <f t="shared" si="8"/>
        <v>0</v>
      </c>
      <c r="G52" s="1569"/>
      <c r="H52" s="1569"/>
      <c r="I52" s="1616" t="s">
        <v>249</v>
      </c>
      <c r="J52" s="1617"/>
      <c r="K52" s="1618"/>
      <c r="L52" s="1630">
        <v>0</v>
      </c>
      <c r="M52" s="1576">
        <v>0</v>
      </c>
      <c r="N52" s="1576">
        <v>0</v>
      </c>
      <c r="O52" s="1592">
        <v>0</v>
      </c>
      <c r="P52" s="1628">
        <v>0</v>
      </c>
      <c r="Q52" s="1628">
        <v>0</v>
      </c>
      <c r="R52" s="1629">
        <v>0</v>
      </c>
      <c r="S52" s="1569"/>
      <c r="T52" s="1661">
        <v>0</v>
      </c>
      <c r="U52" s="1569"/>
      <c r="V52" s="1569"/>
      <c r="W52" s="1569"/>
      <c r="X52" s="1569"/>
    </row>
    <row r="53" spans="2:24" ht="14.4" thickBot="1" x14ac:dyDescent="0.35">
      <c r="B53" s="1644"/>
      <c r="C53" s="1575" t="s">
        <v>165</v>
      </c>
      <c r="D53" s="1584">
        <v>0</v>
      </c>
      <c r="E53" s="1584"/>
      <c r="F53" s="3699">
        <f t="shared" si="8"/>
        <v>0</v>
      </c>
      <c r="G53" s="1604" t="s">
        <v>176</v>
      </c>
      <c r="H53" s="1569"/>
      <c r="I53" s="1616" t="s">
        <v>250</v>
      </c>
      <c r="J53" s="1617"/>
      <c r="K53" s="1618"/>
      <c r="L53" s="1630">
        <v>0</v>
      </c>
      <c r="M53" s="1576">
        <v>0</v>
      </c>
      <c r="N53" s="1576">
        <v>0</v>
      </c>
      <c r="O53" s="1592">
        <v>0</v>
      </c>
      <c r="P53" s="1628">
        <v>0</v>
      </c>
      <c r="Q53" s="1628">
        <v>0</v>
      </c>
      <c r="R53" s="1629">
        <v>0</v>
      </c>
      <c r="S53" s="1569"/>
      <c r="T53" s="1661">
        <v>0</v>
      </c>
      <c r="U53" s="1569"/>
      <c r="V53" s="1569"/>
      <c r="W53" s="1569"/>
      <c r="X53" s="1569"/>
    </row>
    <row r="54" spans="2:24" ht="14.4" thickBot="1" x14ac:dyDescent="0.35">
      <c r="B54" s="1642">
        <v>0</v>
      </c>
      <c r="C54" s="1601" t="s">
        <v>175</v>
      </c>
      <c r="D54" s="1602">
        <v>0</v>
      </c>
      <c r="E54" s="1602">
        <v>0</v>
      </c>
      <c r="F54" s="1603">
        <f>SUM(D54:E54)</f>
        <v>0</v>
      </c>
      <c r="G54" s="1569"/>
      <c r="H54" s="1569"/>
      <c r="I54" s="1616" t="s">
        <v>251</v>
      </c>
      <c r="J54" s="1617"/>
      <c r="K54" s="1618"/>
      <c r="L54" s="1630">
        <v>0</v>
      </c>
      <c r="M54" s="1576">
        <v>0</v>
      </c>
      <c r="N54" s="1576">
        <v>0</v>
      </c>
      <c r="O54" s="1592">
        <v>0</v>
      </c>
      <c r="P54" s="1628">
        <v>0</v>
      </c>
      <c r="Q54" s="1628">
        <v>0</v>
      </c>
      <c r="R54" s="1629">
        <v>0</v>
      </c>
      <c r="S54" s="1569"/>
      <c r="T54" s="1661">
        <v>0</v>
      </c>
      <c r="U54" s="1569"/>
      <c r="V54" s="1569"/>
      <c r="W54" s="1569"/>
      <c r="X54" s="1569"/>
    </row>
    <row r="55" spans="2:24" ht="14.4" thickBot="1" x14ac:dyDescent="0.35">
      <c r="B55" s="1642">
        <v>0</v>
      </c>
      <c r="C55" s="1601" t="s">
        <v>177</v>
      </c>
      <c r="D55" s="1602">
        <v>0</v>
      </c>
      <c r="E55" s="1602">
        <v>0</v>
      </c>
      <c r="F55" s="1603">
        <f>SUM(D55:E55)</f>
        <v>0</v>
      </c>
      <c r="G55" s="1569"/>
      <c r="H55" s="1569"/>
      <c r="I55" s="1569"/>
      <c r="J55" s="1569"/>
      <c r="K55" s="1569"/>
      <c r="L55" s="1569"/>
      <c r="M55" s="1569"/>
      <c r="N55" s="1569"/>
      <c r="O55" s="1569"/>
      <c r="P55" s="1650">
        <v>0</v>
      </c>
      <c r="Q55" s="1650">
        <v>0</v>
      </c>
      <c r="R55" s="1650">
        <v>0</v>
      </c>
      <c r="S55" s="1569"/>
      <c r="T55" s="1650">
        <v>0</v>
      </c>
      <c r="U55" s="1569"/>
      <c r="V55" s="1569"/>
      <c r="W55" s="1569"/>
      <c r="X55" s="1569"/>
    </row>
    <row r="56" spans="2:24" ht="13.8" x14ac:dyDescent="0.3">
      <c r="B56" s="1586">
        <v>9600</v>
      </c>
      <c r="C56" s="1570" t="s">
        <v>178</v>
      </c>
      <c r="D56" s="1586">
        <f>D13+D18+D23+D28+D33+D38+D43+D49+D54+D55</f>
        <v>54250</v>
      </c>
      <c r="E56" s="3700">
        <f>E13+E18+E23+E28+E33+E38+E43+E49+E54+E55</f>
        <v>54250</v>
      </c>
      <c r="F56" s="3700">
        <f>F13+F18+F23+F28+F33+F38+F43+F49+F54+F55</f>
        <v>108500</v>
      </c>
      <c r="G56" s="1569"/>
      <c r="H56" s="1569"/>
      <c r="I56" s="1569"/>
      <c r="J56" s="1569"/>
      <c r="K56" s="1569"/>
      <c r="L56" s="1569"/>
      <c r="M56" s="1569"/>
      <c r="N56" s="1569"/>
      <c r="O56" s="1569"/>
      <c r="P56" s="1569"/>
      <c r="Q56" s="1569"/>
      <c r="R56" s="1569"/>
      <c r="S56" s="1569"/>
      <c r="T56" s="1569"/>
      <c r="U56" s="1569"/>
      <c r="V56" s="1569"/>
      <c r="W56" s="1569"/>
      <c r="X56" s="1569"/>
    </row>
    <row r="57" spans="2:24" ht="13.8" x14ac:dyDescent="0.3">
      <c r="B57" s="1569"/>
      <c r="C57" s="1570"/>
      <c r="D57" s="1586"/>
      <c r="E57" s="1586"/>
      <c r="F57" s="1586"/>
      <c r="G57" s="1569"/>
      <c r="H57" s="1569"/>
      <c r="I57" s="1569"/>
      <c r="J57" s="1569"/>
      <c r="K57" s="1569"/>
      <c r="L57" s="1569"/>
      <c r="M57" s="1569"/>
      <c r="N57" s="1569"/>
      <c r="O57" s="1569"/>
      <c r="P57" s="1569"/>
      <c r="Q57" s="1569"/>
      <c r="R57" s="1569"/>
      <c r="S57" s="1569"/>
      <c r="T57" s="1569"/>
      <c r="U57" s="1569"/>
      <c r="V57" s="1569"/>
      <c r="W57" s="1569"/>
      <c r="X57" s="1569"/>
    </row>
    <row r="58" spans="2:24" ht="13.8" x14ac:dyDescent="0.3">
      <c r="B58" s="1569"/>
      <c r="C58" s="1570" t="s">
        <v>179</v>
      </c>
      <c r="D58" s="1586">
        <v>25135</v>
      </c>
      <c r="E58" s="1586">
        <v>25135</v>
      </c>
      <c r="F58" s="1586">
        <v>50270</v>
      </c>
      <c r="G58" s="1664">
        <v>0</v>
      </c>
      <c r="H58" s="1665" t="s">
        <v>181</v>
      </c>
      <c r="I58" s="1569"/>
      <c r="J58" s="1569"/>
      <c r="K58" s="1569"/>
      <c r="L58" s="1569"/>
      <c r="M58" s="1569"/>
      <c r="N58" s="1569"/>
      <c r="O58" s="1569"/>
      <c r="P58" s="1569"/>
      <c r="Q58" s="1569"/>
      <c r="R58" s="1569"/>
      <c r="S58" s="1569"/>
      <c r="T58" s="1569"/>
      <c r="U58" s="1569"/>
      <c r="V58" s="1569"/>
      <c r="W58" s="1569"/>
      <c r="X58" s="1569"/>
    </row>
    <row r="59" spans="2:24" ht="13.8" x14ac:dyDescent="0.3">
      <c r="B59" s="1569"/>
      <c r="C59" s="1570" t="s">
        <v>180</v>
      </c>
      <c r="D59" s="1571">
        <v>0</v>
      </c>
      <c r="E59" s="1571">
        <v>0</v>
      </c>
      <c r="F59" s="1571">
        <v>0</v>
      </c>
      <c r="G59" s="1569"/>
      <c r="H59" s="1569"/>
      <c r="I59" s="1569"/>
      <c r="J59" s="1569"/>
      <c r="K59" s="1569"/>
      <c r="L59" s="1569"/>
      <c r="M59" s="1569"/>
      <c r="N59" s="1569"/>
      <c r="O59" s="1569"/>
      <c r="P59" s="1569"/>
      <c r="Q59" s="1569"/>
      <c r="R59" s="1569"/>
      <c r="S59" s="1569"/>
      <c r="T59" s="1569"/>
      <c r="U59" s="1569"/>
      <c r="V59" s="1569"/>
      <c r="W59" s="1569"/>
      <c r="X59" s="1569"/>
    </row>
    <row r="60" spans="2:24" ht="14.4" thickBot="1" x14ac:dyDescent="0.35">
      <c r="B60" s="1569"/>
      <c r="C60" s="1569"/>
      <c r="D60" s="1569"/>
      <c r="E60" s="1569"/>
      <c r="F60" s="1569"/>
      <c r="G60" s="3662"/>
      <c r="H60" s="3662"/>
      <c r="I60" s="3690"/>
      <c r="J60" s="3690"/>
      <c r="K60" s="3690"/>
      <c r="L60" s="1569"/>
      <c r="M60" s="1569"/>
      <c r="N60" s="1569"/>
      <c r="O60" s="1569"/>
      <c r="P60" s="1569"/>
      <c r="Q60" s="1569"/>
      <c r="R60" s="1569"/>
      <c r="S60" s="1569"/>
      <c r="T60" s="1569"/>
      <c r="U60" s="1569"/>
      <c r="V60" s="1569"/>
      <c r="W60" s="1569"/>
      <c r="X60" s="1569"/>
    </row>
    <row r="61" spans="2:24" ht="16.2" thickBot="1" x14ac:dyDescent="0.35">
      <c r="B61" s="1614" t="s">
        <v>182</v>
      </c>
      <c r="C61" s="1615"/>
      <c r="D61" s="3721" t="s">
        <v>183</v>
      </c>
      <c r="E61" s="3717"/>
      <c r="F61" s="3717"/>
      <c r="G61" s="3717"/>
      <c r="H61" s="3717"/>
      <c r="I61" s="3687"/>
      <c r="J61" s="3687"/>
      <c r="K61" s="3663"/>
      <c r="L61" s="3687"/>
      <c r="M61" s="3687"/>
      <c r="N61" s="3687"/>
      <c r="O61" s="3687"/>
      <c r="P61" s="3687"/>
      <c r="Q61" s="3687"/>
      <c r="R61" s="3687"/>
      <c r="S61" s="3687"/>
      <c r="T61" s="3687"/>
      <c r="U61" s="3687"/>
      <c r="V61" s="3687"/>
      <c r="W61" s="3687"/>
      <c r="X61" s="3687"/>
    </row>
    <row r="62" spans="2:24" ht="16.2" thickBot="1" x14ac:dyDescent="0.35">
      <c r="B62" s="3718" t="s">
        <v>184</v>
      </c>
      <c r="C62" s="3719"/>
      <c r="D62" s="3719"/>
      <c r="E62" s="3719"/>
      <c r="F62" s="3719"/>
      <c r="G62" s="3719"/>
      <c r="H62" s="3719"/>
      <c r="I62" s="3719"/>
      <c r="J62" s="3719"/>
      <c r="K62" s="3720"/>
      <c r="L62" s="4785" t="s">
        <v>185</v>
      </c>
      <c r="M62" s="4786"/>
      <c r="N62" s="4786"/>
      <c r="O62" s="4786"/>
      <c r="P62" s="4786"/>
      <c r="Q62" s="4786"/>
      <c r="R62" s="4787"/>
      <c r="S62" s="4785" t="s">
        <v>186</v>
      </c>
      <c r="T62" s="4786"/>
      <c r="U62" s="4787"/>
      <c r="V62" s="4785" t="s">
        <v>132</v>
      </c>
      <c r="W62" s="4786"/>
      <c r="X62" s="4787"/>
    </row>
    <row r="63" spans="2:24" ht="14.4" thickBot="1" x14ac:dyDescent="0.35">
      <c r="B63" s="1577" t="s">
        <v>187</v>
      </c>
      <c r="C63" s="1578" t="s">
        <v>152</v>
      </c>
      <c r="D63" s="1578" t="s">
        <v>153</v>
      </c>
      <c r="E63" s="1578" t="s">
        <v>188</v>
      </c>
      <c r="F63" s="1578" t="s">
        <v>189</v>
      </c>
      <c r="G63" s="1578" t="s">
        <v>190</v>
      </c>
      <c r="H63" s="1578" t="s">
        <v>191</v>
      </c>
      <c r="I63" s="1578" t="s">
        <v>192</v>
      </c>
      <c r="J63" s="1578" t="s">
        <v>193</v>
      </c>
      <c r="K63" s="1579" t="s">
        <v>194</v>
      </c>
      <c r="L63" s="1651" t="s">
        <v>195</v>
      </c>
      <c r="M63" s="1605" t="s">
        <v>196</v>
      </c>
      <c r="N63" s="1605" t="s">
        <v>197</v>
      </c>
      <c r="O63" s="1605" t="s">
        <v>198</v>
      </c>
      <c r="P63" s="1612" t="s">
        <v>199</v>
      </c>
      <c r="Q63" s="1612" t="s">
        <v>200</v>
      </c>
      <c r="R63" s="1612" t="s">
        <v>201</v>
      </c>
      <c r="S63" s="1589" t="s">
        <v>202</v>
      </c>
      <c r="T63" s="1589" t="s">
        <v>203</v>
      </c>
      <c r="U63" s="1590" t="s">
        <v>204</v>
      </c>
      <c r="V63" s="1589" t="s">
        <v>137</v>
      </c>
      <c r="W63" s="1589" t="s">
        <v>12</v>
      </c>
      <c r="X63" s="1590" t="s">
        <v>138</v>
      </c>
    </row>
    <row r="64" spans="2:24" ht="13.8" x14ac:dyDescent="0.3">
      <c r="B64" s="1576"/>
      <c r="C64" s="1573" t="s">
        <v>409</v>
      </c>
      <c r="D64" s="1576"/>
      <c r="E64" s="1576" t="s">
        <v>206</v>
      </c>
      <c r="F64" s="1576" t="s">
        <v>211</v>
      </c>
      <c r="G64" s="1582"/>
      <c r="H64" s="1663"/>
      <c r="I64" s="1593">
        <v>0</v>
      </c>
      <c r="J64" s="1576"/>
      <c r="K64" s="1576"/>
      <c r="L64" s="1606" t="e">
        <v>#N/A</v>
      </c>
      <c r="M64" s="1606" t="e">
        <v>#N/A</v>
      </c>
      <c r="N64" s="1598" t="e">
        <v>#DIV/0!</v>
      </c>
      <c r="O64" s="1598" t="e">
        <v>#DIV/0!</v>
      </c>
      <c r="P64" s="1598" t="e">
        <v>#N/A</v>
      </c>
      <c r="Q64" s="1598" t="e">
        <v>#N/A</v>
      </c>
      <c r="R64" s="1598" t="e">
        <v>#N/A</v>
      </c>
      <c r="S64" s="1595">
        <v>0</v>
      </c>
      <c r="T64" s="1595">
        <v>0</v>
      </c>
      <c r="U64" s="1595">
        <v>0</v>
      </c>
      <c r="V64" s="1666" t="e">
        <v>#DIV/0!</v>
      </c>
      <c r="W64" s="1666" t="e">
        <v>#DIV/0!</v>
      </c>
      <c r="X64" s="1666" t="e">
        <v>#DIV/0!</v>
      </c>
    </row>
    <row r="65" spans="2:24" ht="13.8" x14ac:dyDescent="0.3">
      <c r="B65" s="1573"/>
      <c r="C65" s="1573" t="s">
        <v>410</v>
      </c>
      <c r="D65" s="1573"/>
      <c r="E65" s="1573" t="s">
        <v>206</v>
      </c>
      <c r="F65" s="1576" t="s">
        <v>211</v>
      </c>
      <c r="G65" s="1582"/>
      <c r="H65" s="1663"/>
      <c r="I65" s="1593">
        <v>0</v>
      </c>
      <c r="J65" s="1576"/>
      <c r="K65" s="1576"/>
      <c r="L65" s="1606" t="e">
        <v>#N/A</v>
      </c>
      <c r="M65" s="1606" t="e">
        <v>#N/A</v>
      </c>
      <c r="N65" s="1598" t="e">
        <v>#DIV/0!</v>
      </c>
      <c r="O65" s="1598" t="e">
        <v>#DIV/0!</v>
      </c>
      <c r="P65" s="1598" t="e">
        <v>#N/A</v>
      </c>
      <c r="Q65" s="1598" t="e">
        <v>#N/A</v>
      </c>
      <c r="R65" s="1598" t="e">
        <v>#N/A</v>
      </c>
      <c r="S65" s="1595">
        <v>0</v>
      </c>
      <c r="T65" s="1595">
        <v>0</v>
      </c>
      <c r="U65" s="1595">
        <v>0</v>
      </c>
      <c r="V65" s="1666" t="e">
        <v>#DIV/0!</v>
      </c>
      <c r="W65" s="1666" t="e">
        <v>#DIV/0!</v>
      </c>
      <c r="X65" s="1666" t="e">
        <v>#DIV/0!</v>
      </c>
    </row>
    <row r="66" spans="2:24" ht="13.8" x14ac:dyDescent="0.3">
      <c r="B66" s="1573"/>
      <c r="C66" s="1573" t="s">
        <v>411</v>
      </c>
      <c r="D66" s="1573">
        <v>0</v>
      </c>
      <c r="E66" s="1573" t="s">
        <v>206</v>
      </c>
      <c r="F66" s="1573" t="s">
        <v>211</v>
      </c>
      <c r="G66" s="1582"/>
      <c r="H66" s="1582"/>
      <c r="I66" s="1593">
        <v>0</v>
      </c>
      <c r="J66" s="1576"/>
      <c r="K66" s="1576"/>
      <c r="L66" s="1606" t="e">
        <v>#N/A</v>
      </c>
      <c r="M66" s="1606" t="e">
        <v>#N/A</v>
      </c>
      <c r="N66" s="1598" t="e">
        <v>#DIV/0!</v>
      </c>
      <c r="O66" s="1598" t="e">
        <v>#DIV/0!</v>
      </c>
      <c r="P66" s="1598" t="e">
        <v>#N/A</v>
      </c>
      <c r="Q66" s="1598" t="e">
        <v>#N/A</v>
      </c>
      <c r="R66" s="1598" t="e">
        <v>#N/A</v>
      </c>
      <c r="S66" s="1595">
        <v>0</v>
      </c>
      <c r="T66" s="1595">
        <v>0</v>
      </c>
      <c r="U66" s="1595">
        <v>0</v>
      </c>
      <c r="V66" s="1666" t="e">
        <v>#DIV/0!</v>
      </c>
      <c r="W66" s="1666" t="e">
        <v>#DIV/0!</v>
      </c>
      <c r="X66" s="1666" t="e">
        <v>#DIV/0!</v>
      </c>
    </row>
    <row r="67" spans="2:24" ht="13.8" x14ac:dyDescent="0.3">
      <c r="B67" s="1573"/>
      <c r="C67" s="1573" t="s">
        <v>213</v>
      </c>
      <c r="D67" s="1573">
        <v>0</v>
      </c>
      <c r="E67" s="1573" t="s">
        <v>206</v>
      </c>
      <c r="F67" s="1573" t="s">
        <v>211</v>
      </c>
      <c r="G67" s="1582"/>
      <c r="H67" s="1582"/>
      <c r="I67" s="1593">
        <v>0</v>
      </c>
      <c r="J67" s="1576"/>
      <c r="K67" s="1576"/>
      <c r="L67" s="1606" t="e">
        <v>#N/A</v>
      </c>
      <c r="M67" s="1606" t="e">
        <v>#N/A</v>
      </c>
      <c r="N67" s="1598" t="e">
        <v>#DIV/0!</v>
      </c>
      <c r="O67" s="1598" t="e">
        <v>#DIV/0!</v>
      </c>
      <c r="P67" s="1598" t="e">
        <v>#N/A</v>
      </c>
      <c r="Q67" s="1598" t="e">
        <v>#N/A</v>
      </c>
      <c r="R67" s="1598" t="e">
        <v>#N/A</v>
      </c>
      <c r="S67" s="1595">
        <v>0</v>
      </c>
      <c r="T67" s="1595">
        <v>0</v>
      </c>
      <c r="U67" s="1595">
        <v>0</v>
      </c>
      <c r="V67" s="1666" t="e">
        <v>#DIV/0!</v>
      </c>
      <c r="W67" s="1666" t="e">
        <v>#DIV/0!</v>
      </c>
      <c r="X67" s="1666" t="e">
        <v>#DIV/0!</v>
      </c>
    </row>
    <row r="68" spans="2:24" ht="13.8" x14ac:dyDescent="0.3">
      <c r="B68" s="1573"/>
      <c r="C68" s="1573" t="s">
        <v>214</v>
      </c>
      <c r="D68" s="1573">
        <v>0</v>
      </c>
      <c r="E68" s="1573" t="s">
        <v>206</v>
      </c>
      <c r="F68" s="1573" t="s">
        <v>211</v>
      </c>
      <c r="G68" s="1582"/>
      <c r="H68" s="1582"/>
      <c r="I68" s="1593">
        <v>0</v>
      </c>
      <c r="J68" s="1576"/>
      <c r="K68" s="1576"/>
      <c r="L68" s="1606" t="e">
        <v>#N/A</v>
      </c>
      <c r="M68" s="1606" t="e">
        <v>#N/A</v>
      </c>
      <c r="N68" s="1598" t="e">
        <v>#DIV/0!</v>
      </c>
      <c r="O68" s="1598" t="e">
        <v>#DIV/0!</v>
      </c>
      <c r="P68" s="1598" t="e">
        <v>#N/A</v>
      </c>
      <c r="Q68" s="1646" t="e">
        <v>#N/A</v>
      </c>
      <c r="R68" s="1598" t="e">
        <v>#N/A</v>
      </c>
      <c r="S68" s="1595">
        <v>0</v>
      </c>
      <c r="T68" s="1595">
        <v>0</v>
      </c>
      <c r="U68" s="1595">
        <v>0</v>
      </c>
      <c r="V68" s="1666" t="e">
        <v>#DIV/0!</v>
      </c>
      <c r="W68" s="1666" t="e">
        <v>#DIV/0!</v>
      </c>
      <c r="X68" s="1666" t="e">
        <v>#DIV/0!</v>
      </c>
    </row>
    <row r="69" spans="2:24" ht="13.8" x14ac:dyDescent="0.3">
      <c r="B69" s="1573"/>
      <c r="C69" s="1573" t="s">
        <v>215</v>
      </c>
      <c r="D69" s="1573">
        <v>0</v>
      </c>
      <c r="E69" s="1573" t="s">
        <v>206</v>
      </c>
      <c r="F69" s="1573" t="s">
        <v>211</v>
      </c>
      <c r="G69" s="1582"/>
      <c r="H69" s="1582"/>
      <c r="I69" s="1593">
        <v>0</v>
      </c>
      <c r="J69" s="1576"/>
      <c r="K69" s="1576"/>
      <c r="L69" s="1606" t="e">
        <v>#N/A</v>
      </c>
      <c r="M69" s="1606" t="e">
        <v>#N/A</v>
      </c>
      <c r="N69" s="1598" t="e">
        <v>#DIV/0!</v>
      </c>
      <c r="O69" s="1598" t="e">
        <v>#DIV/0!</v>
      </c>
      <c r="P69" s="1598" t="e">
        <v>#N/A</v>
      </c>
      <c r="Q69" s="1646" t="e">
        <v>#N/A</v>
      </c>
      <c r="R69" s="1598" t="e">
        <v>#N/A</v>
      </c>
      <c r="S69" s="1595">
        <v>0</v>
      </c>
      <c r="T69" s="1595">
        <v>0</v>
      </c>
      <c r="U69" s="1595">
        <v>0</v>
      </c>
      <c r="V69" s="1666" t="e">
        <v>#DIV/0!</v>
      </c>
      <c r="W69" s="1666" t="e">
        <v>#DIV/0!</v>
      </c>
      <c r="X69" s="1666" t="e">
        <v>#DIV/0!</v>
      </c>
    </row>
    <row r="70" spans="2:24" ht="13.8" x14ac:dyDescent="0.3">
      <c r="B70" s="1573"/>
      <c r="C70" s="1573" t="s">
        <v>216</v>
      </c>
      <c r="D70" s="1573">
        <v>0</v>
      </c>
      <c r="E70" s="1573" t="s">
        <v>206</v>
      </c>
      <c r="F70" s="1573" t="s">
        <v>211</v>
      </c>
      <c r="G70" s="1582"/>
      <c r="H70" s="1582"/>
      <c r="I70" s="1593">
        <v>0</v>
      </c>
      <c r="J70" s="1576"/>
      <c r="K70" s="1576"/>
      <c r="L70" s="1606" t="e">
        <v>#N/A</v>
      </c>
      <c r="M70" s="1606" t="e">
        <v>#N/A</v>
      </c>
      <c r="N70" s="1598" t="e">
        <v>#DIV/0!</v>
      </c>
      <c r="O70" s="1598" t="e">
        <v>#DIV/0!</v>
      </c>
      <c r="P70" s="1598" t="e">
        <v>#N/A</v>
      </c>
      <c r="Q70" s="1646" t="e">
        <v>#N/A</v>
      </c>
      <c r="R70" s="1598" t="e">
        <v>#N/A</v>
      </c>
      <c r="S70" s="1595">
        <v>0</v>
      </c>
      <c r="T70" s="1595">
        <v>0</v>
      </c>
      <c r="U70" s="1595">
        <v>0</v>
      </c>
      <c r="V70" s="1666" t="e">
        <v>#DIV/0!</v>
      </c>
      <c r="W70" s="1666" t="e">
        <v>#DIV/0!</v>
      </c>
      <c r="X70" s="1666" t="e">
        <v>#DIV/0!</v>
      </c>
    </row>
    <row r="71" spans="2:24" ht="13.8" x14ac:dyDescent="0.3">
      <c r="B71" s="1573"/>
      <c r="C71" s="1573" t="s">
        <v>217</v>
      </c>
      <c r="D71" s="1573">
        <v>0</v>
      </c>
      <c r="E71" s="1573" t="s">
        <v>206</v>
      </c>
      <c r="F71" s="1573" t="s">
        <v>211</v>
      </c>
      <c r="G71" s="1582"/>
      <c r="H71" s="1582"/>
      <c r="I71" s="1593">
        <v>0</v>
      </c>
      <c r="J71" s="1576"/>
      <c r="K71" s="1576"/>
      <c r="L71" s="1606" t="e">
        <v>#N/A</v>
      </c>
      <c r="M71" s="1606" t="e">
        <v>#N/A</v>
      </c>
      <c r="N71" s="1598" t="e">
        <v>#DIV/0!</v>
      </c>
      <c r="O71" s="1598" t="e">
        <v>#DIV/0!</v>
      </c>
      <c r="P71" s="1598" t="e">
        <v>#N/A</v>
      </c>
      <c r="Q71" s="1646" t="e">
        <v>#N/A</v>
      </c>
      <c r="R71" s="1598" t="e">
        <v>#N/A</v>
      </c>
      <c r="S71" s="1595">
        <v>0</v>
      </c>
      <c r="T71" s="1595">
        <v>0</v>
      </c>
      <c r="U71" s="1595">
        <v>0</v>
      </c>
      <c r="V71" s="1666" t="e">
        <v>#DIV/0!</v>
      </c>
      <c r="W71" s="1666" t="e">
        <v>#DIV/0!</v>
      </c>
      <c r="X71" s="1666" t="e">
        <v>#DIV/0!</v>
      </c>
    </row>
    <row r="72" spans="2:24" ht="13.8" x14ac:dyDescent="0.3">
      <c r="B72" s="1573"/>
      <c r="C72" s="1573" t="s">
        <v>218</v>
      </c>
      <c r="D72" s="1573">
        <v>0</v>
      </c>
      <c r="E72" s="1573" t="s">
        <v>206</v>
      </c>
      <c r="F72" s="1573" t="s">
        <v>211</v>
      </c>
      <c r="G72" s="1582"/>
      <c r="H72" s="1582"/>
      <c r="I72" s="1593">
        <v>0</v>
      </c>
      <c r="J72" s="1576"/>
      <c r="K72" s="1576"/>
      <c r="L72" s="1606" t="e">
        <v>#N/A</v>
      </c>
      <c r="M72" s="1606" t="e">
        <v>#N/A</v>
      </c>
      <c r="N72" s="1598" t="e">
        <v>#DIV/0!</v>
      </c>
      <c r="O72" s="1598" t="e">
        <v>#DIV/0!</v>
      </c>
      <c r="P72" s="1598" t="e">
        <v>#N/A</v>
      </c>
      <c r="Q72" s="1646" t="e">
        <v>#N/A</v>
      </c>
      <c r="R72" s="1598" t="e">
        <v>#N/A</v>
      </c>
      <c r="S72" s="1595">
        <v>0</v>
      </c>
      <c r="T72" s="1595">
        <v>0</v>
      </c>
      <c r="U72" s="1595">
        <v>0</v>
      </c>
      <c r="V72" s="1666" t="e">
        <v>#DIV/0!</v>
      </c>
      <c r="W72" s="1666" t="e">
        <v>#DIV/0!</v>
      </c>
      <c r="X72" s="1666" t="e">
        <v>#DIV/0!</v>
      </c>
    </row>
    <row r="73" spans="2:24" ht="13.8" x14ac:dyDescent="0.3">
      <c r="B73" s="1573"/>
      <c r="C73" s="1573" t="s">
        <v>219</v>
      </c>
      <c r="D73" s="1573">
        <v>0</v>
      </c>
      <c r="E73" s="1573" t="s">
        <v>206</v>
      </c>
      <c r="F73" s="1573" t="s">
        <v>211</v>
      </c>
      <c r="G73" s="1582"/>
      <c r="H73" s="1582"/>
      <c r="I73" s="1593">
        <v>0</v>
      </c>
      <c r="J73" s="1576"/>
      <c r="K73" s="1576"/>
      <c r="L73" s="1606" t="e">
        <v>#N/A</v>
      </c>
      <c r="M73" s="1606" t="e">
        <v>#N/A</v>
      </c>
      <c r="N73" s="1598" t="e">
        <v>#DIV/0!</v>
      </c>
      <c r="O73" s="1598" t="e">
        <v>#DIV/0!</v>
      </c>
      <c r="P73" s="1598" t="e">
        <v>#N/A</v>
      </c>
      <c r="Q73" s="1646" t="e">
        <v>#N/A</v>
      </c>
      <c r="R73" s="1598" t="e">
        <v>#N/A</v>
      </c>
      <c r="S73" s="1595">
        <v>0</v>
      </c>
      <c r="T73" s="1595">
        <v>0</v>
      </c>
      <c r="U73" s="1595">
        <v>0</v>
      </c>
      <c r="V73" s="1666" t="e">
        <v>#DIV/0!</v>
      </c>
      <c r="W73" s="1666" t="e">
        <v>#DIV/0!</v>
      </c>
      <c r="X73" s="1666" t="e">
        <v>#DIV/0!</v>
      </c>
    </row>
    <row r="74" spans="2:24" ht="13.8" x14ac:dyDescent="0.3">
      <c r="B74" s="1573"/>
      <c r="C74" s="1573" t="s">
        <v>220</v>
      </c>
      <c r="D74" s="1573">
        <v>0</v>
      </c>
      <c r="E74" s="1573" t="s">
        <v>206</v>
      </c>
      <c r="F74" s="1573" t="s">
        <v>211</v>
      </c>
      <c r="G74" s="1582"/>
      <c r="H74" s="1582"/>
      <c r="I74" s="1593">
        <v>0</v>
      </c>
      <c r="J74" s="1576"/>
      <c r="K74" s="1576"/>
      <c r="L74" s="1606" t="e">
        <v>#N/A</v>
      </c>
      <c r="M74" s="1606" t="e">
        <v>#N/A</v>
      </c>
      <c r="N74" s="1598" t="e">
        <v>#DIV/0!</v>
      </c>
      <c r="O74" s="1598" t="e">
        <v>#DIV/0!</v>
      </c>
      <c r="P74" s="1598" t="e">
        <v>#N/A</v>
      </c>
      <c r="Q74" s="1646" t="e">
        <v>#N/A</v>
      </c>
      <c r="R74" s="1598" t="e">
        <v>#N/A</v>
      </c>
      <c r="S74" s="1595">
        <v>0</v>
      </c>
      <c r="T74" s="1595">
        <v>0</v>
      </c>
      <c r="U74" s="1595">
        <v>0</v>
      </c>
      <c r="V74" s="1666" t="e">
        <v>#DIV/0!</v>
      </c>
      <c r="W74" s="1666" t="e">
        <v>#DIV/0!</v>
      </c>
      <c r="X74" s="1666" t="e">
        <v>#DIV/0!</v>
      </c>
    </row>
    <row r="75" spans="2:24" ht="13.8" x14ac:dyDescent="0.3">
      <c r="B75" s="1573"/>
      <c r="C75" s="1573" t="s">
        <v>221</v>
      </c>
      <c r="D75" s="1573">
        <v>0</v>
      </c>
      <c r="E75" s="1573" t="s">
        <v>206</v>
      </c>
      <c r="F75" s="1573" t="s">
        <v>211</v>
      </c>
      <c r="G75" s="1582"/>
      <c r="H75" s="1582"/>
      <c r="I75" s="1593">
        <v>0</v>
      </c>
      <c r="J75" s="1576"/>
      <c r="K75" s="1576"/>
      <c r="L75" s="1606" t="e">
        <v>#N/A</v>
      </c>
      <c r="M75" s="1606" t="e">
        <v>#N/A</v>
      </c>
      <c r="N75" s="1598" t="e">
        <v>#DIV/0!</v>
      </c>
      <c r="O75" s="1598" t="e">
        <v>#DIV/0!</v>
      </c>
      <c r="P75" s="1598" t="e">
        <v>#N/A</v>
      </c>
      <c r="Q75" s="1646" t="e">
        <v>#N/A</v>
      </c>
      <c r="R75" s="1598" t="e">
        <v>#N/A</v>
      </c>
      <c r="S75" s="1595">
        <v>0</v>
      </c>
      <c r="T75" s="1595">
        <v>0</v>
      </c>
      <c r="U75" s="1595">
        <v>0</v>
      </c>
      <c r="V75" s="1666" t="e">
        <v>#DIV/0!</v>
      </c>
      <c r="W75" s="1666" t="e">
        <v>#DIV/0!</v>
      </c>
      <c r="X75" s="1666" t="e">
        <v>#DIV/0!</v>
      </c>
    </row>
    <row r="76" spans="2:24" ht="13.8" x14ac:dyDescent="0.3">
      <c r="B76" s="1573"/>
      <c r="C76" s="1573" t="s">
        <v>222</v>
      </c>
      <c r="D76" s="1573">
        <v>0</v>
      </c>
      <c r="E76" s="1573" t="s">
        <v>206</v>
      </c>
      <c r="F76" s="1573" t="s">
        <v>211</v>
      </c>
      <c r="G76" s="1582"/>
      <c r="H76" s="1582"/>
      <c r="I76" s="1593">
        <v>0</v>
      </c>
      <c r="J76" s="1576"/>
      <c r="K76" s="1576"/>
      <c r="L76" s="1606" t="e">
        <v>#N/A</v>
      </c>
      <c r="M76" s="1606" t="e">
        <v>#N/A</v>
      </c>
      <c r="N76" s="1598" t="e">
        <v>#DIV/0!</v>
      </c>
      <c r="O76" s="1598" t="e">
        <v>#DIV/0!</v>
      </c>
      <c r="P76" s="1598" t="e">
        <v>#N/A</v>
      </c>
      <c r="Q76" s="1646" t="e">
        <v>#N/A</v>
      </c>
      <c r="R76" s="1598" t="e">
        <v>#N/A</v>
      </c>
      <c r="S76" s="1595">
        <v>0</v>
      </c>
      <c r="T76" s="1595">
        <v>0</v>
      </c>
      <c r="U76" s="1595">
        <v>0</v>
      </c>
      <c r="V76" s="1666" t="e">
        <v>#DIV/0!</v>
      </c>
      <c r="W76" s="1666" t="e">
        <v>#DIV/0!</v>
      </c>
      <c r="X76" s="1666" t="e">
        <v>#DIV/0!</v>
      </c>
    </row>
    <row r="77" spans="2:24" ht="13.8" x14ac:dyDescent="0.3">
      <c r="B77" s="1573"/>
      <c r="C77" s="1573" t="s">
        <v>223</v>
      </c>
      <c r="D77" s="1573">
        <v>0</v>
      </c>
      <c r="E77" s="1573" t="s">
        <v>206</v>
      </c>
      <c r="F77" s="1573" t="s">
        <v>211</v>
      </c>
      <c r="G77" s="1582"/>
      <c r="H77" s="1582"/>
      <c r="I77" s="1593">
        <v>0</v>
      </c>
      <c r="J77" s="1576"/>
      <c r="K77" s="1576"/>
      <c r="L77" s="1606" t="e">
        <v>#N/A</v>
      </c>
      <c r="M77" s="1606" t="e">
        <v>#N/A</v>
      </c>
      <c r="N77" s="1598" t="e">
        <v>#DIV/0!</v>
      </c>
      <c r="O77" s="1598" t="e">
        <v>#DIV/0!</v>
      </c>
      <c r="P77" s="1598" t="e">
        <v>#N/A</v>
      </c>
      <c r="Q77" s="1646" t="e">
        <v>#N/A</v>
      </c>
      <c r="R77" s="1598" t="e">
        <v>#N/A</v>
      </c>
      <c r="S77" s="1595">
        <v>0</v>
      </c>
      <c r="T77" s="1595">
        <v>0</v>
      </c>
      <c r="U77" s="1595">
        <v>0</v>
      </c>
      <c r="V77" s="1666" t="e">
        <v>#DIV/0!</v>
      </c>
      <c r="W77" s="1666" t="e">
        <v>#DIV/0!</v>
      </c>
      <c r="X77" s="1666" t="e">
        <v>#DIV/0!</v>
      </c>
    </row>
    <row r="78" spans="2:24" ht="13.8" x14ac:dyDescent="0.3">
      <c r="B78" s="1573"/>
      <c r="C78" s="1573" t="s">
        <v>224</v>
      </c>
      <c r="D78" s="1573">
        <v>0</v>
      </c>
      <c r="E78" s="1573" t="s">
        <v>206</v>
      </c>
      <c r="F78" s="1573" t="s">
        <v>211</v>
      </c>
      <c r="G78" s="1582"/>
      <c r="H78" s="1582"/>
      <c r="I78" s="1593">
        <v>0</v>
      </c>
      <c r="J78" s="1576"/>
      <c r="K78" s="1576"/>
      <c r="L78" s="1606" t="e">
        <v>#N/A</v>
      </c>
      <c r="M78" s="1606" t="e">
        <v>#N/A</v>
      </c>
      <c r="N78" s="1598" t="e">
        <v>#DIV/0!</v>
      </c>
      <c r="O78" s="1598" t="e">
        <v>#DIV/0!</v>
      </c>
      <c r="P78" s="1598" t="e">
        <v>#N/A</v>
      </c>
      <c r="Q78" s="1646" t="e">
        <v>#N/A</v>
      </c>
      <c r="R78" s="1598" t="e">
        <v>#N/A</v>
      </c>
      <c r="S78" s="1595">
        <v>0</v>
      </c>
      <c r="T78" s="1595">
        <v>0</v>
      </c>
      <c r="U78" s="1595">
        <v>0</v>
      </c>
      <c r="V78" s="1666" t="e">
        <v>#DIV/0!</v>
      </c>
      <c r="W78" s="1666" t="e">
        <v>#DIV/0!</v>
      </c>
      <c r="X78" s="1666" t="e">
        <v>#DIV/0!</v>
      </c>
    </row>
    <row r="79" spans="2:24" ht="13.8" x14ac:dyDescent="0.3">
      <c r="B79" s="1573"/>
      <c r="C79" s="1573" t="s">
        <v>225</v>
      </c>
      <c r="D79" s="1573">
        <v>0</v>
      </c>
      <c r="E79" s="1573" t="s">
        <v>206</v>
      </c>
      <c r="F79" s="1573" t="s">
        <v>211</v>
      </c>
      <c r="G79" s="1582"/>
      <c r="H79" s="1582"/>
      <c r="I79" s="1593">
        <v>0</v>
      </c>
      <c r="J79" s="1576"/>
      <c r="K79" s="1576"/>
      <c r="L79" s="1606" t="e">
        <v>#N/A</v>
      </c>
      <c r="M79" s="1606" t="e">
        <v>#N/A</v>
      </c>
      <c r="N79" s="1598" t="e">
        <v>#DIV/0!</v>
      </c>
      <c r="O79" s="1598" t="e">
        <v>#DIV/0!</v>
      </c>
      <c r="P79" s="1598" t="e">
        <v>#N/A</v>
      </c>
      <c r="Q79" s="1646" t="e">
        <v>#N/A</v>
      </c>
      <c r="R79" s="1598" t="e">
        <v>#N/A</v>
      </c>
      <c r="S79" s="1595">
        <v>0</v>
      </c>
      <c r="T79" s="1595">
        <v>0</v>
      </c>
      <c r="U79" s="1595">
        <v>0</v>
      </c>
      <c r="V79" s="1666" t="e">
        <v>#DIV/0!</v>
      </c>
      <c r="W79" s="1666" t="e">
        <v>#DIV/0!</v>
      </c>
      <c r="X79" s="1666" t="e">
        <v>#DIV/0!</v>
      </c>
    </row>
    <row r="80" spans="2:24" ht="13.8" x14ac:dyDescent="0.3">
      <c r="B80" s="1573"/>
      <c r="C80" s="1573" t="s">
        <v>226</v>
      </c>
      <c r="D80" s="1573">
        <v>0</v>
      </c>
      <c r="E80" s="1573" t="s">
        <v>206</v>
      </c>
      <c r="F80" s="1573" t="s">
        <v>211</v>
      </c>
      <c r="G80" s="1582"/>
      <c r="H80" s="1582"/>
      <c r="I80" s="1593">
        <v>0</v>
      </c>
      <c r="J80" s="1576"/>
      <c r="K80" s="1576"/>
      <c r="L80" s="1606" t="e">
        <v>#N/A</v>
      </c>
      <c r="M80" s="1606" t="e">
        <v>#N/A</v>
      </c>
      <c r="N80" s="1646" t="e">
        <v>#DIV/0!</v>
      </c>
      <c r="O80" s="1646" t="e">
        <v>#DIV/0!</v>
      </c>
      <c r="P80" s="1598" t="e">
        <v>#N/A</v>
      </c>
      <c r="Q80" s="1646" t="e">
        <v>#N/A</v>
      </c>
      <c r="R80" s="1646" t="e">
        <v>#N/A</v>
      </c>
      <c r="S80" s="1595">
        <v>0</v>
      </c>
      <c r="T80" s="1595">
        <v>0</v>
      </c>
      <c r="U80" s="1595">
        <v>0</v>
      </c>
      <c r="V80" s="1666" t="e">
        <v>#DIV/0!</v>
      </c>
      <c r="W80" s="1666" t="e">
        <v>#DIV/0!</v>
      </c>
      <c r="X80" s="1666" t="e">
        <v>#DIV/0!</v>
      </c>
    </row>
    <row r="81" spans="2:24" ht="13.8" x14ac:dyDescent="0.3">
      <c r="B81" s="1573"/>
      <c r="C81" s="1573" t="s">
        <v>227</v>
      </c>
      <c r="D81" s="1573">
        <v>0</v>
      </c>
      <c r="E81" s="1573" t="s">
        <v>206</v>
      </c>
      <c r="F81" s="1573" t="s">
        <v>211</v>
      </c>
      <c r="G81" s="1582"/>
      <c r="H81" s="1582"/>
      <c r="I81" s="1593">
        <v>0</v>
      </c>
      <c r="J81" s="1576"/>
      <c r="K81" s="1576"/>
      <c r="L81" s="1606" t="e">
        <v>#N/A</v>
      </c>
      <c r="M81" s="1606" t="e">
        <v>#N/A</v>
      </c>
      <c r="N81" s="1646" t="e">
        <v>#DIV/0!</v>
      </c>
      <c r="O81" s="1646" t="e">
        <v>#DIV/0!</v>
      </c>
      <c r="P81" s="1598" t="e">
        <v>#N/A</v>
      </c>
      <c r="Q81" s="1646" t="e">
        <v>#N/A</v>
      </c>
      <c r="R81" s="1646" t="e">
        <v>#N/A</v>
      </c>
      <c r="S81" s="1595">
        <v>0</v>
      </c>
      <c r="T81" s="1595">
        <v>0</v>
      </c>
      <c r="U81" s="1595">
        <v>0</v>
      </c>
      <c r="V81" s="1666" t="e">
        <v>#DIV/0!</v>
      </c>
      <c r="W81" s="1666" t="e">
        <v>#DIV/0!</v>
      </c>
      <c r="X81" s="1666" t="e">
        <v>#DIV/0!</v>
      </c>
    </row>
    <row r="82" spans="2:24" ht="13.8" x14ac:dyDescent="0.3">
      <c r="B82" s="1573"/>
      <c r="C82" s="1573" t="s">
        <v>228</v>
      </c>
      <c r="D82" s="1573">
        <v>0</v>
      </c>
      <c r="E82" s="1573" t="s">
        <v>206</v>
      </c>
      <c r="F82" s="1573" t="s">
        <v>211</v>
      </c>
      <c r="G82" s="1582"/>
      <c r="H82" s="1582"/>
      <c r="I82" s="1593">
        <v>0</v>
      </c>
      <c r="J82" s="1576"/>
      <c r="K82" s="1576"/>
      <c r="L82" s="1606" t="e">
        <v>#N/A</v>
      </c>
      <c r="M82" s="1606" t="e">
        <v>#N/A</v>
      </c>
      <c r="N82" s="1646" t="e">
        <v>#DIV/0!</v>
      </c>
      <c r="O82" s="1646" t="e">
        <v>#DIV/0!</v>
      </c>
      <c r="P82" s="1598" t="e">
        <v>#N/A</v>
      </c>
      <c r="Q82" s="1646" t="e">
        <v>#N/A</v>
      </c>
      <c r="R82" s="1646" t="e">
        <v>#N/A</v>
      </c>
      <c r="S82" s="1595">
        <v>0</v>
      </c>
      <c r="T82" s="1595">
        <v>0</v>
      </c>
      <c r="U82" s="1595">
        <v>0</v>
      </c>
      <c r="V82" s="1666" t="e">
        <v>#DIV/0!</v>
      </c>
      <c r="W82" s="1666" t="e">
        <v>#DIV/0!</v>
      </c>
      <c r="X82" s="1666" t="e">
        <v>#DIV/0!</v>
      </c>
    </row>
    <row r="83" spans="2:24" ht="13.8" x14ac:dyDescent="0.3">
      <c r="B83" s="1573"/>
      <c r="C83" s="1573" t="s">
        <v>229</v>
      </c>
      <c r="D83" s="1573">
        <v>0</v>
      </c>
      <c r="E83" s="1573" t="s">
        <v>206</v>
      </c>
      <c r="F83" s="1573" t="s">
        <v>211</v>
      </c>
      <c r="G83" s="1582"/>
      <c r="H83" s="1582"/>
      <c r="I83" s="1593">
        <v>0</v>
      </c>
      <c r="J83" s="1576"/>
      <c r="K83" s="1576"/>
      <c r="L83" s="1606" t="e">
        <v>#N/A</v>
      </c>
      <c r="M83" s="1606" t="e">
        <v>#N/A</v>
      </c>
      <c r="N83" s="1646" t="e">
        <v>#DIV/0!</v>
      </c>
      <c r="O83" s="1646" t="e">
        <v>#DIV/0!</v>
      </c>
      <c r="P83" s="1598" t="e">
        <v>#N/A</v>
      </c>
      <c r="Q83" s="1646" t="e">
        <v>#N/A</v>
      </c>
      <c r="R83" s="1646" t="e">
        <v>#N/A</v>
      </c>
      <c r="S83" s="1595">
        <v>0</v>
      </c>
      <c r="T83" s="1595">
        <v>0</v>
      </c>
      <c r="U83" s="1595">
        <v>0</v>
      </c>
    </row>
    <row r="84" spans="2:24" ht="13.8" x14ac:dyDescent="0.3">
      <c r="B84" s="1573"/>
      <c r="C84" s="1573" t="s">
        <v>230</v>
      </c>
      <c r="D84" s="1631">
        <v>0</v>
      </c>
      <c r="E84" s="1573" t="s">
        <v>206</v>
      </c>
      <c r="F84" s="1573" t="s">
        <v>211</v>
      </c>
      <c r="G84" s="1582"/>
      <c r="H84" s="1582"/>
      <c r="I84" s="1593">
        <v>0</v>
      </c>
      <c r="J84" s="1576"/>
      <c r="K84" s="1576"/>
      <c r="L84" s="1606" t="e">
        <v>#N/A</v>
      </c>
      <c r="M84" s="1606" t="e">
        <v>#N/A</v>
      </c>
      <c r="N84" s="1646" t="e">
        <v>#DIV/0!</v>
      </c>
      <c r="O84" s="1646" t="e">
        <v>#DIV/0!</v>
      </c>
      <c r="P84" s="1598" t="e">
        <v>#N/A</v>
      </c>
      <c r="Q84" s="1646" t="e">
        <v>#N/A</v>
      </c>
      <c r="R84" s="1646" t="e">
        <v>#N/A</v>
      </c>
      <c r="S84" s="1595">
        <v>0</v>
      </c>
      <c r="T84" s="1595">
        <v>0</v>
      </c>
      <c r="U84" s="1595">
        <v>0</v>
      </c>
    </row>
    <row r="85" spans="2:24" ht="13.8" x14ac:dyDescent="0.3">
      <c r="B85" s="1573"/>
      <c r="C85" s="1573" t="s">
        <v>231</v>
      </c>
      <c r="D85" s="1631">
        <v>0</v>
      </c>
      <c r="E85" s="1573" t="s">
        <v>206</v>
      </c>
      <c r="F85" s="1573" t="s">
        <v>211</v>
      </c>
      <c r="G85" s="1582"/>
      <c r="H85" s="1582"/>
      <c r="I85" s="1593">
        <v>0</v>
      </c>
      <c r="J85" s="1576"/>
      <c r="K85" s="1576"/>
      <c r="L85" s="1606" t="e">
        <v>#N/A</v>
      </c>
      <c r="M85" s="1606" t="e">
        <v>#N/A</v>
      </c>
      <c r="N85" s="1646" t="e">
        <v>#DIV/0!</v>
      </c>
      <c r="O85" s="1646" t="e">
        <v>#DIV/0!</v>
      </c>
      <c r="P85" s="1598" t="e">
        <v>#N/A</v>
      </c>
      <c r="Q85" s="1646" t="e">
        <v>#N/A</v>
      </c>
      <c r="R85" s="1646" t="e">
        <v>#N/A</v>
      </c>
      <c r="S85" s="1595">
        <v>0</v>
      </c>
      <c r="T85" s="1595">
        <v>0</v>
      </c>
      <c r="U85" s="1595">
        <v>0</v>
      </c>
    </row>
    <row r="86" spans="2:24" ht="13.8" x14ac:dyDescent="0.3">
      <c r="B86" s="1573"/>
      <c r="C86" s="1573" t="s">
        <v>232</v>
      </c>
      <c r="D86" s="1631">
        <v>0</v>
      </c>
      <c r="E86" s="1573" t="s">
        <v>206</v>
      </c>
      <c r="F86" s="1573" t="s">
        <v>211</v>
      </c>
      <c r="G86" s="1582"/>
      <c r="H86" s="1582"/>
      <c r="I86" s="1593">
        <v>0</v>
      </c>
      <c r="J86" s="1576"/>
      <c r="K86" s="1576"/>
      <c r="L86" s="1606" t="e">
        <v>#N/A</v>
      </c>
      <c r="M86" s="1606" t="e">
        <v>#N/A</v>
      </c>
      <c r="N86" s="1646" t="e">
        <v>#DIV/0!</v>
      </c>
      <c r="O86" s="1646" t="e">
        <v>#DIV/0!</v>
      </c>
      <c r="P86" s="1598" t="e">
        <v>#N/A</v>
      </c>
      <c r="Q86" s="1646" t="e">
        <v>#N/A</v>
      </c>
      <c r="R86" s="1646" t="e">
        <v>#N/A</v>
      </c>
      <c r="S86" s="1595">
        <v>0</v>
      </c>
      <c r="T86" s="1595">
        <v>0</v>
      </c>
      <c r="U86" s="1595">
        <v>0</v>
      </c>
    </row>
    <row r="87" spans="2:24" ht="13.8" x14ac:dyDescent="0.3">
      <c r="B87" s="1573"/>
      <c r="C87" s="1573" t="s">
        <v>233</v>
      </c>
      <c r="D87" s="1631">
        <v>0</v>
      </c>
      <c r="E87" s="1573" t="s">
        <v>206</v>
      </c>
      <c r="F87" s="1573" t="s">
        <v>211</v>
      </c>
      <c r="G87" s="1582"/>
      <c r="H87" s="1582"/>
      <c r="I87" s="1593">
        <v>0</v>
      </c>
      <c r="J87" s="1576"/>
      <c r="K87" s="1576"/>
      <c r="L87" s="1606" t="e">
        <v>#N/A</v>
      </c>
      <c r="M87" s="1606" t="e">
        <v>#N/A</v>
      </c>
      <c r="N87" s="1646" t="e">
        <v>#DIV/0!</v>
      </c>
      <c r="O87" s="1646" t="e">
        <v>#DIV/0!</v>
      </c>
      <c r="P87" s="1598" t="e">
        <v>#N/A</v>
      </c>
      <c r="Q87" s="1646" t="e">
        <v>#N/A</v>
      </c>
      <c r="R87" s="1646" t="e">
        <v>#N/A</v>
      </c>
      <c r="S87" s="1595">
        <v>0</v>
      </c>
      <c r="T87" s="1595">
        <v>0</v>
      </c>
      <c r="U87" s="1595">
        <v>0</v>
      </c>
    </row>
    <row r="88" spans="2:24" ht="13.8" x14ac:dyDescent="0.3">
      <c r="B88" s="1573"/>
      <c r="C88" s="1573" t="s">
        <v>234</v>
      </c>
      <c r="D88" s="1631">
        <v>0</v>
      </c>
      <c r="E88" s="1573" t="s">
        <v>206</v>
      </c>
      <c r="F88" s="1573" t="s">
        <v>211</v>
      </c>
      <c r="G88" s="1582"/>
      <c r="H88" s="1582"/>
      <c r="I88" s="1593">
        <v>0</v>
      </c>
      <c r="J88" s="1576"/>
      <c r="K88" s="1576"/>
      <c r="L88" s="1606" t="e">
        <v>#N/A</v>
      </c>
      <c r="M88" s="1606" t="e">
        <v>#N/A</v>
      </c>
      <c r="N88" s="1646" t="e">
        <v>#DIV/0!</v>
      </c>
      <c r="O88" s="1646" t="e">
        <v>#DIV/0!</v>
      </c>
      <c r="P88" s="1598" t="e">
        <v>#N/A</v>
      </c>
      <c r="Q88" s="1646" t="e">
        <v>#N/A</v>
      </c>
      <c r="R88" s="1646" t="e">
        <v>#N/A</v>
      </c>
      <c r="S88" s="1595">
        <v>0</v>
      </c>
      <c r="T88" s="1595">
        <v>0</v>
      </c>
      <c r="U88" s="1595">
        <v>0</v>
      </c>
    </row>
    <row r="89" spans="2:24" ht="13.8" x14ac:dyDescent="0.3">
      <c r="B89" s="1573"/>
      <c r="C89" s="1573" t="s">
        <v>235</v>
      </c>
      <c r="D89" s="1631">
        <v>0</v>
      </c>
      <c r="E89" s="1573" t="s">
        <v>206</v>
      </c>
      <c r="F89" s="1573" t="s">
        <v>211</v>
      </c>
      <c r="G89" s="1582"/>
      <c r="H89" s="1582"/>
      <c r="I89" s="1593">
        <v>0</v>
      </c>
      <c r="J89" s="1576"/>
      <c r="K89" s="1576"/>
      <c r="L89" s="1606" t="e">
        <v>#N/A</v>
      </c>
      <c r="M89" s="1606" t="e">
        <v>#N/A</v>
      </c>
      <c r="N89" s="1646" t="e">
        <v>#DIV/0!</v>
      </c>
      <c r="O89" s="1646" t="e">
        <v>#DIV/0!</v>
      </c>
      <c r="P89" s="1598" t="e">
        <v>#N/A</v>
      </c>
      <c r="Q89" s="1646" t="e">
        <v>#N/A</v>
      </c>
      <c r="R89" s="1646" t="e">
        <v>#N/A</v>
      </c>
      <c r="S89" s="1595">
        <v>0</v>
      </c>
      <c r="T89" s="1595">
        <v>0</v>
      </c>
      <c r="U89" s="1595">
        <v>0</v>
      </c>
    </row>
    <row r="90" spans="2:24" ht="13.8" x14ac:dyDescent="0.3">
      <c r="B90" s="1573"/>
      <c r="C90" s="1573" t="s">
        <v>236</v>
      </c>
      <c r="D90" s="1631">
        <v>0</v>
      </c>
      <c r="E90" s="1573" t="s">
        <v>206</v>
      </c>
      <c r="F90" s="1573" t="s">
        <v>211</v>
      </c>
      <c r="G90" s="1582"/>
      <c r="H90" s="1582"/>
      <c r="I90" s="1593">
        <v>0</v>
      </c>
      <c r="J90" s="1576"/>
      <c r="K90" s="1576"/>
      <c r="L90" s="1606" t="e">
        <v>#N/A</v>
      </c>
      <c r="M90" s="1606" t="e">
        <v>#N/A</v>
      </c>
      <c r="N90" s="1646" t="e">
        <v>#DIV/0!</v>
      </c>
      <c r="O90" s="1646" t="e">
        <v>#DIV/0!</v>
      </c>
      <c r="P90" s="1598" t="e">
        <v>#N/A</v>
      </c>
      <c r="Q90" s="1646" t="e">
        <v>#N/A</v>
      </c>
      <c r="R90" s="1646" t="e">
        <v>#N/A</v>
      </c>
      <c r="S90" s="1595">
        <v>0</v>
      </c>
      <c r="T90" s="1595">
        <v>0</v>
      </c>
      <c r="U90" s="1595">
        <v>0</v>
      </c>
    </row>
    <row r="91" spans="2:24" ht="13.8" x14ac:dyDescent="0.3">
      <c r="B91" s="1573"/>
      <c r="C91" s="1573" t="s">
        <v>237</v>
      </c>
      <c r="D91" s="1631">
        <v>0</v>
      </c>
      <c r="E91" s="1573" t="s">
        <v>206</v>
      </c>
      <c r="F91" s="1573" t="s">
        <v>211</v>
      </c>
      <c r="G91" s="1582"/>
      <c r="H91" s="1582"/>
      <c r="I91" s="1593">
        <v>0</v>
      </c>
      <c r="J91" s="1576"/>
      <c r="K91" s="1576"/>
      <c r="L91" s="1606" t="e">
        <v>#N/A</v>
      </c>
      <c r="M91" s="1606" t="e">
        <v>#N/A</v>
      </c>
      <c r="N91" s="1646" t="e">
        <v>#DIV/0!</v>
      </c>
      <c r="O91" s="1646" t="e">
        <v>#DIV/0!</v>
      </c>
      <c r="P91" s="1598" t="e">
        <v>#N/A</v>
      </c>
      <c r="Q91" s="1646" t="e">
        <v>#N/A</v>
      </c>
      <c r="R91" s="1646" t="e">
        <v>#N/A</v>
      </c>
      <c r="S91" s="1595">
        <v>0</v>
      </c>
      <c r="T91" s="1595">
        <v>0</v>
      </c>
      <c r="U91" s="1595">
        <v>0</v>
      </c>
    </row>
    <row r="92" spans="2:24" ht="13.8" x14ac:dyDescent="0.3">
      <c r="B92" s="1573"/>
      <c r="C92" s="1573" t="s">
        <v>238</v>
      </c>
      <c r="D92" s="1631">
        <v>0</v>
      </c>
      <c r="E92" s="1573" t="s">
        <v>206</v>
      </c>
      <c r="F92" s="1573" t="s">
        <v>211</v>
      </c>
      <c r="G92" s="1582"/>
      <c r="H92" s="1582"/>
      <c r="I92" s="1593">
        <v>0</v>
      </c>
      <c r="J92" s="1576"/>
      <c r="K92" s="1576"/>
      <c r="L92" s="1606" t="e">
        <v>#N/A</v>
      </c>
      <c r="M92" s="1606" t="e">
        <v>#N/A</v>
      </c>
      <c r="N92" s="1646" t="e">
        <v>#DIV/0!</v>
      </c>
      <c r="O92" s="1646" t="e">
        <v>#DIV/0!</v>
      </c>
      <c r="P92" s="1598" t="e">
        <v>#N/A</v>
      </c>
      <c r="Q92" s="1646" t="e">
        <v>#N/A</v>
      </c>
      <c r="R92" s="1646" t="e">
        <v>#N/A</v>
      </c>
      <c r="S92" s="1595">
        <v>0</v>
      </c>
      <c r="T92" s="1595">
        <v>0</v>
      </c>
      <c r="U92" s="1595">
        <v>0</v>
      </c>
    </row>
    <row r="93" spans="2:24" ht="13.8" x14ac:dyDescent="0.3">
      <c r="B93" s="1573"/>
      <c r="C93" s="1573" t="s">
        <v>239</v>
      </c>
      <c r="D93" s="1631">
        <v>0</v>
      </c>
      <c r="E93" s="1573" t="s">
        <v>206</v>
      </c>
      <c r="F93" s="1573" t="s">
        <v>211</v>
      </c>
      <c r="G93" s="1582"/>
      <c r="H93" s="1582"/>
      <c r="I93" s="1593">
        <v>0</v>
      </c>
      <c r="J93" s="1576"/>
      <c r="K93" s="1576"/>
      <c r="L93" s="1606" t="e">
        <v>#N/A</v>
      </c>
      <c r="M93" s="1606" t="e">
        <v>#N/A</v>
      </c>
      <c r="N93" s="1646" t="e">
        <v>#DIV/0!</v>
      </c>
      <c r="O93" s="1646" t="e">
        <v>#DIV/0!</v>
      </c>
      <c r="P93" s="1598" t="e">
        <v>#N/A</v>
      </c>
      <c r="Q93" s="1646" t="e">
        <v>#N/A</v>
      </c>
      <c r="R93" s="1646" t="e">
        <v>#N/A</v>
      </c>
      <c r="S93" s="1595">
        <v>0</v>
      </c>
      <c r="T93" s="1595">
        <v>0</v>
      </c>
      <c r="U93" s="1595">
        <v>0</v>
      </c>
    </row>
    <row r="94" spans="2:24" ht="13.8" x14ac:dyDescent="0.3">
      <c r="B94" s="1573"/>
      <c r="C94" s="1573" t="s">
        <v>240</v>
      </c>
      <c r="D94" s="1631">
        <v>0</v>
      </c>
      <c r="E94" s="1573" t="s">
        <v>206</v>
      </c>
      <c r="F94" s="1573" t="s">
        <v>211</v>
      </c>
      <c r="G94" s="1582"/>
      <c r="H94" s="1582"/>
      <c r="I94" s="1593">
        <v>0</v>
      </c>
      <c r="J94" s="1576"/>
      <c r="K94" s="1576"/>
      <c r="L94" s="1606" t="e">
        <v>#N/A</v>
      </c>
      <c r="M94" s="1606" t="e">
        <v>#N/A</v>
      </c>
      <c r="N94" s="1646" t="e">
        <v>#DIV/0!</v>
      </c>
      <c r="O94" s="1646" t="e">
        <v>#DIV/0!</v>
      </c>
      <c r="P94" s="1598" t="e">
        <v>#N/A</v>
      </c>
      <c r="Q94" s="1646" t="e">
        <v>#N/A</v>
      </c>
      <c r="R94" s="1646" t="e">
        <v>#N/A</v>
      </c>
      <c r="S94" s="1595">
        <v>0</v>
      </c>
      <c r="T94" s="1595">
        <v>0</v>
      </c>
      <c r="U94" s="1595">
        <v>0</v>
      </c>
    </row>
    <row r="95" spans="2:24" ht="13.8" x14ac:dyDescent="0.3">
      <c r="B95" s="1573"/>
      <c r="C95" s="1573" t="s">
        <v>241</v>
      </c>
      <c r="D95" s="1631">
        <v>0</v>
      </c>
      <c r="E95" s="1573" t="s">
        <v>206</v>
      </c>
      <c r="F95" s="1573" t="s">
        <v>211</v>
      </c>
      <c r="G95" s="1582"/>
      <c r="H95" s="1582"/>
      <c r="I95" s="1593">
        <v>0</v>
      </c>
      <c r="J95" s="1576"/>
      <c r="K95" s="1576"/>
      <c r="L95" s="1606" t="e">
        <v>#N/A</v>
      </c>
      <c r="M95" s="1606" t="e">
        <v>#N/A</v>
      </c>
      <c r="N95" s="1646" t="e">
        <v>#DIV/0!</v>
      </c>
      <c r="O95" s="1646" t="e">
        <v>#DIV/0!</v>
      </c>
      <c r="P95" s="1598" t="e">
        <v>#N/A</v>
      </c>
      <c r="Q95" s="1646" t="e">
        <v>#N/A</v>
      </c>
      <c r="R95" s="1646" t="e">
        <v>#N/A</v>
      </c>
      <c r="S95" s="1595">
        <v>0</v>
      </c>
      <c r="T95" s="1595">
        <v>0</v>
      </c>
      <c r="U95" s="1595">
        <v>0</v>
      </c>
    </row>
    <row r="96" spans="2:24" ht="13.8" x14ac:dyDescent="0.3">
      <c r="B96" s="1573"/>
      <c r="C96" s="1573" t="s">
        <v>242</v>
      </c>
      <c r="D96" s="1631">
        <v>0</v>
      </c>
      <c r="E96" s="1573" t="s">
        <v>206</v>
      </c>
      <c r="F96" s="1573" t="s">
        <v>211</v>
      </c>
      <c r="G96" s="1582"/>
      <c r="H96" s="1582"/>
      <c r="I96" s="1593">
        <v>0</v>
      </c>
      <c r="J96" s="1576"/>
      <c r="K96" s="1576"/>
      <c r="L96" s="1606" t="e">
        <v>#N/A</v>
      </c>
      <c r="M96" s="1606" t="e">
        <v>#N/A</v>
      </c>
      <c r="N96" s="1646" t="e">
        <v>#DIV/0!</v>
      </c>
      <c r="O96" s="1646" t="e">
        <v>#DIV/0!</v>
      </c>
      <c r="P96" s="1598" t="e">
        <v>#N/A</v>
      </c>
      <c r="Q96" s="1646" t="e">
        <v>#N/A</v>
      </c>
      <c r="R96" s="1646" t="e">
        <v>#N/A</v>
      </c>
      <c r="S96" s="1595">
        <v>0</v>
      </c>
      <c r="T96" s="1595">
        <v>0</v>
      </c>
      <c r="U96" s="1595">
        <v>0</v>
      </c>
    </row>
    <row r="97" spans="2:21" ht="13.8" x14ac:dyDescent="0.3">
      <c r="B97" s="1573"/>
      <c r="C97" s="1573" t="s">
        <v>243</v>
      </c>
      <c r="D97" s="1631">
        <v>0</v>
      </c>
      <c r="E97" s="1573" t="s">
        <v>206</v>
      </c>
      <c r="F97" s="1573" t="s">
        <v>211</v>
      </c>
      <c r="G97" s="1582"/>
      <c r="H97" s="1582"/>
      <c r="I97" s="1593">
        <v>0</v>
      </c>
      <c r="J97" s="1576"/>
      <c r="K97" s="1576"/>
      <c r="L97" s="1606" t="e">
        <v>#N/A</v>
      </c>
      <c r="M97" s="1606" t="e">
        <v>#N/A</v>
      </c>
      <c r="N97" s="1646" t="e">
        <v>#DIV/0!</v>
      </c>
      <c r="O97" s="1646" t="e">
        <v>#DIV/0!</v>
      </c>
      <c r="P97" s="1598" t="e">
        <v>#N/A</v>
      </c>
      <c r="Q97" s="1646" t="e">
        <v>#N/A</v>
      </c>
      <c r="R97" s="1646" t="e">
        <v>#N/A</v>
      </c>
      <c r="S97" s="1595">
        <v>0</v>
      </c>
      <c r="T97" s="1595">
        <v>0</v>
      </c>
      <c r="U97" s="1595">
        <v>0</v>
      </c>
    </row>
    <row r="98" spans="2:21" ht="13.8" x14ac:dyDescent="0.3">
      <c r="B98" s="1573"/>
      <c r="C98" s="1573" t="s">
        <v>244</v>
      </c>
      <c r="D98" s="1631">
        <v>0</v>
      </c>
      <c r="E98" s="1573" t="s">
        <v>206</v>
      </c>
      <c r="F98" s="1573" t="s">
        <v>211</v>
      </c>
      <c r="G98" s="1582"/>
      <c r="H98" s="1582"/>
      <c r="I98" s="1593">
        <v>0</v>
      </c>
      <c r="J98" s="1576"/>
      <c r="K98" s="1576"/>
      <c r="L98" s="1606" t="e">
        <v>#N/A</v>
      </c>
      <c r="M98" s="1606" t="e">
        <v>#N/A</v>
      </c>
      <c r="N98" s="1646" t="e">
        <v>#DIV/0!</v>
      </c>
      <c r="O98" s="1646" t="e">
        <v>#DIV/0!</v>
      </c>
      <c r="P98" s="1598" t="e">
        <v>#N/A</v>
      </c>
      <c r="Q98" s="1646" t="e">
        <v>#N/A</v>
      </c>
      <c r="R98" s="1646" t="e">
        <v>#N/A</v>
      </c>
      <c r="S98" s="1595">
        <v>0</v>
      </c>
      <c r="T98" s="1595">
        <v>0</v>
      </c>
      <c r="U98" s="1595">
        <v>0</v>
      </c>
    </row>
    <row r="99" spans="2:21" ht="13.8" x14ac:dyDescent="0.3">
      <c r="B99" s="1573"/>
      <c r="C99" s="1573" t="s">
        <v>245</v>
      </c>
      <c r="D99" s="1631">
        <v>0</v>
      </c>
      <c r="E99" s="1573" t="s">
        <v>206</v>
      </c>
      <c r="F99" s="1573" t="s">
        <v>211</v>
      </c>
      <c r="G99" s="1582"/>
      <c r="H99" s="1582"/>
      <c r="I99" s="1593">
        <v>0</v>
      </c>
      <c r="J99" s="1576"/>
      <c r="K99" s="1576"/>
      <c r="L99" s="1606" t="e">
        <v>#N/A</v>
      </c>
      <c r="M99" s="1606" t="e">
        <v>#N/A</v>
      </c>
      <c r="N99" s="1646" t="e">
        <v>#DIV/0!</v>
      </c>
      <c r="O99" s="1646" t="e">
        <v>#DIV/0!</v>
      </c>
      <c r="P99" s="1598" t="e">
        <v>#N/A</v>
      </c>
      <c r="Q99" s="1646" t="e">
        <v>#N/A</v>
      </c>
      <c r="R99" s="1646" t="e">
        <v>#N/A</v>
      </c>
      <c r="S99" s="1595">
        <v>0</v>
      </c>
      <c r="T99" s="1595">
        <v>0</v>
      </c>
      <c r="U99" s="1595">
        <v>0</v>
      </c>
    </row>
    <row r="100" spans="2:21" ht="13.8" x14ac:dyDescent="0.3">
      <c r="B100" s="1573"/>
      <c r="C100" s="1573" t="s">
        <v>246</v>
      </c>
      <c r="D100" s="1631">
        <v>0</v>
      </c>
      <c r="E100" s="1573" t="s">
        <v>206</v>
      </c>
      <c r="F100" s="1573" t="s">
        <v>211</v>
      </c>
      <c r="G100" s="1582"/>
      <c r="H100" s="1582"/>
      <c r="I100" s="1593">
        <v>0</v>
      </c>
      <c r="J100" s="1576"/>
      <c r="K100" s="1576"/>
      <c r="L100" s="1606" t="e">
        <v>#N/A</v>
      </c>
      <c r="M100" s="1606" t="e">
        <v>#N/A</v>
      </c>
      <c r="N100" s="1646" t="e">
        <v>#DIV/0!</v>
      </c>
      <c r="O100" s="1646" t="e">
        <v>#DIV/0!</v>
      </c>
      <c r="P100" s="1598" t="e">
        <v>#N/A</v>
      </c>
      <c r="Q100" s="1646" t="e">
        <v>#N/A</v>
      </c>
      <c r="R100" s="1646" t="e">
        <v>#N/A</v>
      </c>
      <c r="S100" s="1595">
        <v>0</v>
      </c>
      <c r="T100" s="1595">
        <v>0</v>
      </c>
      <c r="U100" s="1595">
        <v>0</v>
      </c>
    </row>
    <row r="101" spans="2:21" ht="13.8" x14ac:dyDescent="0.3">
      <c r="B101" s="1573"/>
      <c r="C101" s="1573" t="s">
        <v>247</v>
      </c>
      <c r="D101" s="1631">
        <v>0</v>
      </c>
      <c r="E101" s="1573" t="s">
        <v>206</v>
      </c>
      <c r="F101" s="1573" t="s">
        <v>211</v>
      </c>
      <c r="G101" s="1582"/>
      <c r="H101" s="1582"/>
      <c r="I101" s="1593">
        <v>0</v>
      </c>
      <c r="J101" s="1576"/>
      <c r="K101" s="1576"/>
      <c r="L101" s="1606" t="e">
        <v>#N/A</v>
      </c>
      <c r="M101" s="1606" t="e">
        <v>#N/A</v>
      </c>
      <c r="N101" s="1646" t="e">
        <v>#DIV/0!</v>
      </c>
      <c r="O101" s="1646" t="e">
        <v>#DIV/0!</v>
      </c>
      <c r="P101" s="1598" t="e">
        <v>#N/A</v>
      </c>
      <c r="Q101" s="1646" t="e">
        <v>#N/A</v>
      </c>
      <c r="R101" s="1646" t="e">
        <v>#N/A</v>
      </c>
      <c r="S101" s="1595">
        <v>0</v>
      </c>
      <c r="T101" s="1595">
        <v>0</v>
      </c>
      <c r="U101" s="1595">
        <v>0</v>
      </c>
    </row>
    <row r="102" spans="2:21" ht="13.8" x14ac:dyDescent="0.3">
      <c r="B102" s="1573"/>
      <c r="C102" s="1573" t="s">
        <v>248</v>
      </c>
      <c r="D102" s="1631">
        <v>0</v>
      </c>
      <c r="E102" s="1573" t="s">
        <v>206</v>
      </c>
      <c r="F102" s="1573" t="s">
        <v>211</v>
      </c>
      <c r="G102" s="1582"/>
      <c r="H102" s="1582"/>
      <c r="I102" s="1593">
        <v>0</v>
      </c>
      <c r="J102" s="1576"/>
      <c r="K102" s="1576"/>
      <c r="L102" s="1606" t="e">
        <v>#N/A</v>
      </c>
      <c r="M102" s="1606" t="e">
        <v>#N/A</v>
      </c>
      <c r="N102" s="1646" t="e">
        <v>#DIV/0!</v>
      </c>
      <c r="O102" s="1646" t="e">
        <v>#DIV/0!</v>
      </c>
      <c r="P102" s="1598" t="e">
        <v>#N/A</v>
      </c>
      <c r="Q102" s="1646" t="e">
        <v>#N/A</v>
      </c>
      <c r="R102" s="1646" t="e">
        <v>#N/A</v>
      </c>
      <c r="S102" s="1595">
        <v>0</v>
      </c>
      <c r="T102" s="1595">
        <v>0</v>
      </c>
      <c r="U102" s="1595">
        <v>0</v>
      </c>
    </row>
    <row r="103" spans="2:21" ht="13.8" x14ac:dyDescent="0.3">
      <c r="B103" s="1573"/>
      <c r="C103" s="1573" t="s">
        <v>249</v>
      </c>
      <c r="D103" s="1631">
        <v>0</v>
      </c>
      <c r="E103" s="1573" t="s">
        <v>206</v>
      </c>
      <c r="F103" s="1573" t="s">
        <v>211</v>
      </c>
      <c r="G103" s="1582"/>
      <c r="H103" s="1582"/>
      <c r="I103" s="1593">
        <v>0</v>
      </c>
      <c r="J103" s="1576"/>
      <c r="K103" s="1576"/>
      <c r="L103" s="1606" t="e">
        <v>#N/A</v>
      </c>
      <c r="M103" s="1606" t="e">
        <v>#N/A</v>
      </c>
      <c r="N103" s="1646" t="e">
        <v>#DIV/0!</v>
      </c>
      <c r="O103" s="1646" t="e">
        <v>#DIV/0!</v>
      </c>
      <c r="P103" s="1598" t="e">
        <v>#N/A</v>
      </c>
      <c r="Q103" s="1646" t="e">
        <v>#N/A</v>
      </c>
      <c r="R103" s="1646" t="e">
        <v>#N/A</v>
      </c>
      <c r="S103" s="1595">
        <v>0</v>
      </c>
      <c r="T103" s="1595">
        <v>0</v>
      </c>
      <c r="U103" s="1595">
        <v>0</v>
      </c>
    </row>
    <row r="104" spans="2:21" ht="13.8" x14ac:dyDescent="0.3">
      <c r="B104" s="1573"/>
      <c r="C104" s="1573" t="s">
        <v>250</v>
      </c>
      <c r="D104" s="1631">
        <v>0</v>
      </c>
      <c r="E104" s="1573" t="s">
        <v>206</v>
      </c>
      <c r="F104" s="1573" t="s">
        <v>211</v>
      </c>
      <c r="G104" s="1582"/>
      <c r="H104" s="1582"/>
      <c r="I104" s="1593">
        <v>0</v>
      </c>
      <c r="J104" s="1576"/>
      <c r="K104" s="1576"/>
      <c r="L104" s="1606" t="e">
        <v>#N/A</v>
      </c>
      <c r="M104" s="1606" t="e">
        <v>#N/A</v>
      </c>
      <c r="N104" s="1646" t="e">
        <v>#DIV/0!</v>
      </c>
      <c r="O104" s="1646" t="e">
        <v>#DIV/0!</v>
      </c>
      <c r="P104" s="1598" t="e">
        <v>#N/A</v>
      </c>
      <c r="Q104" s="1646" t="e">
        <v>#N/A</v>
      </c>
      <c r="R104" s="1646" t="e">
        <v>#N/A</v>
      </c>
      <c r="S104" s="1595">
        <v>0</v>
      </c>
      <c r="T104" s="1595">
        <v>0</v>
      </c>
      <c r="U104" s="1595">
        <v>0</v>
      </c>
    </row>
    <row r="105" spans="2:21" ht="14.4" thickBot="1" x14ac:dyDescent="0.35">
      <c r="B105" s="1573"/>
      <c r="C105" s="1573" t="s">
        <v>251</v>
      </c>
      <c r="D105" s="1631">
        <v>0</v>
      </c>
      <c r="E105" s="1573" t="s">
        <v>206</v>
      </c>
      <c r="F105" s="1573" t="s">
        <v>211</v>
      </c>
      <c r="G105" s="1582"/>
      <c r="H105" s="1582"/>
      <c r="I105" s="1593">
        <v>0</v>
      </c>
      <c r="J105" s="1576"/>
      <c r="K105" s="1576"/>
      <c r="L105" s="1609" t="e">
        <v>#N/A</v>
      </c>
      <c r="M105" s="1609" t="e">
        <v>#N/A</v>
      </c>
      <c r="N105" s="1647" t="e">
        <v>#DIV/0!</v>
      </c>
      <c r="O105" s="1647" t="e">
        <v>#DIV/0!</v>
      </c>
      <c r="P105" s="1598" t="e">
        <v>#N/A</v>
      </c>
      <c r="Q105" s="1646" t="e">
        <v>#N/A</v>
      </c>
      <c r="R105" s="1647" t="e">
        <v>#N/A</v>
      </c>
      <c r="S105" s="1595">
        <v>0</v>
      </c>
      <c r="T105" s="1595">
        <v>0</v>
      </c>
      <c r="U105" s="1595">
        <v>0</v>
      </c>
    </row>
    <row r="106" spans="2:21" ht="14.4" thickBot="1" x14ac:dyDescent="0.35">
      <c r="B106" s="1569"/>
      <c r="C106" s="1569"/>
      <c r="D106" s="1569"/>
      <c r="E106" s="1569"/>
      <c r="F106" s="1569"/>
      <c r="G106" s="1608">
        <v>0</v>
      </c>
      <c r="H106" s="1594">
        <v>0</v>
      </c>
      <c r="I106" s="1607">
        <v>0</v>
      </c>
      <c r="J106" s="1572" t="e">
        <v>#DIV/0!</v>
      </c>
      <c r="K106" s="1570" t="s">
        <v>412</v>
      </c>
      <c r="L106" s="1610" t="e">
        <v>#DIV/0!</v>
      </c>
      <c r="M106" s="1611" t="e">
        <v>#DIV/0!</v>
      </c>
      <c r="N106" s="1648" t="e">
        <v>#DIV/0!</v>
      </c>
      <c r="O106" s="1648" t="e">
        <v>#DIV/0!</v>
      </c>
      <c r="P106" s="1648" t="e">
        <v>#DIV/0!</v>
      </c>
      <c r="Q106" s="1649" t="e">
        <v>#DIV/0!</v>
      </c>
      <c r="R106" s="1649" t="e">
        <v>#DIV/0!</v>
      </c>
      <c r="S106" s="1596">
        <v>0</v>
      </c>
      <c r="T106" s="1596">
        <v>0</v>
      </c>
      <c r="U106" s="1596">
        <v>0</v>
      </c>
    </row>
  </sheetData>
  <customSheetViews>
    <customSheetView guid="{074EB09C-6289-46D7-9513-012B68BCA7BF}" showPageBreaks="1" topLeftCell="H1">
      <selection activeCell="O9" sqref="O9"/>
      <pageMargins left="0.7" right="0.7" top="0.75" bottom="0.75" header="0.3" footer="0.3"/>
      <pageSetup orientation="portrait" r:id="rId1"/>
    </customSheetView>
  </customSheetViews>
  <mergeCells count="14">
    <mergeCell ref="V2:V3"/>
    <mergeCell ref="D10:E10"/>
    <mergeCell ref="I10:L10"/>
    <mergeCell ref="M10:N10"/>
    <mergeCell ref="Q2:R2"/>
    <mergeCell ref="S2:U2"/>
    <mergeCell ref="S62:U62"/>
    <mergeCell ref="V62:X62"/>
    <mergeCell ref="C11:F11"/>
    <mergeCell ref="I11:L11"/>
    <mergeCell ref="M11:O11"/>
    <mergeCell ref="P11:R11"/>
    <mergeCell ref="I12:K12"/>
    <mergeCell ref="L62:R62"/>
  </mergeCells>
  <pageMargins left="0.2" right="0.31" top="0.35" bottom="0.46" header="0.3" footer="0.3"/>
  <pageSetup paperSize="17" scale="52" orientation="landscape"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7" sqref="C7"/>
    </sheetView>
  </sheetViews>
  <sheetFormatPr defaultRowHeight="13.2" x14ac:dyDescent="0.25"/>
  <cols>
    <col min="1" max="1" width="16.33203125" style="3369" customWidth="1"/>
    <col min="2" max="2" width="15.88671875" customWidth="1"/>
    <col min="3" max="3" width="37.33203125" customWidth="1"/>
    <col min="4" max="6" width="12.88671875" customWidth="1"/>
    <col min="7" max="7" width="14.6640625" customWidth="1"/>
    <col min="8" max="8" width="15.88671875" customWidth="1"/>
    <col min="10" max="10" width="10.5546875" customWidth="1"/>
    <col min="11" max="11" width="15.109375" customWidth="1"/>
    <col min="12" max="12" width="14.44140625" customWidth="1"/>
    <col min="13" max="13" width="11.33203125" customWidth="1"/>
    <col min="14" max="14" width="13.5546875" customWidth="1"/>
    <col min="15" max="15" width="15.33203125" customWidth="1"/>
    <col min="16" max="16" width="11.109375" customWidth="1"/>
    <col min="17" max="17" width="13.33203125" customWidth="1"/>
  </cols>
  <sheetData>
    <row r="1" spans="2:22" ht="45" customHeight="1" thickBot="1" x14ac:dyDescent="0.35">
      <c r="B1" s="3881"/>
      <c r="C1" s="1671"/>
      <c r="D1" s="1671"/>
      <c r="E1" s="1671"/>
      <c r="F1" s="1682"/>
      <c r="G1" s="1682">
        <v>18230621</v>
      </c>
      <c r="H1" s="3698" t="s">
        <v>1202</v>
      </c>
      <c r="I1" s="1682"/>
      <c r="J1" s="1671"/>
      <c r="K1" s="1671"/>
      <c r="L1" s="1671"/>
      <c r="M1" s="1671"/>
      <c r="N1" s="1671"/>
      <c r="O1" s="1671"/>
      <c r="P1" s="1671"/>
      <c r="Q1" s="1671"/>
      <c r="R1" s="1671"/>
      <c r="S1" s="1671"/>
      <c r="T1" s="1671"/>
      <c r="U1" s="1671"/>
      <c r="V1" s="1671"/>
    </row>
    <row r="2" spans="2:22" ht="16.2" thickBot="1" x14ac:dyDescent="0.35">
      <c r="B2" s="1682" t="s">
        <v>131</v>
      </c>
      <c r="C2" s="4521" t="s">
        <v>888</v>
      </c>
      <c r="D2" s="1671"/>
      <c r="E2" s="1671"/>
      <c r="F2" s="1671"/>
      <c r="G2" s="1689" t="s">
        <v>8</v>
      </c>
      <c r="H2" s="1671"/>
      <c r="I2" s="1671"/>
      <c r="J2" s="1671"/>
      <c r="K2" s="1671"/>
      <c r="L2" s="1671"/>
      <c r="M2" s="1671"/>
      <c r="N2" s="1671"/>
      <c r="O2" s="1671"/>
      <c r="P2" s="1671"/>
      <c r="Q2" s="4798"/>
      <c r="R2" s="4798"/>
      <c r="S2" s="4785" t="s">
        <v>132</v>
      </c>
      <c r="T2" s="4786"/>
      <c r="U2" s="4787"/>
      <c r="V2" s="4793" t="s">
        <v>133</v>
      </c>
    </row>
    <row r="3" spans="2:22" ht="16.2" thickBot="1" x14ac:dyDescent="0.35">
      <c r="B3" s="1715" t="s">
        <v>6</v>
      </c>
      <c r="C3" s="1715">
        <v>18230621</v>
      </c>
      <c r="D3" s="1671"/>
      <c r="E3" s="1671"/>
      <c r="F3" s="1671"/>
      <c r="G3" s="1701" t="s">
        <v>9</v>
      </c>
      <c r="H3" s="1699" t="s">
        <v>10</v>
      </c>
      <c r="I3" s="1699" t="s">
        <v>11</v>
      </c>
      <c r="J3" s="1699" t="s">
        <v>12</v>
      </c>
      <c r="K3" s="1699" t="s">
        <v>13</v>
      </c>
      <c r="L3" s="1699" t="s">
        <v>14</v>
      </c>
      <c r="M3" s="1699" t="s">
        <v>15</v>
      </c>
      <c r="N3" s="1699" t="s">
        <v>16</v>
      </c>
      <c r="O3" s="1699" t="s">
        <v>134</v>
      </c>
      <c r="P3" s="1699" t="s">
        <v>135</v>
      </c>
      <c r="Q3" s="1702" t="s">
        <v>18</v>
      </c>
      <c r="R3" s="1702" t="s">
        <v>136</v>
      </c>
      <c r="S3" s="1691" t="s">
        <v>137</v>
      </c>
      <c r="T3" s="1691" t="s">
        <v>12</v>
      </c>
      <c r="U3" s="1692" t="s">
        <v>138</v>
      </c>
      <c r="V3" s="4794"/>
    </row>
    <row r="4" spans="2:22" ht="16.8" thickTop="1" thickBot="1" x14ac:dyDescent="0.35">
      <c r="B4" s="1715" t="s">
        <v>139</v>
      </c>
      <c r="C4" s="3675" t="s">
        <v>887</v>
      </c>
      <c r="D4" s="3874" t="s">
        <v>1201</v>
      </c>
      <c r="E4" s="3875"/>
      <c r="F4" s="1682">
        <v>2011</v>
      </c>
      <c r="G4" s="1739">
        <v>99904</v>
      </c>
      <c r="H4" s="1740">
        <v>0</v>
      </c>
      <c r="I4" s="1740">
        <v>62939</v>
      </c>
      <c r="J4" s="1740">
        <v>4000</v>
      </c>
      <c r="K4" s="1740">
        <v>216</v>
      </c>
      <c r="L4" s="1740">
        <v>31994</v>
      </c>
      <c r="M4" s="1740">
        <v>0</v>
      </c>
      <c r="N4" s="1740">
        <v>0</v>
      </c>
      <c r="O4" s="1740">
        <v>0</v>
      </c>
      <c r="P4" s="1740">
        <v>0</v>
      </c>
      <c r="Q4" s="1744">
        <v>199053</v>
      </c>
      <c r="R4" s="1760">
        <v>0</v>
      </c>
      <c r="S4" s="1771">
        <v>0</v>
      </c>
      <c r="T4" s="1771">
        <v>2.0095150537796466E-2</v>
      </c>
      <c r="U4" s="1771">
        <v>0.16073106157656503</v>
      </c>
      <c r="V4" s="1773" t="e">
        <v>#DIV/0!</v>
      </c>
    </row>
    <row r="5" spans="2:22" ht="16.8" thickTop="1" thickBot="1" x14ac:dyDescent="0.35">
      <c r="B5" s="1682" t="s">
        <v>34</v>
      </c>
      <c r="C5" s="1671"/>
      <c r="D5" s="1671"/>
      <c r="E5" s="1671"/>
      <c r="F5" s="1682">
        <v>2012</v>
      </c>
      <c r="G5" s="1741">
        <f>D12</f>
        <v>54935.45</v>
      </c>
      <c r="H5" s="1742">
        <v>0</v>
      </c>
      <c r="I5" s="1742">
        <f>D22</f>
        <v>34609.333500000001</v>
      </c>
      <c r="J5" s="1742">
        <f>D27</f>
        <v>0</v>
      </c>
      <c r="K5" s="1742">
        <f>D32</f>
        <v>840</v>
      </c>
      <c r="L5" s="1742">
        <f>D37</f>
        <v>30650</v>
      </c>
      <c r="M5" s="1742">
        <f>D42</f>
        <v>8850</v>
      </c>
      <c r="N5" s="1742">
        <f>D47</f>
        <v>0</v>
      </c>
      <c r="O5" s="1742">
        <f>D52</f>
        <v>0</v>
      </c>
      <c r="P5" s="1742">
        <v>0</v>
      </c>
      <c r="Q5" s="1743">
        <f>SUM(G5:P5)</f>
        <v>129884.78349999999</v>
      </c>
      <c r="R5" s="1761">
        <v>0</v>
      </c>
      <c r="S5" s="1772">
        <v>0</v>
      </c>
      <c r="T5" s="1772">
        <v>1.437582555424468E-2</v>
      </c>
      <c r="U5" s="1772">
        <v>0.53909345828417543</v>
      </c>
      <c r="V5" s="1774" t="e">
        <v>#DIV/0!</v>
      </c>
    </row>
    <row r="6" spans="2:22" ht="16.2" thickBot="1" x14ac:dyDescent="0.35">
      <c r="B6" s="1671"/>
      <c r="C6" s="1682" t="s">
        <v>886</v>
      </c>
      <c r="D6" s="1671"/>
      <c r="E6" s="1671"/>
      <c r="F6" s="1682">
        <v>2013</v>
      </c>
      <c r="G6" s="1756">
        <f>E12</f>
        <v>55622.39</v>
      </c>
      <c r="H6" s="1757">
        <v>0</v>
      </c>
      <c r="I6" s="1757">
        <f>E22</f>
        <v>35042.1057</v>
      </c>
      <c r="J6" s="1757">
        <f>E27</f>
        <v>0</v>
      </c>
      <c r="K6" s="1757">
        <f>E32</f>
        <v>840</v>
      </c>
      <c r="L6" s="1757">
        <f>E37</f>
        <v>30650</v>
      </c>
      <c r="M6" s="1757">
        <f>E42</f>
        <v>8950</v>
      </c>
      <c r="N6" s="1757">
        <f>E47</f>
        <v>0</v>
      </c>
      <c r="O6" s="1757">
        <f>E52</f>
        <v>0</v>
      </c>
      <c r="P6" s="1757">
        <v>0</v>
      </c>
      <c r="Q6" s="1758">
        <f>SUM(G6:P6)</f>
        <v>131104.4957</v>
      </c>
      <c r="R6" s="1762">
        <v>0</v>
      </c>
      <c r="S6" s="1772">
        <v>0</v>
      </c>
      <c r="T6" s="1772">
        <v>2.4232596002551763E-2</v>
      </c>
      <c r="U6" s="1772">
        <v>0.52741532476142072</v>
      </c>
      <c r="V6" s="1774" t="e">
        <v>#DIV/0!</v>
      </c>
    </row>
    <row r="7" spans="2:22" ht="16.2" thickBot="1" x14ac:dyDescent="0.35">
      <c r="B7" s="1671"/>
      <c r="C7" s="1766" t="s">
        <v>873</v>
      </c>
      <c r="D7" s="1671"/>
      <c r="E7" s="1671"/>
      <c r="F7" s="1755" t="s">
        <v>140</v>
      </c>
      <c r="G7" s="1759">
        <f>SUM(G5:G6)</f>
        <v>110557.84</v>
      </c>
      <c r="H7" s="2162">
        <f t="shared" ref="H7:Q7" si="0">SUM(H5:H6)</f>
        <v>0</v>
      </c>
      <c r="I7" s="2162">
        <f t="shared" si="0"/>
        <v>69651.439199999993</v>
      </c>
      <c r="J7" s="2162">
        <f t="shared" si="0"/>
        <v>0</v>
      </c>
      <c r="K7" s="2162">
        <f t="shared" si="0"/>
        <v>1680</v>
      </c>
      <c r="L7" s="2162">
        <f t="shared" si="0"/>
        <v>61300</v>
      </c>
      <c r="M7" s="2162">
        <f t="shared" si="0"/>
        <v>17800</v>
      </c>
      <c r="N7" s="2162">
        <f t="shared" si="0"/>
        <v>0</v>
      </c>
      <c r="O7" s="2162">
        <f t="shared" si="0"/>
        <v>0</v>
      </c>
      <c r="P7" s="2162">
        <f t="shared" si="0"/>
        <v>0</v>
      </c>
      <c r="Q7" s="2162">
        <f t="shared" si="0"/>
        <v>260989.27919999999</v>
      </c>
      <c r="R7" s="1763">
        <v>0</v>
      </c>
      <c r="S7" s="1772">
        <v>0</v>
      </c>
      <c r="T7" s="1772">
        <v>1.9325101084817234E-2</v>
      </c>
      <c r="U7" s="1772">
        <v>0.53322964104403103</v>
      </c>
      <c r="V7" s="1774" t="e">
        <v>#DIV/0!</v>
      </c>
    </row>
    <row r="9" spans="2:22" ht="14.4" thickBot="1" x14ac:dyDescent="0.35">
      <c r="B9" s="1671"/>
      <c r="C9" s="1734" t="s">
        <v>141</v>
      </c>
      <c r="D9" s="4795" t="s">
        <v>142</v>
      </c>
      <c r="E9" s="4795"/>
      <c r="F9" s="1671"/>
      <c r="G9" s="1671"/>
      <c r="H9" s="1671"/>
      <c r="I9" s="4796" t="s">
        <v>143</v>
      </c>
      <c r="J9" s="4796"/>
      <c r="K9" s="4796"/>
      <c r="L9" s="4796"/>
      <c r="M9" s="4797" t="s">
        <v>142</v>
      </c>
      <c r="N9" s="4797"/>
      <c r="O9" s="1671"/>
      <c r="P9" s="1671"/>
      <c r="Q9" s="1671"/>
      <c r="R9" s="1671"/>
      <c r="S9" s="1671"/>
      <c r="T9" s="1671"/>
      <c r="U9" s="1671"/>
      <c r="V9" s="1671"/>
    </row>
    <row r="10" spans="2:22" ht="16.2" thickBot="1" x14ac:dyDescent="0.35">
      <c r="B10" s="1738" t="s">
        <v>144</v>
      </c>
      <c r="C10" s="4788" t="s">
        <v>145</v>
      </c>
      <c r="D10" s="4788"/>
      <c r="E10" s="4788"/>
      <c r="F10" s="4789"/>
      <c r="G10" s="1671"/>
      <c r="H10" s="1671"/>
      <c r="I10" s="4785" t="s">
        <v>146</v>
      </c>
      <c r="J10" s="4786"/>
      <c r="K10" s="4786"/>
      <c r="L10" s="4787"/>
      <c r="M10" s="4785" t="s">
        <v>147</v>
      </c>
      <c r="N10" s="4786"/>
      <c r="O10" s="4787"/>
      <c r="P10" s="4785" t="s">
        <v>148</v>
      </c>
      <c r="Q10" s="4786"/>
      <c r="R10" s="4787"/>
      <c r="S10" s="1671"/>
      <c r="T10" s="1737" t="s">
        <v>149</v>
      </c>
      <c r="U10" s="1671"/>
      <c r="V10" s="1671"/>
    </row>
    <row r="11" spans="2:22" ht="16.2" thickBot="1" x14ac:dyDescent="0.35">
      <c r="B11" s="1748">
        <v>2011</v>
      </c>
      <c r="C11" s="1736" t="s">
        <v>150</v>
      </c>
      <c r="D11" s="1729">
        <v>2012</v>
      </c>
      <c r="E11" s="1729">
        <v>2013</v>
      </c>
      <c r="F11" s="1729" t="s">
        <v>151</v>
      </c>
      <c r="G11" s="1671"/>
      <c r="H11" s="1690"/>
      <c r="I11" s="4790" t="s">
        <v>152</v>
      </c>
      <c r="J11" s="4791"/>
      <c r="K11" s="4792"/>
      <c r="L11" s="1725" t="s">
        <v>153</v>
      </c>
      <c r="M11" s="1726" t="s">
        <v>154</v>
      </c>
      <c r="N11" s="1727" t="s">
        <v>155</v>
      </c>
      <c r="O11" s="1728" t="s">
        <v>156</v>
      </c>
      <c r="P11" s="1726" t="s">
        <v>157</v>
      </c>
      <c r="Q11" s="1726" t="s">
        <v>158</v>
      </c>
      <c r="R11" s="1728" t="s">
        <v>159</v>
      </c>
      <c r="S11" s="1671"/>
      <c r="T11" s="1738" t="s">
        <v>160</v>
      </c>
      <c r="U11" s="1671"/>
      <c r="V11" s="1671"/>
    </row>
    <row r="12" spans="2:22" ht="14.4" thickBot="1" x14ac:dyDescent="0.35">
      <c r="B12" s="1745"/>
      <c r="C12" s="1703" t="s">
        <v>161</v>
      </c>
      <c r="D12" s="1704">
        <f>SUM(D13:D16)</f>
        <v>54935.45</v>
      </c>
      <c r="E12" s="2212">
        <f>SUM(E13:E16)</f>
        <v>55622.39</v>
      </c>
      <c r="F12" s="2212">
        <f t="shared" ref="F12:F17" si="1">SUM(D12:E12)</f>
        <v>110557.84</v>
      </c>
      <c r="G12" s="1671"/>
      <c r="H12" s="1693"/>
      <c r="I12" s="1722" t="s">
        <v>409</v>
      </c>
      <c r="J12" s="1723"/>
      <c r="K12" s="1724"/>
      <c r="L12" s="1732">
        <v>0</v>
      </c>
      <c r="M12" s="1678"/>
      <c r="N12" s="1678"/>
      <c r="O12" s="1694">
        <v>0</v>
      </c>
      <c r="P12" s="1730">
        <v>0</v>
      </c>
      <c r="Q12" s="1730">
        <v>0</v>
      </c>
      <c r="R12" s="1731">
        <v>0</v>
      </c>
      <c r="S12" s="1671"/>
      <c r="T12" s="1764">
        <v>0</v>
      </c>
      <c r="U12" s="1671"/>
      <c r="V12" s="1671"/>
    </row>
    <row r="13" spans="2:22" ht="13.8" x14ac:dyDescent="0.3">
      <c r="B13" s="1746"/>
      <c r="C13" s="1683" t="s">
        <v>889</v>
      </c>
      <c r="D13" s="1685">
        <v>54935.45</v>
      </c>
      <c r="E13" s="1685">
        <v>55622.39</v>
      </c>
      <c r="F13" s="1685">
        <f t="shared" si="1"/>
        <v>110557.84</v>
      </c>
      <c r="G13" s="1671"/>
      <c r="H13" s="1693"/>
      <c r="I13" s="1718" t="s">
        <v>410</v>
      </c>
      <c r="J13" s="1719"/>
      <c r="K13" s="1720"/>
      <c r="L13" s="1732">
        <v>0</v>
      </c>
      <c r="M13" s="1678"/>
      <c r="N13" s="1678"/>
      <c r="O13" s="1694">
        <v>0</v>
      </c>
      <c r="P13" s="1730">
        <v>0</v>
      </c>
      <c r="Q13" s="1730">
        <v>0</v>
      </c>
      <c r="R13" s="1731">
        <v>0</v>
      </c>
      <c r="S13" s="1671"/>
      <c r="T13" s="1765">
        <v>0</v>
      </c>
      <c r="U13" s="1671"/>
      <c r="V13" s="1671"/>
    </row>
    <row r="14" spans="2:22" ht="13.8" x14ac:dyDescent="0.3">
      <c r="B14" s="1747"/>
      <c r="C14" s="1677" t="s">
        <v>890</v>
      </c>
      <c r="D14" s="1686"/>
      <c r="E14" s="1686"/>
      <c r="F14" s="3479">
        <f t="shared" si="1"/>
        <v>0</v>
      </c>
      <c r="G14" s="1671"/>
      <c r="H14" s="1693"/>
      <c r="I14" s="1718" t="s">
        <v>411</v>
      </c>
      <c r="J14" s="1719"/>
      <c r="K14" s="1720"/>
      <c r="L14" s="1732">
        <v>0</v>
      </c>
      <c r="M14" s="1678">
        <v>0</v>
      </c>
      <c r="N14" s="1678">
        <v>0</v>
      </c>
      <c r="O14" s="1694">
        <v>0</v>
      </c>
      <c r="P14" s="1730">
        <v>0</v>
      </c>
      <c r="Q14" s="1730">
        <v>0</v>
      </c>
      <c r="R14" s="1731">
        <v>0</v>
      </c>
      <c r="S14" s="1671"/>
      <c r="T14" s="1765">
        <v>0</v>
      </c>
      <c r="U14" s="1671"/>
      <c r="V14" s="1671"/>
    </row>
    <row r="15" spans="2:22" ht="13.8" x14ac:dyDescent="0.3">
      <c r="B15" s="1747"/>
      <c r="C15" s="1677" t="s">
        <v>164</v>
      </c>
      <c r="D15" s="1687">
        <v>0</v>
      </c>
      <c r="E15" s="1687"/>
      <c r="F15" s="3479">
        <f t="shared" si="1"/>
        <v>0</v>
      </c>
      <c r="G15" s="1671"/>
      <c r="H15" s="1693"/>
      <c r="I15" s="1718" t="s">
        <v>213</v>
      </c>
      <c r="J15" s="1719"/>
      <c r="K15" s="1720"/>
      <c r="L15" s="1732">
        <v>0</v>
      </c>
      <c r="M15" s="1678">
        <v>0</v>
      </c>
      <c r="N15" s="1678">
        <v>0</v>
      </c>
      <c r="O15" s="1694">
        <v>0</v>
      </c>
      <c r="P15" s="1730">
        <v>0</v>
      </c>
      <c r="Q15" s="1730">
        <v>0</v>
      </c>
      <c r="R15" s="1731">
        <v>0</v>
      </c>
      <c r="S15" s="1671"/>
      <c r="T15" s="1765">
        <v>0</v>
      </c>
      <c r="U15" s="1671"/>
      <c r="V15" s="1671"/>
    </row>
    <row r="16" spans="2:22" ht="14.4" thickBot="1" x14ac:dyDescent="0.35">
      <c r="B16" s="1747"/>
      <c r="C16" s="1677" t="s">
        <v>165</v>
      </c>
      <c r="D16" s="1687">
        <v>0</v>
      </c>
      <c r="E16" s="1687"/>
      <c r="F16" s="3479">
        <f t="shared" si="1"/>
        <v>0</v>
      </c>
      <c r="G16" s="1671"/>
      <c r="H16" s="1693"/>
      <c r="I16" s="1718" t="s">
        <v>214</v>
      </c>
      <c r="J16" s="1719"/>
      <c r="K16" s="1720"/>
      <c r="L16" s="1732">
        <v>0</v>
      </c>
      <c r="M16" s="1678">
        <v>0</v>
      </c>
      <c r="N16" s="1678">
        <v>0</v>
      </c>
      <c r="O16" s="1694">
        <v>0</v>
      </c>
      <c r="P16" s="1730">
        <v>0</v>
      </c>
      <c r="Q16" s="1730">
        <v>0</v>
      </c>
      <c r="R16" s="1731">
        <v>0</v>
      </c>
      <c r="S16" s="1671"/>
      <c r="T16" s="1765">
        <v>0</v>
      </c>
      <c r="U16" s="1671"/>
      <c r="V16" s="1671"/>
    </row>
    <row r="17" spans="2:20" ht="14.4" thickBot="1" x14ac:dyDescent="0.35">
      <c r="B17" s="1745"/>
      <c r="C17" s="1703" t="s">
        <v>166</v>
      </c>
      <c r="D17" s="1704">
        <v>0</v>
      </c>
      <c r="E17" s="1704">
        <v>0</v>
      </c>
      <c r="F17" s="1705">
        <f t="shared" si="1"/>
        <v>0</v>
      </c>
      <c r="G17" s="1671"/>
      <c r="H17" s="1693"/>
      <c r="I17" s="1718" t="s">
        <v>215</v>
      </c>
      <c r="J17" s="1719"/>
      <c r="K17" s="1720"/>
      <c r="L17" s="1732">
        <v>0</v>
      </c>
      <c r="M17" s="1678">
        <v>0</v>
      </c>
      <c r="N17" s="1678">
        <v>0</v>
      </c>
      <c r="O17" s="1694">
        <v>0</v>
      </c>
      <c r="P17" s="1730">
        <v>0</v>
      </c>
      <c r="Q17" s="1730">
        <v>0</v>
      </c>
      <c r="R17" s="1731">
        <v>0</v>
      </c>
      <c r="S17" s="1671"/>
      <c r="T17" s="1765">
        <v>0</v>
      </c>
    </row>
    <row r="18" spans="2:20" ht="13.8" x14ac:dyDescent="0.3">
      <c r="B18" s="1746"/>
      <c r="C18" s="1677" t="s">
        <v>162</v>
      </c>
      <c r="D18" s="1685">
        <v>0</v>
      </c>
      <c r="E18" s="1685">
        <v>0</v>
      </c>
      <c r="F18" s="1685">
        <v>0</v>
      </c>
      <c r="G18" s="1671"/>
      <c r="H18" s="1693"/>
      <c r="I18" s="1718" t="s">
        <v>216</v>
      </c>
      <c r="J18" s="1719"/>
      <c r="K18" s="1720"/>
      <c r="L18" s="1732">
        <v>0</v>
      </c>
      <c r="M18" s="1678">
        <v>0</v>
      </c>
      <c r="N18" s="1678">
        <v>0</v>
      </c>
      <c r="O18" s="1694">
        <v>0</v>
      </c>
      <c r="P18" s="1730">
        <v>0</v>
      </c>
      <c r="Q18" s="1730">
        <v>0</v>
      </c>
      <c r="R18" s="1731">
        <v>0</v>
      </c>
      <c r="S18" s="1671"/>
      <c r="T18" s="1765">
        <v>0</v>
      </c>
    </row>
    <row r="19" spans="2:20" ht="13.8" x14ac:dyDescent="0.3">
      <c r="B19" s="1747"/>
      <c r="C19" s="1677" t="s">
        <v>163</v>
      </c>
      <c r="D19" s="1685">
        <v>0</v>
      </c>
      <c r="E19" s="1685">
        <v>0</v>
      </c>
      <c r="F19" s="1685">
        <v>0</v>
      </c>
      <c r="G19" s="1671"/>
      <c r="H19" s="1693"/>
      <c r="I19" s="1718" t="s">
        <v>217</v>
      </c>
      <c r="J19" s="1719"/>
      <c r="K19" s="1720"/>
      <c r="L19" s="1732">
        <v>0</v>
      </c>
      <c r="M19" s="1678">
        <v>0</v>
      </c>
      <c r="N19" s="1678">
        <v>0</v>
      </c>
      <c r="O19" s="1694">
        <v>0</v>
      </c>
      <c r="P19" s="1730">
        <v>0</v>
      </c>
      <c r="Q19" s="1730">
        <v>0</v>
      </c>
      <c r="R19" s="1731">
        <v>0</v>
      </c>
      <c r="S19" s="1671"/>
      <c r="T19" s="1765">
        <v>0</v>
      </c>
    </row>
    <row r="20" spans="2:20" ht="13.8" x14ac:dyDescent="0.3">
      <c r="B20" s="1747"/>
      <c r="C20" s="1677" t="s">
        <v>164</v>
      </c>
      <c r="D20" s="1687">
        <v>0</v>
      </c>
      <c r="E20" s="1687"/>
      <c r="F20" s="1685">
        <v>0</v>
      </c>
      <c r="G20" s="1671"/>
      <c r="H20" s="1693"/>
      <c r="I20" s="1718" t="s">
        <v>218</v>
      </c>
      <c r="J20" s="1719"/>
      <c r="K20" s="1720"/>
      <c r="L20" s="1732">
        <v>0</v>
      </c>
      <c r="M20" s="1678">
        <v>0</v>
      </c>
      <c r="N20" s="1678">
        <v>0</v>
      </c>
      <c r="O20" s="1694">
        <v>0</v>
      </c>
      <c r="P20" s="1730">
        <v>0</v>
      </c>
      <c r="Q20" s="1730">
        <v>0</v>
      </c>
      <c r="R20" s="1731">
        <v>0</v>
      </c>
      <c r="S20" s="1671"/>
      <c r="T20" s="1765">
        <v>0</v>
      </c>
    </row>
    <row r="21" spans="2:20" ht="14.4" thickBot="1" x14ac:dyDescent="0.35">
      <c r="B21" s="1747"/>
      <c r="C21" s="1677" t="s">
        <v>165</v>
      </c>
      <c r="D21" s="1687">
        <v>0</v>
      </c>
      <c r="E21" s="1687"/>
      <c r="F21" s="1685">
        <v>0</v>
      </c>
      <c r="G21" s="1671"/>
      <c r="H21" s="1693"/>
      <c r="I21" s="1718" t="s">
        <v>219</v>
      </c>
      <c r="J21" s="1719"/>
      <c r="K21" s="1720"/>
      <c r="L21" s="1732">
        <v>0</v>
      </c>
      <c r="M21" s="1678">
        <v>0</v>
      </c>
      <c r="N21" s="1678">
        <v>0</v>
      </c>
      <c r="O21" s="1694">
        <v>0</v>
      </c>
      <c r="P21" s="1730">
        <v>0</v>
      </c>
      <c r="Q21" s="1730">
        <v>0</v>
      </c>
      <c r="R21" s="1731">
        <v>0</v>
      </c>
      <c r="S21" s="1671"/>
      <c r="T21" s="1765">
        <v>0</v>
      </c>
    </row>
    <row r="22" spans="2:20" ht="14.4" thickBot="1" x14ac:dyDescent="0.35">
      <c r="B22" s="1745"/>
      <c r="C22" s="1703" t="s">
        <v>167</v>
      </c>
      <c r="D22" s="1704">
        <f>SUM(D23:D26)</f>
        <v>34609.333500000001</v>
      </c>
      <c r="E22" s="2212">
        <f>SUM(E23:E26)</f>
        <v>35042.1057</v>
      </c>
      <c r="F22" s="2212">
        <f>SUM(F23:F26)</f>
        <v>69651.439199999993</v>
      </c>
      <c r="G22" s="1676"/>
      <c r="H22" s="1693"/>
      <c r="I22" s="1718" t="s">
        <v>220</v>
      </c>
      <c r="J22" s="1719"/>
      <c r="K22" s="1720"/>
      <c r="L22" s="1732">
        <v>0</v>
      </c>
      <c r="M22" s="1678">
        <v>0</v>
      </c>
      <c r="N22" s="1678">
        <v>0</v>
      </c>
      <c r="O22" s="1694">
        <v>0</v>
      </c>
      <c r="P22" s="1730">
        <v>0</v>
      </c>
      <c r="Q22" s="1730">
        <v>0</v>
      </c>
      <c r="R22" s="1731">
        <v>0</v>
      </c>
      <c r="S22" s="1671"/>
      <c r="T22" s="1765">
        <v>0</v>
      </c>
    </row>
    <row r="23" spans="2:20" ht="13.8" x14ac:dyDescent="0.3">
      <c r="B23" s="1746"/>
      <c r="C23" s="1683" t="s">
        <v>168</v>
      </c>
      <c r="D23" s="1685">
        <f>D13*0.63</f>
        <v>34609.333500000001</v>
      </c>
      <c r="E23" s="1685">
        <f>E13*0.63</f>
        <v>35042.1057</v>
      </c>
      <c r="F23" s="1685">
        <f>SUM(D23:E23)</f>
        <v>69651.439199999993</v>
      </c>
      <c r="G23" s="1671"/>
      <c r="H23" s="1693"/>
      <c r="I23" s="1718" t="s">
        <v>221</v>
      </c>
      <c r="J23" s="1719"/>
      <c r="K23" s="1720"/>
      <c r="L23" s="1732">
        <v>0</v>
      </c>
      <c r="M23" s="1678">
        <v>0</v>
      </c>
      <c r="N23" s="1678">
        <v>0</v>
      </c>
      <c r="O23" s="1694">
        <v>0</v>
      </c>
      <c r="P23" s="1730">
        <v>0</v>
      </c>
      <c r="Q23" s="1730">
        <v>0</v>
      </c>
      <c r="R23" s="1731">
        <v>0</v>
      </c>
      <c r="S23" s="1671"/>
      <c r="T23" s="1765">
        <v>0</v>
      </c>
    </row>
    <row r="24" spans="2:20" ht="13.8" x14ac:dyDescent="0.3">
      <c r="B24" s="1746"/>
      <c r="C24" s="1683" t="s">
        <v>169</v>
      </c>
      <c r="D24" s="3574">
        <f t="shared" ref="D24:E26" si="2">D14*0.63</f>
        <v>0</v>
      </c>
      <c r="E24" s="3574">
        <f t="shared" si="2"/>
        <v>0</v>
      </c>
      <c r="F24" s="1685">
        <v>0</v>
      </c>
      <c r="G24" s="1671"/>
      <c r="H24" s="1693"/>
      <c r="I24" s="1718" t="s">
        <v>222</v>
      </c>
      <c r="J24" s="1719"/>
      <c r="K24" s="1720"/>
      <c r="L24" s="1732">
        <v>0</v>
      </c>
      <c r="M24" s="1678">
        <v>0</v>
      </c>
      <c r="N24" s="1678">
        <v>0</v>
      </c>
      <c r="O24" s="1694">
        <v>0</v>
      </c>
      <c r="P24" s="1730">
        <v>0</v>
      </c>
      <c r="Q24" s="1730">
        <v>0</v>
      </c>
      <c r="R24" s="1731">
        <v>0</v>
      </c>
      <c r="S24" s="1671"/>
      <c r="T24" s="1765">
        <v>0</v>
      </c>
    </row>
    <row r="25" spans="2:20" ht="13.8" x14ac:dyDescent="0.3">
      <c r="B25" s="1747"/>
      <c r="C25" s="1677"/>
      <c r="D25" s="3574">
        <f t="shared" si="2"/>
        <v>0</v>
      </c>
      <c r="E25" s="3574">
        <f t="shared" si="2"/>
        <v>0</v>
      </c>
      <c r="F25" s="1687"/>
      <c r="G25" s="1671"/>
      <c r="H25" s="1693"/>
      <c r="I25" s="1718" t="s">
        <v>223</v>
      </c>
      <c r="J25" s="1719"/>
      <c r="K25" s="1720"/>
      <c r="L25" s="1732">
        <v>0</v>
      </c>
      <c r="M25" s="1678">
        <v>0</v>
      </c>
      <c r="N25" s="1678">
        <v>0</v>
      </c>
      <c r="O25" s="1694">
        <v>0</v>
      </c>
      <c r="P25" s="1730">
        <v>0</v>
      </c>
      <c r="Q25" s="1730">
        <v>0</v>
      </c>
      <c r="R25" s="1731">
        <v>0</v>
      </c>
      <c r="S25" s="1671"/>
      <c r="T25" s="1765">
        <v>0</v>
      </c>
    </row>
    <row r="26" spans="2:20" ht="14.4" thickBot="1" x14ac:dyDescent="0.35">
      <c r="B26" s="1747"/>
      <c r="C26" s="1677"/>
      <c r="D26" s="3574">
        <f t="shared" si="2"/>
        <v>0</v>
      </c>
      <c r="E26" s="3574">
        <f t="shared" si="2"/>
        <v>0</v>
      </c>
      <c r="F26" s="1687"/>
      <c r="G26" s="1671"/>
      <c r="H26" s="1693"/>
      <c r="I26" s="1718" t="s">
        <v>224</v>
      </c>
      <c r="J26" s="1719"/>
      <c r="K26" s="1720"/>
      <c r="L26" s="1732">
        <v>0</v>
      </c>
      <c r="M26" s="1678">
        <v>0</v>
      </c>
      <c r="N26" s="1678">
        <v>0</v>
      </c>
      <c r="O26" s="1694">
        <v>0</v>
      </c>
      <c r="P26" s="1730">
        <v>0</v>
      </c>
      <c r="Q26" s="1730">
        <v>0</v>
      </c>
      <c r="R26" s="1731">
        <v>0</v>
      </c>
      <c r="S26" s="1671"/>
      <c r="T26" s="1765">
        <v>0</v>
      </c>
    </row>
    <row r="27" spans="2:20" ht="14.4" thickBot="1" x14ac:dyDescent="0.35">
      <c r="B27" s="1745"/>
      <c r="C27" s="1703" t="s">
        <v>170</v>
      </c>
      <c r="D27" s="1704">
        <v>0</v>
      </c>
      <c r="E27" s="1704">
        <v>0</v>
      </c>
      <c r="F27" s="1705">
        <f>SUM(D27:E27)</f>
        <v>0</v>
      </c>
      <c r="G27" s="1671"/>
      <c r="H27" s="1693"/>
      <c r="I27" s="1718" t="s">
        <v>225</v>
      </c>
      <c r="J27" s="1719"/>
      <c r="K27" s="1720"/>
      <c r="L27" s="1732">
        <v>0</v>
      </c>
      <c r="M27" s="1678">
        <v>0</v>
      </c>
      <c r="N27" s="1678">
        <v>0</v>
      </c>
      <c r="O27" s="1694">
        <v>0</v>
      </c>
      <c r="P27" s="1730">
        <v>0</v>
      </c>
      <c r="Q27" s="1730">
        <v>0</v>
      </c>
      <c r="R27" s="1731">
        <v>0</v>
      </c>
      <c r="S27" s="1671"/>
      <c r="T27" s="1765">
        <v>0</v>
      </c>
    </row>
    <row r="28" spans="2:20" ht="13.8" x14ac:dyDescent="0.3">
      <c r="B28" s="1746"/>
      <c r="C28" s="3578" t="s">
        <v>162</v>
      </c>
      <c r="D28" s="1685">
        <v>0</v>
      </c>
      <c r="E28" s="1685">
        <v>0</v>
      </c>
      <c r="F28" s="1685">
        <v>0</v>
      </c>
      <c r="G28" s="1671"/>
      <c r="H28" s="1693"/>
      <c r="I28" s="1718" t="s">
        <v>226</v>
      </c>
      <c r="J28" s="1719"/>
      <c r="K28" s="1720"/>
      <c r="L28" s="1732">
        <v>0</v>
      </c>
      <c r="M28" s="1678">
        <v>0</v>
      </c>
      <c r="N28" s="1678">
        <v>0</v>
      </c>
      <c r="O28" s="1694">
        <v>0</v>
      </c>
      <c r="P28" s="1730">
        <v>0</v>
      </c>
      <c r="Q28" s="1730">
        <v>0</v>
      </c>
      <c r="R28" s="1731">
        <v>0</v>
      </c>
      <c r="S28" s="1671"/>
      <c r="T28" s="1765">
        <v>0</v>
      </c>
    </row>
    <row r="29" spans="2:20" ht="13.8" x14ac:dyDescent="0.3">
      <c r="B29" s="1747"/>
      <c r="C29" s="1677" t="s">
        <v>163</v>
      </c>
      <c r="D29" s="1686">
        <v>0</v>
      </c>
      <c r="E29" s="1686"/>
      <c r="F29" s="1685">
        <v>0</v>
      </c>
      <c r="G29" s="1671"/>
      <c r="H29" s="1693"/>
      <c r="I29" s="1718" t="s">
        <v>227</v>
      </c>
      <c r="J29" s="1719"/>
      <c r="K29" s="1720"/>
      <c r="L29" s="1732">
        <v>0</v>
      </c>
      <c r="M29" s="1678">
        <v>0</v>
      </c>
      <c r="N29" s="1678">
        <v>0</v>
      </c>
      <c r="O29" s="1694">
        <v>0</v>
      </c>
      <c r="P29" s="1730">
        <v>0</v>
      </c>
      <c r="Q29" s="1730">
        <v>0</v>
      </c>
      <c r="R29" s="1731">
        <v>0</v>
      </c>
      <c r="S29" s="1671"/>
      <c r="T29" s="1765">
        <v>0</v>
      </c>
    </row>
    <row r="30" spans="2:20" ht="13.8" x14ac:dyDescent="0.3">
      <c r="B30" s="1747"/>
      <c r="C30" s="1677" t="s">
        <v>164</v>
      </c>
      <c r="D30" s="1686">
        <v>0</v>
      </c>
      <c r="E30" s="1686"/>
      <c r="F30" s="1685">
        <v>0</v>
      </c>
      <c r="G30" s="1671"/>
      <c r="H30" s="1693"/>
      <c r="I30" s="1718" t="s">
        <v>228</v>
      </c>
      <c r="J30" s="1719"/>
      <c r="K30" s="1720"/>
      <c r="L30" s="1732">
        <v>0</v>
      </c>
      <c r="M30" s="1678">
        <v>0</v>
      </c>
      <c r="N30" s="1678">
        <v>0</v>
      </c>
      <c r="O30" s="1694">
        <v>0</v>
      </c>
      <c r="P30" s="1730">
        <v>0</v>
      </c>
      <c r="Q30" s="1730">
        <v>0</v>
      </c>
      <c r="R30" s="1731">
        <v>0</v>
      </c>
      <c r="S30" s="1671"/>
      <c r="T30" s="1765">
        <v>0</v>
      </c>
    </row>
    <row r="31" spans="2:20" ht="14.4" thickBot="1" x14ac:dyDescent="0.35">
      <c r="B31" s="1747"/>
      <c r="C31" s="1677" t="s">
        <v>165</v>
      </c>
      <c r="D31" s="1686">
        <v>0</v>
      </c>
      <c r="E31" s="1686"/>
      <c r="F31" s="1685">
        <v>0</v>
      </c>
      <c r="G31" s="1671"/>
      <c r="H31" s="1693"/>
      <c r="I31" s="1718" t="s">
        <v>229</v>
      </c>
      <c r="J31" s="1719"/>
      <c r="K31" s="1720"/>
      <c r="L31" s="1732">
        <v>0</v>
      </c>
      <c r="M31" s="1678">
        <v>0</v>
      </c>
      <c r="N31" s="1678">
        <v>0</v>
      </c>
      <c r="O31" s="1694">
        <v>0</v>
      </c>
      <c r="P31" s="1730">
        <v>0</v>
      </c>
      <c r="Q31" s="1730">
        <v>0</v>
      </c>
      <c r="R31" s="1731">
        <v>0</v>
      </c>
      <c r="S31" s="1671"/>
      <c r="T31" s="1765">
        <v>0</v>
      </c>
    </row>
    <row r="32" spans="2:20" ht="14.4" thickBot="1" x14ac:dyDescent="0.35">
      <c r="B32" s="1745"/>
      <c r="C32" s="1703" t="s">
        <v>171</v>
      </c>
      <c r="D32" s="1704">
        <f>SUM(D33:D36)</f>
        <v>840</v>
      </c>
      <c r="E32" s="3586">
        <f>SUM(E33:E36)</f>
        <v>840</v>
      </c>
      <c r="F32" s="1705">
        <f>SUM(D32:E32)</f>
        <v>1680</v>
      </c>
      <c r="G32" s="1671"/>
      <c r="H32" s="1693"/>
      <c r="I32" s="1718" t="s">
        <v>230</v>
      </c>
      <c r="J32" s="1719"/>
      <c r="K32" s="1720"/>
      <c r="L32" s="1732">
        <v>0</v>
      </c>
      <c r="M32" s="1678">
        <v>0</v>
      </c>
      <c r="N32" s="1678">
        <v>0</v>
      </c>
      <c r="O32" s="1694">
        <v>0</v>
      </c>
      <c r="P32" s="1730">
        <v>0</v>
      </c>
      <c r="Q32" s="1730">
        <v>0</v>
      </c>
      <c r="R32" s="1731">
        <v>0</v>
      </c>
      <c r="S32" s="1671"/>
      <c r="T32" s="1765">
        <v>0</v>
      </c>
    </row>
    <row r="33" spans="2:20" ht="13.8" x14ac:dyDescent="0.3">
      <c r="B33" s="1747"/>
      <c r="C33" s="3578" t="s">
        <v>1110</v>
      </c>
      <c r="D33" s="3579">
        <v>840</v>
      </c>
      <c r="E33" s="3579">
        <v>840</v>
      </c>
      <c r="F33" s="1685">
        <f>SUM(D33:E33)</f>
        <v>1680</v>
      </c>
      <c r="G33" s="1671"/>
      <c r="H33" s="1693"/>
      <c r="I33" s="1718" t="s">
        <v>231</v>
      </c>
      <c r="J33" s="1719"/>
      <c r="K33" s="1720"/>
      <c r="L33" s="1732">
        <v>0</v>
      </c>
      <c r="M33" s="1678">
        <v>0</v>
      </c>
      <c r="N33" s="1678">
        <v>0</v>
      </c>
      <c r="O33" s="1694">
        <v>0</v>
      </c>
      <c r="P33" s="1730">
        <v>0</v>
      </c>
      <c r="Q33" s="1730">
        <v>0</v>
      </c>
      <c r="R33" s="1731">
        <v>0</v>
      </c>
      <c r="S33" s="1671"/>
      <c r="T33" s="1765">
        <v>0</v>
      </c>
    </row>
    <row r="34" spans="2:20" ht="13.8" x14ac:dyDescent="0.3">
      <c r="B34" s="1747"/>
      <c r="C34" s="1677" t="s">
        <v>163</v>
      </c>
      <c r="D34" s="1686">
        <v>0</v>
      </c>
      <c r="E34" s="1686"/>
      <c r="F34" s="1685">
        <v>0</v>
      </c>
      <c r="G34" s="1671"/>
      <c r="H34" s="1693"/>
      <c r="I34" s="1718" t="s">
        <v>232</v>
      </c>
      <c r="J34" s="1719"/>
      <c r="K34" s="1720"/>
      <c r="L34" s="1732">
        <v>0</v>
      </c>
      <c r="M34" s="1678">
        <v>0</v>
      </c>
      <c r="N34" s="1678">
        <v>0</v>
      </c>
      <c r="O34" s="1694">
        <v>0</v>
      </c>
      <c r="P34" s="1730">
        <v>0</v>
      </c>
      <c r="Q34" s="1730">
        <v>0</v>
      </c>
      <c r="R34" s="1731">
        <v>0</v>
      </c>
      <c r="S34" s="1671"/>
      <c r="T34" s="1765">
        <v>0</v>
      </c>
    </row>
    <row r="35" spans="2:20" ht="13.8" x14ac:dyDescent="0.3">
      <c r="B35" s="1747"/>
      <c r="C35" s="1677" t="s">
        <v>164</v>
      </c>
      <c r="D35" s="1686">
        <v>0</v>
      </c>
      <c r="E35" s="1686"/>
      <c r="F35" s="1685">
        <v>0</v>
      </c>
      <c r="G35" s="1671"/>
      <c r="H35" s="1693"/>
      <c r="I35" s="1718" t="s">
        <v>233</v>
      </c>
      <c r="J35" s="1719"/>
      <c r="K35" s="1720"/>
      <c r="L35" s="1732">
        <v>0</v>
      </c>
      <c r="M35" s="1678">
        <v>0</v>
      </c>
      <c r="N35" s="1678">
        <v>0</v>
      </c>
      <c r="O35" s="1694">
        <v>0</v>
      </c>
      <c r="P35" s="1730">
        <v>0</v>
      </c>
      <c r="Q35" s="1730">
        <v>0</v>
      </c>
      <c r="R35" s="1731">
        <v>0</v>
      </c>
      <c r="S35" s="1671"/>
      <c r="T35" s="1765">
        <v>0</v>
      </c>
    </row>
    <row r="36" spans="2:20" ht="14.4" thickBot="1" x14ac:dyDescent="0.35">
      <c r="B36" s="1747"/>
      <c r="C36" s="1677" t="s">
        <v>165</v>
      </c>
      <c r="D36" s="1686">
        <v>0</v>
      </c>
      <c r="E36" s="1686"/>
      <c r="F36" s="1685">
        <v>0</v>
      </c>
      <c r="G36" s="1671"/>
      <c r="H36" s="1693"/>
      <c r="I36" s="1718" t="s">
        <v>234</v>
      </c>
      <c r="J36" s="1719"/>
      <c r="K36" s="1720"/>
      <c r="L36" s="1732">
        <v>0</v>
      </c>
      <c r="M36" s="1678">
        <v>0</v>
      </c>
      <c r="N36" s="1678">
        <v>0</v>
      </c>
      <c r="O36" s="1694">
        <v>0</v>
      </c>
      <c r="P36" s="1730">
        <v>0</v>
      </c>
      <c r="Q36" s="1730">
        <v>0</v>
      </c>
      <c r="R36" s="1731">
        <v>0</v>
      </c>
      <c r="S36" s="1671"/>
      <c r="T36" s="1765">
        <v>0</v>
      </c>
    </row>
    <row r="37" spans="2:20" ht="14.4" thickBot="1" x14ac:dyDescent="0.35">
      <c r="B37" s="1745"/>
      <c r="C37" s="1703" t="s">
        <v>172</v>
      </c>
      <c r="D37" s="1704">
        <f>SUM(D38:D41)</f>
        <v>30650</v>
      </c>
      <c r="E37" s="3586">
        <f>SUM(E38:E41)</f>
        <v>30650</v>
      </c>
      <c r="F37" s="1705">
        <f>SUM(D37:E37)</f>
        <v>61300</v>
      </c>
      <c r="G37" s="1671"/>
      <c r="H37" s="1693"/>
      <c r="I37" s="1718" t="s">
        <v>235</v>
      </c>
      <c r="J37" s="1719"/>
      <c r="K37" s="1721"/>
      <c r="L37" s="1732">
        <v>0</v>
      </c>
      <c r="M37" s="1678">
        <v>0</v>
      </c>
      <c r="N37" s="1678">
        <v>0</v>
      </c>
      <c r="O37" s="1694">
        <v>0</v>
      </c>
      <c r="P37" s="1730">
        <v>0</v>
      </c>
      <c r="Q37" s="1730">
        <v>0</v>
      </c>
      <c r="R37" s="1731">
        <v>0</v>
      </c>
      <c r="S37" s="1671"/>
      <c r="T37" s="1765">
        <v>0</v>
      </c>
    </row>
    <row r="38" spans="2:20" ht="13.8" x14ac:dyDescent="0.3">
      <c r="B38" s="1747"/>
      <c r="C38" s="3580" t="s">
        <v>1111</v>
      </c>
      <c r="D38" s="3581">
        <v>21850</v>
      </c>
      <c r="E38" s="3581">
        <v>21850</v>
      </c>
      <c r="F38" s="1685">
        <f>SUM(D38:E38)</f>
        <v>43700</v>
      </c>
      <c r="G38" s="1671"/>
      <c r="H38" s="1693"/>
      <c r="I38" s="1718" t="s">
        <v>236</v>
      </c>
      <c r="J38" s="1719"/>
      <c r="K38" s="1721"/>
      <c r="L38" s="1732">
        <v>0</v>
      </c>
      <c r="M38" s="1678">
        <v>0</v>
      </c>
      <c r="N38" s="1678">
        <v>0</v>
      </c>
      <c r="O38" s="1694">
        <v>0</v>
      </c>
      <c r="P38" s="1730">
        <v>0</v>
      </c>
      <c r="Q38" s="1730">
        <v>0</v>
      </c>
      <c r="R38" s="1731">
        <v>0</v>
      </c>
      <c r="S38" s="1671"/>
      <c r="T38" s="1765">
        <v>0</v>
      </c>
    </row>
    <row r="39" spans="2:20" ht="13.8" x14ac:dyDescent="0.3">
      <c r="B39" s="1747"/>
      <c r="C39" s="3580" t="s">
        <v>1112</v>
      </c>
      <c r="D39" s="3581">
        <v>8800</v>
      </c>
      <c r="E39" s="3581">
        <v>8800</v>
      </c>
      <c r="F39" s="1685">
        <f>SUM(D39:E39)</f>
        <v>17600</v>
      </c>
      <c r="G39" s="1671"/>
      <c r="H39" s="1693"/>
      <c r="I39" s="1718" t="s">
        <v>237</v>
      </c>
      <c r="J39" s="1719"/>
      <c r="K39" s="1721"/>
      <c r="L39" s="1732">
        <v>0</v>
      </c>
      <c r="M39" s="1678">
        <v>0</v>
      </c>
      <c r="N39" s="1678">
        <v>0</v>
      </c>
      <c r="O39" s="1694">
        <v>0</v>
      </c>
      <c r="P39" s="1730">
        <v>0</v>
      </c>
      <c r="Q39" s="1730">
        <v>0</v>
      </c>
      <c r="R39" s="1731">
        <v>0</v>
      </c>
      <c r="S39" s="1671"/>
      <c r="T39" s="1765">
        <v>0</v>
      </c>
    </row>
    <row r="40" spans="2:20" ht="13.8" x14ac:dyDescent="0.3">
      <c r="B40" s="1747"/>
      <c r="C40" s="1677" t="s">
        <v>164</v>
      </c>
      <c r="D40" s="1686">
        <v>0</v>
      </c>
      <c r="E40" s="1686">
        <v>0</v>
      </c>
      <c r="F40" s="1685">
        <v>0</v>
      </c>
      <c r="G40" s="1671"/>
      <c r="H40" s="1693"/>
      <c r="I40" s="1718" t="s">
        <v>238</v>
      </c>
      <c r="J40" s="1719"/>
      <c r="K40" s="1721"/>
      <c r="L40" s="1732">
        <v>0</v>
      </c>
      <c r="M40" s="1678">
        <v>0</v>
      </c>
      <c r="N40" s="1678">
        <v>0</v>
      </c>
      <c r="O40" s="1694">
        <v>0</v>
      </c>
      <c r="P40" s="1730">
        <v>0</v>
      </c>
      <c r="Q40" s="1730">
        <v>0</v>
      </c>
      <c r="R40" s="1731">
        <v>0</v>
      </c>
      <c r="S40" s="1671"/>
      <c r="T40" s="1765">
        <v>0</v>
      </c>
    </row>
    <row r="41" spans="2:20" ht="14.4" thickBot="1" x14ac:dyDescent="0.35">
      <c r="B41" s="1747"/>
      <c r="C41" s="1677" t="s">
        <v>165</v>
      </c>
      <c r="D41" s="1686">
        <v>0</v>
      </c>
      <c r="E41" s="1686"/>
      <c r="F41" s="1685">
        <v>0</v>
      </c>
      <c r="G41" s="1671"/>
      <c r="H41" s="1693"/>
      <c r="I41" s="1718" t="s">
        <v>239</v>
      </c>
      <c r="J41" s="1719"/>
      <c r="K41" s="1721"/>
      <c r="L41" s="1732">
        <v>0</v>
      </c>
      <c r="M41" s="1678">
        <v>0</v>
      </c>
      <c r="N41" s="1678">
        <v>0</v>
      </c>
      <c r="O41" s="1694">
        <v>0</v>
      </c>
      <c r="P41" s="1730">
        <v>0</v>
      </c>
      <c r="Q41" s="1730">
        <v>0</v>
      </c>
      <c r="R41" s="1731">
        <v>0</v>
      </c>
      <c r="S41" s="1671"/>
      <c r="T41" s="1765">
        <v>0</v>
      </c>
    </row>
    <row r="42" spans="2:20" ht="14.4" thickBot="1" x14ac:dyDescent="0.35">
      <c r="B42" s="1745"/>
      <c r="C42" s="1703" t="s">
        <v>173</v>
      </c>
      <c r="D42" s="1704">
        <f>SUM(D43:D46)</f>
        <v>8850</v>
      </c>
      <c r="E42" s="3586">
        <f>SUM(E43:E46)</f>
        <v>8950</v>
      </c>
      <c r="F42" s="1705">
        <f>SUM(D42:E42)</f>
        <v>17800</v>
      </c>
      <c r="G42" s="1671"/>
      <c r="H42" s="1693"/>
      <c r="I42" s="1718" t="s">
        <v>240</v>
      </c>
      <c r="J42" s="1719"/>
      <c r="K42" s="1721"/>
      <c r="L42" s="1732">
        <v>0</v>
      </c>
      <c r="M42" s="1678">
        <v>0</v>
      </c>
      <c r="N42" s="1678">
        <v>0</v>
      </c>
      <c r="O42" s="1694">
        <v>0</v>
      </c>
      <c r="P42" s="1730">
        <v>0</v>
      </c>
      <c r="Q42" s="1730">
        <v>0</v>
      </c>
      <c r="R42" s="1731">
        <v>0</v>
      </c>
      <c r="S42" s="1671"/>
      <c r="T42" s="1765">
        <v>0</v>
      </c>
    </row>
    <row r="43" spans="2:20" ht="13.8" x14ac:dyDescent="0.3">
      <c r="B43" s="1747"/>
      <c r="C43" s="3587" t="s">
        <v>1113</v>
      </c>
      <c r="D43" s="3584">
        <v>4350</v>
      </c>
      <c r="E43" s="3584">
        <v>4350</v>
      </c>
      <c r="F43" s="1685">
        <f>SUM(D43:E43)</f>
        <v>8700</v>
      </c>
      <c r="G43" s="1671"/>
      <c r="H43" s="1693"/>
      <c r="I43" s="1718" t="s">
        <v>241</v>
      </c>
      <c r="J43" s="1719"/>
      <c r="K43" s="1721"/>
      <c r="L43" s="1732">
        <v>0</v>
      </c>
      <c r="M43" s="1678">
        <v>0</v>
      </c>
      <c r="N43" s="1678">
        <v>0</v>
      </c>
      <c r="O43" s="1694">
        <v>0</v>
      </c>
      <c r="P43" s="1730">
        <v>0</v>
      </c>
      <c r="Q43" s="1730">
        <v>0</v>
      </c>
      <c r="R43" s="1731">
        <v>0</v>
      </c>
      <c r="S43" s="1671"/>
      <c r="T43" s="1765">
        <v>0</v>
      </c>
    </row>
    <row r="44" spans="2:20" ht="13.8" x14ac:dyDescent="0.3">
      <c r="B44" s="1747"/>
      <c r="C44" s="3582" t="s">
        <v>1114</v>
      </c>
      <c r="D44" s="3584">
        <v>4500</v>
      </c>
      <c r="E44" s="3584">
        <v>4600</v>
      </c>
      <c r="F44" s="3913">
        <f>SUM(D44:E44)</f>
        <v>9100</v>
      </c>
      <c r="G44" s="1671"/>
      <c r="H44" s="1693"/>
      <c r="I44" s="1718" t="s">
        <v>242</v>
      </c>
      <c r="J44" s="1719"/>
      <c r="K44" s="1721"/>
      <c r="L44" s="1732">
        <v>0</v>
      </c>
      <c r="M44" s="1678">
        <v>0</v>
      </c>
      <c r="N44" s="1678">
        <v>0</v>
      </c>
      <c r="O44" s="1694">
        <v>0</v>
      </c>
      <c r="P44" s="1730">
        <v>0</v>
      </c>
      <c r="Q44" s="1730">
        <v>0</v>
      </c>
      <c r="R44" s="1731">
        <v>0</v>
      </c>
      <c r="S44" s="1671"/>
      <c r="T44" s="1765">
        <v>0</v>
      </c>
    </row>
    <row r="45" spans="2:20" ht="13.8" x14ac:dyDescent="0.3">
      <c r="B45" s="1747"/>
      <c r="C45" s="1677" t="s">
        <v>164</v>
      </c>
      <c r="D45" s="1686">
        <v>0</v>
      </c>
      <c r="E45" s="1686"/>
      <c r="F45" s="1685">
        <v>0</v>
      </c>
      <c r="G45" s="1671"/>
      <c r="H45" s="1693"/>
      <c r="I45" s="1718" t="s">
        <v>243</v>
      </c>
      <c r="J45" s="1719"/>
      <c r="K45" s="1721"/>
      <c r="L45" s="1732">
        <v>0</v>
      </c>
      <c r="M45" s="1678">
        <v>0</v>
      </c>
      <c r="N45" s="1678">
        <v>0</v>
      </c>
      <c r="O45" s="1694">
        <v>0</v>
      </c>
      <c r="P45" s="1730">
        <v>0</v>
      </c>
      <c r="Q45" s="1730">
        <v>0</v>
      </c>
      <c r="R45" s="1731">
        <v>0</v>
      </c>
      <c r="S45" s="1671"/>
      <c r="T45" s="1765">
        <v>0</v>
      </c>
    </row>
    <row r="46" spans="2:20" ht="14.4" thickBot="1" x14ac:dyDescent="0.35">
      <c r="B46" s="1747"/>
      <c r="C46" s="1677" t="s">
        <v>165</v>
      </c>
      <c r="D46" s="1686">
        <v>0</v>
      </c>
      <c r="E46" s="1686"/>
      <c r="F46" s="1685">
        <v>0</v>
      </c>
      <c r="G46" s="1671"/>
      <c r="H46" s="1693"/>
      <c r="I46" s="1718" t="s">
        <v>244</v>
      </c>
      <c r="J46" s="1719"/>
      <c r="K46" s="1721"/>
      <c r="L46" s="1732">
        <v>0</v>
      </c>
      <c r="M46" s="1678">
        <v>0</v>
      </c>
      <c r="N46" s="1678">
        <v>0</v>
      </c>
      <c r="O46" s="1694">
        <v>0</v>
      </c>
      <c r="P46" s="1730">
        <v>0</v>
      </c>
      <c r="Q46" s="1730">
        <v>0</v>
      </c>
      <c r="R46" s="1731">
        <v>0</v>
      </c>
      <c r="S46" s="1671"/>
      <c r="T46" s="1765">
        <v>0</v>
      </c>
    </row>
    <row r="47" spans="2:20" ht="14.4" thickBot="1" x14ac:dyDescent="0.35">
      <c r="B47" s="1745"/>
      <c r="C47" s="1703" t="s">
        <v>174</v>
      </c>
      <c r="D47" s="1704">
        <f>SUM(D48:D51)</f>
        <v>0</v>
      </c>
      <c r="E47" s="3586">
        <f>SUM(E48:E51)</f>
        <v>0</v>
      </c>
      <c r="F47" s="2212">
        <f>SUM(D47:E47)</f>
        <v>0</v>
      </c>
      <c r="G47" s="1671"/>
      <c r="H47" s="1693"/>
      <c r="I47" s="1718" t="s">
        <v>245</v>
      </c>
      <c r="J47" s="1719"/>
      <c r="K47" s="1721"/>
      <c r="L47" s="1732">
        <v>0</v>
      </c>
      <c r="M47" s="1678">
        <v>0</v>
      </c>
      <c r="N47" s="1678">
        <v>0</v>
      </c>
      <c r="O47" s="1694">
        <v>0</v>
      </c>
      <c r="P47" s="1730">
        <v>0</v>
      </c>
      <c r="Q47" s="1730">
        <v>0</v>
      </c>
      <c r="R47" s="1731">
        <v>0</v>
      </c>
      <c r="S47" s="1671"/>
      <c r="T47" s="1765">
        <v>0</v>
      </c>
    </row>
    <row r="48" spans="2:20" ht="13.8" x14ac:dyDescent="0.3">
      <c r="B48" s="1747"/>
      <c r="C48" s="3582" t="s">
        <v>162</v>
      </c>
      <c r="D48" s="1686">
        <v>0</v>
      </c>
      <c r="E48" s="1686">
        <v>0</v>
      </c>
      <c r="F48" s="1685">
        <f>SUM(D48:E48)</f>
        <v>0</v>
      </c>
      <c r="G48" s="1671"/>
      <c r="H48" s="1693"/>
      <c r="I48" s="1718" t="s">
        <v>246</v>
      </c>
      <c r="J48" s="1719"/>
      <c r="K48" s="1721"/>
      <c r="L48" s="1732">
        <v>0</v>
      </c>
      <c r="M48" s="1678">
        <v>0</v>
      </c>
      <c r="N48" s="1678">
        <v>0</v>
      </c>
      <c r="O48" s="1694">
        <v>0</v>
      </c>
      <c r="P48" s="1730">
        <v>0</v>
      </c>
      <c r="Q48" s="1730">
        <v>0</v>
      </c>
      <c r="R48" s="1731">
        <v>0</v>
      </c>
      <c r="S48" s="1671"/>
      <c r="T48" s="1765">
        <v>0</v>
      </c>
    </row>
    <row r="49" spans="2:24" ht="13.8" x14ac:dyDescent="0.3">
      <c r="B49" s="1747"/>
      <c r="C49" s="3582" t="s">
        <v>163</v>
      </c>
      <c r="D49" s="1686">
        <v>0</v>
      </c>
      <c r="E49" s="1686"/>
      <c r="F49" s="1685">
        <v>0</v>
      </c>
      <c r="G49" s="1671"/>
      <c r="H49" s="1671"/>
      <c r="I49" s="1718" t="s">
        <v>247</v>
      </c>
      <c r="J49" s="1719"/>
      <c r="K49" s="1720"/>
      <c r="L49" s="1732">
        <v>0</v>
      </c>
      <c r="M49" s="1678">
        <v>0</v>
      </c>
      <c r="N49" s="1678">
        <v>0</v>
      </c>
      <c r="O49" s="1694">
        <v>0</v>
      </c>
      <c r="P49" s="1730">
        <v>0</v>
      </c>
      <c r="Q49" s="1730">
        <v>0</v>
      </c>
      <c r="R49" s="1731">
        <v>0</v>
      </c>
      <c r="S49" s="1671"/>
      <c r="T49" s="1765">
        <v>0</v>
      </c>
      <c r="U49" s="1671"/>
      <c r="V49" s="1671"/>
      <c r="W49" s="1671"/>
      <c r="X49" s="1671"/>
    </row>
    <row r="50" spans="2:24" ht="13.8" x14ac:dyDescent="0.3">
      <c r="B50" s="1747"/>
      <c r="C50" s="3582" t="s">
        <v>164</v>
      </c>
      <c r="D50" s="1686">
        <v>0</v>
      </c>
      <c r="E50" s="1686"/>
      <c r="F50" s="1685">
        <v>0</v>
      </c>
      <c r="G50" s="1671"/>
      <c r="H50" s="1671"/>
      <c r="I50" s="1718" t="s">
        <v>248</v>
      </c>
      <c r="J50" s="1719"/>
      <c r="K50" s="1720"/>
      <c r="L50" s="1732">
        <v>0</v>
      </c>
      <c r="M50" s="1678">
        <v>0</v>
      </c>
      <c r="N50" s="1678">
        <v>0</v>
      </c>
      <c r="O50" s="1694">
        <v>0</v>
      </c>
      <c r="P50" s="1730">
        <v>0</v>
      </c>
      <c r="Q50" s="1730">
        <v>0</v>
      </c>
      <c r="R50" s="1731">
        <v>0</v>
      </c>
      <c r="S50" s="1671"/>
      <c r="T50" s="1765">
        <v>0</v>
      </c>
      <c r="U50" s="1671"/>
      <c r="V50" s="1671"/>
      <c r="W50" s="1671"/>
      <c r="X50" s="1671"/>
    </row>
    <row r="51" spans="2:24" ht="14.4" thickBot="1" x14ac:dyDescent="0.35">
      <c r="B51" s="1747"/>
      <c r="C51" s="1677" t="s">
        <v>165</v>
      </c>
      <c r="D51" s="1686">
        <v>0</v>
      </c>
      <c r="E51" s="1686"/>
      <c r="F51" s="1685">
        <v>0</v>
      </c>
      <c r="G51" s="1671"/>
      <c r="H51" s="1671"/>
      <c r="I51" s="1718" t="s">
        <v>249</v>
      </c>
      <c r="J51" s="1719"/>
      <c r="K51" s="1720"/>
      <c r="L51" s="1732">
        <v>0</v>
      </c>
      <c r="M51" s="1678">
        <v>0</v>
      </c>
      <c r="N51" s="1678">
        <v>0</v>
      </c>
      <c r="O51" s="1694">
        <v>0</v>
      </c>
      <c r="P51" s="1730">
        <v>0</v>
      </c>
      <c r="Q51" s="1730">
        <v>0</v>
      </c>
      <c r="R51" s="1731">
        <v>0</v>
      </c>
      <c r="S51" s="1671"/>
      <c r="T51" s="1765">
        <v>0</v>
      </c>
      <c r="U51" s="1671"/>
      <c r="V51" s="1671"/>
      <c r="W51" s="1671"/>
      <c r="X51" s="1671"/>
    </row>
    <row r="52" spans="2:24" ht="14.4" thickBot="1" x14ac:dyDescent="0.35">
      <c r="B52" s="1745"/>
      <c r="C52" s="1703" t="s">
        <v>175</v>
      </c>
      <c r="D52" s="1704">
        <v>0</v>
      </c>
      <c r="E52" s="1704">
        <v>0</v>
      </c>
      <c r="F52" s="1705">
        <v>0</v>
      </c>
      <c r="G52" s="1706" t="s">
        <v>176</v>
      </c>
      <c r="H52" s="1671"/>
      <c r="I52" s="1718" t="s">
        <v>250</v>
      </c>
      <c r="J52" s="1719"/>
      <c r="K52" s="1720"/>
      <c r="L52" s="1732">
        <v>0</v>
      </c>
      <c r="M52" s="1678">
        <v>0</v>
      </c>
      <c r="N52" s="1678">
        <v>0</v>
      </c>
      <c r="O52" s="1694">
        <v>0</v>
      </c>
      <c r="P52" s="1730">
        <v>0</v>
      </c>
      <c r="Q52" s="1730">
        <v>0</v>
      </c>
      <c r="R52" s="1731">
        <v>0</v>
      </c>
      <c r="S52" s="1671"/>
      <c r="T52" s="1765">
        <v>0</v>
      </c>
      <c r="U52" s="1671"/>
      <c r="V52" s="1671"/>
      <c r="W52" s="1671"/>
      <c r="X52" s="1671"/>
    </row>
    <row r="53" spans="2:24" ht="14.4" thickBot="1" x14ac:dyDescent="0.35">
      <c r="B53" s="1745"/>
      <c r="C53" s="1703" t="s">
        <v>177</v>
      </c>
      <c r="D53" s="1704">
        <v>0</v>
      </c>
      <c r="E53" s="1704">
        <v>0</v>
      </c>
      <c r="F53" s="1705">
        <v>0</v>
      </c>
      <c r="G53" s="1671"/>
      <c r="H53" s="1671"/>
      <c r="I53" s="1718" t="s">
        <v>251</v>
      </c>
      <c r="J53" s="1719"/>
      <c r="K53" s="1720"/>
      <c r="L53" s="1732">
        <v>0</v>
      </c>
      <c r="M53" s="1678">
        <v>0</v>
      </c>
      <c r="N53" s="1678">
        <v>0</v>
      </c>
      <c r="O53" s="1694">
        <v>0</v>
      </c>
      <c r="P53" s="1730">
        <v>0</v>
      </c>
      <c r="Q53" s="1730">
        <v>0</v>
      </c>
      <c r="R53" s="1731">
        <v>0</v>
      </c>
      <c r="S53" s="1671"/>
      <c r="T53" s="1765">
        <v>0</v>
      </c>
      <c r="U53" s="1671"/>
      <c r="V53" s="1671"/>
      <c r="W53" s="1671"/>
      <c r="X53" s="1671"/>
    </row>
    <row r="54" spans="2:24" ht="13.8" x14ac:dyDescent="0.3">
      <c r="B54" s="1688"/>
      <c r="C54" s="1672" t="s">
        <v>178</v>
      </c>
      <c r="D54" s="1688">
        <f>D12+D17+D22+D27+D32+D37+D42+D47+D52+D53</f>
        <v>129884.78349999999</v>
      </c>
      <c r="E54" s="3585">
        <f>E12+E17+E22+E27+E32+E37+E42+E47+E52+E53</f>
        <v>131104.4957</v>
      </c>
      <c r="F54" s="3585">
        <f>F12+F17+F22+F27+F32+F37+F42+F47+F52+F53</f>
        <v>260989.27919999999</v>
      </c>
      <c r="G54" s="1671"/>
      <c r="H54" s="1671"/>
      <c r="I54" s="1671"/>
      <c r="J54" s="1671"/>
      <c r="K54" s="1671"/>
      <c r="L54" s="1671"/>
      <c r="M54" s="1671"/>
      <c r="N54" s="1671"/>
      <c r="O54" s="1671"/>
      <c r="P54" s="1753">
        <v>0</v>
      </c>
      <c r="Q54" s="1753">
        <v>0</v>
      </c>
      <c r="R54" s="1753">
        <v>0</v>
      </c>
      <c r="S54" s="1671"/>
      <c r="T54" s="1753">
        <v>0</v>
      </c>
      <c r="U54" s="1671"/>
      <c r="V54" s="1671"/>
      <c r="W54" s="1671"/>
      <c r="X54" s="1671"/>
    </row>
    <row r="55" spans="2:24" ht="13.8" x14ac:dyDescent="0.3">
      <c r="B55" s="1671"/>
      <c r="C55" s="1672"/>
      <c r="D55" s="1688"/>
      <c r="E55" s="1688"/>
      <c r="F55" s="1688"/>
      <c r="G55" s="1671"/>
      <c r="H55" s="1671"/>
      <c r="I55" s="1671"/>
      <c r="J55" s="1671"/>
      <c r="K55" s="1671"/>
      <c r="L55" s="1671"/>
      <c r="M55" s="1671"/>
      <c r="N55" s="1671"/>
      <c r="O55" s="1671"/>
      <c r="P55" s="1671"/>
      <c r="Q55" s="1671"/>
      <c r="R55" s="1671"/>
      <c r="S55" s="1671"/>
      <c r="T55" s="1671"/>
      <c r="U55" s="1671"/>
      <c r="V55" s="1671"/>
      <c r="W55" s="1671"/>
      <c r="X55" s="1671"/>
    </row>
    <row r="56" spans="2:24" ht="13.8" x14ac:dyDescent="0.3">
      <c r="B56" s="1671"/>
      <c r="C56" s="1672" t="s">
        <v>179</v>
      </c>
      <c r="D56" s="1688"/>
      <c r="E56" s="1688"/>
      <c r="F56" s="1688"/>
      <c r="G56" s="1671"/>
      <c r="H56" s="1671"/>
      <c r="I56" s="1671"/>
      <c r="J56" s="1671"/>
      <c r="K56" s="1671"/>
      <c r="L56" s="1671"/>
      <c r="M56" s="1671"/>
      <c r="N56" s="1671"/>
      <c r="O56" s="1671"/>
      <c r="P56" s="1671"/>
      <c r="Q56" s="1671"/>
      <c r="R56" s="1671"/>
      <c r="S56" s="1671"/>
      <c r="T56" s="1671"/>
      <c r="U56" s="1671"/>
      <c r="V56" s="1671"/>
      <c r="W56" s="1671"/>
      <c r="X56" s="1671"/>
    </row>
    <row r="57" spans="2:24" ht="13.8" x14ac:dyDescent="0.3">
      <c r="B57" s="1671"/>
      <c r="C57" s="1672" t="s">
        <v>180</v>
      </c>
      <c r="D57" s="1673">
        <v>0</v>
      </c>
      <c r="E57" s="1673">
        <v>0</v>
      </c>
      <c r="F57" s="1673">
        <v>0</v>
      </c>
      <c r="G57" s="1768">
        <v>0</v>
      </c>
      <c r="H57" s="1769" t="s">
        <v>181</v>
      </c>
      <c r="I57" s="1671"/>
      <c r="J57" s="1671"/>
      <c r="K57" s="1671"/>
      <c r="L57" s="1671"/>
      <c r="M57" s="1671"/>
      <c r="N57" s="1671"/>
      <c r="O57" s="1671"/>
      <c r="P57" s="1671"/>
      <c r="Q57" s="1671"/>
      <c r="R57" s="1671"/>
      <c r="S57" s="1671"/>
      <c r="T57" s="1671"/>
      <c r="U57" s="1671"/>
      <c r="V57" s="1671"/>
      <c r="W57" s="1671"/>
      <c r="X57" s="1671"/>
    </row>
    <row r="58" spans="2:24" ht="14.4" thickBot="1" x14ac:dyDescent="0.35">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row>
    <row r="59" spans="2:24" ht="16.2" thickBot="1" x14ac:dyDescent="0.35">
      <c r="B59" s="1716" t="s">
        <v>182</v>
      </c>
      <c r="C59" s="1717"/>
      <c r="D59" s="4799" t="s">
        <v>183</v>
      </c>
      <c r="E59" s="4797"/>
      <c r="F59" s="4797"/>
      <c r="G59" s="4797"/>
      <c r="H59" s="4797"/>
      <c r="I59" s="1671"/>
      <c r="J59" s="1671"/>
      <c r="K59" s="1735"/>
      <c r="L59" s="1671"/>
      <c r="M59" s="1671"/>
      <c r="N59" s="1671"/>
      <c r="O59" s="1671"/>
      <c r="P59" s="1671"/>
      <c r="Q59" s="1671"/>
      <c r="R59" s="1671"/>
      <c r="S59" s="1671"/>
      <c r="T59" s="1671"/>
      <c r="U59" s="1671"/>
      <c r="V59" s="1671"/>
      <c r="W59" s="1671"/>
      <c r="X59" s="1671"/>
    </row>
    <row r="60" spans="2:24" ht="16.2" thickBot="1" x14ac:dyDescent="0.35">
      <c r="B60" s="4785" t="s">
        <v>184</v>
      </c>
      <c r="C60" s="4786"/>
      <c r="D60" s="4786"/>
      <c r="E60" s="4786"/>
      <c r="F60" s="4786"/>
      <c r="G60" s="4786"/>
      <c r="H60" s="4786"/>
      <c r="I60" s="4786"/>
      <c r="J60" s="4786"/>
      <c r="K60" s="4787"/>
      <c r="L60" s="4785" t="s">
        <v>185</v>
      </c>
      <c r="M60" s="4786"/>
      <c r="N60" s="4786"/>
      <c r="O60" s="4786"/>
      <c r="P60" s="4786"/>
      <c r="Q60" s="4786"/>
      <c r="R60" s="4787"/>
      <c r="S60" s="4785" t="s">
        <v>186</v>
      </c>
      <c r="T60" s="4786"/>
      <c r="U60" s="4787"/>
      <c r="V60" s="4785" t="s">
        <v>132</v>
      </c>
      <c r="W60" s="4786"/>
      <c r="X60" s="4787"/>
    </row>
    <row r="61" spans="2:24" ht="14.4" thickBot="1" x14ac:dyDescent="0.35">
      <c r="B61" s="1679" t="s">
        <v>187</v>
      </c>
      <c r="C61" s="1680" t="s">
        <v>152</v>
      </c>
      <c r="D61" s="1680" t="s">
        <v>153</v>
      </c>
      <c r="E61" s="1680" t="s">
        <v>188</v>
      </c>
      <c r="F61" s="1680" t="s">
        <v>189</v>
      </c>
      <c r="G61" s="1680" t="s">
        <v>190</v>
      </c>
      <c r="H61" s="1680" t="s">
        <v>191</v>
      </c>
      <c r="I61" s="1680" t="s">
        <v>192</v>
      </c>
      <c r="J61" s="1680" t="s">
        <v>193</v>
      </c>
      <c r="K61" s="1681" t="s">
        <v>194</v>
      </c>
      <c r="L61" s="1754" t="s">
        <v>195</v>
      </c>
      <c r="M61" s="1707" t="s">
        <v>196</v>
      </c>
      <c r="N61" s="1707" t="s">
        <v>891</v>
      </c>
      <c r="O61" s="1707" t="s">
        <v>892</v>
      </c>
      <c r="P61" s="1714" t="s">
        <v>893</v>
      </c>
      <c r="Q61" s="1714" t="s">
        <v>894</v>
      </c>
      <c r="R61" s="1714" t="s">
        <v>885</v>
      </c>
      <c r="S61" s="1691" t="s">
        <v>202</v>
      </c>
      <c r="T61" s="1691" t="s">
        <v>203</v>
      </c>
      <c r="U61" s="1692" t="s">
        <v>204</v>
      </c>
      <c r="V61" s="1691" t="s">
        <v>137</v>
      </c>
      <c r="W61" s="1691" t="s">
        <v>12</v>
      </c>
      <c r="X61" s="1692" t="s">
        <v>138</v>
      </c>
    </row>
    <row r="62" spans="2:24" ht="13.8" x14ac:dyDescent="0.3">
      <c r="B62" s="1678"/>
      <c r="C62" s="1675" t="s">
        <v>409</v>
      </c>
      <c r="D62" s="1678"/>
      <c r="E62" s="1678" t="s">
        <v>206</v>
      </c>
      <c r="F62" s="1678" t="s">
        <v>211</v>
      </c>
      <c r="G62" s="1684"/>
      <c r="H62" s="1767"/>
      <c r="I62" s="1695">
        <v>0</v>
      </c>
      <c r="J62" s="1678"/>
      <c r="K62" s="1678"/>
      <c r="L62" s="1708" t="e">
        <v>#N/A</v>
      </c>
      <c r="M62" s="1708" t="e">
        <v>#N/A</v>
      </c>
      <c r="N62" s="1700" t="e">
        <v>#DIV/0!</v>
      </c>
      <c r="O62" s="1700" t="e">
        <v>#DIV/0!</v>
      </c>
      <c r="P62" s="1700" t="e">
        <v>#N/A</v>
      </c>
      <c r="Q62" s="1700" t="e">
        <v>#N/A</v>
      </c>
      <c r="R62" s="1700" t="e">
        <v>#N/A</v>
      </c>
      <c r="S62" s="1697">
        <v>0</v>
      </c>
      <c r="T62" s="1697">
        <v>0</v>
      </c>
      <c r="U62" s="1697">
        <v>0</v>
      </c>
      <c r="V62" s="1770" t="e">
        <v>#DIV/0!</v>
      </c>
      <c r="W62" s="1770" t="e">
        <v>#DIV/0!</v>
      </c>
      <c r="X62" s="1770" t="e">
        <v>#DIV/0!</v>
      </c>
    </row>
    <row r="63" spans="2:24" ht="13.8" x14ac:dyDescent="0.3">
      <c r="B63" s="1675"/>
      <c r="C63" s="1675" t="s">
        <v>410</v>
      </c>
      <c r="D63" s="1675"/>
      <c r="E63" s="1675" t="s">
        <v>206</v>
      </c>
      <c r="F63" s="1678" t="s">
        <v>211</v>
      </c>
      <c r="G63" s="1684"/>
      <c r="H63" s="1767"/>
      <c r="I63" s="1695">
        <v>0</v>
      </c>
      <c r="J63" s="1678"/>
      <c r="K63" s="1678"/>
      <c r="L63" s="1708" t="e">
        <v>#N/A</v>
      </c>
      <c r="M63" s="1708" t="e">
        <v>#N/A</v>
      </c>
      <c r="N63" s="1700" t="e">
        <v>#DIV/0!</v>
      </c>
      <c r="O63" s="1700" t="e">
        <v>#DIV/0!</v>
      </c>
      <c r="P63" s="1700" t="e">
        <v>#N/A</v>
      </c>
      <c r="Q63" s="1700" t="e">
        <v>#N/A</v>
      </c>
      <c r="R63" s="1700" t="e">
        <v>#N/A</v>
      </c>
      <c r="S63" s="1697">
        <v>0</v>
      </c>
      <c r="T63" s="1697">
        <v>0</v>
      </c>
      <c r="U63" s="1697">
        <v>0</v>
      </c>
      <c r="V63" s="1770" t="e">
        <v>#DIV/0!</v>
      </c>
      <c r="W63" s="1770" t="e">
        <v>#DIV/0!</v>
      </c>
      <c r="X63" s="1770" t="e">
        <v>#DIV/0!</v>
      </c>
    </row>
    <row r="64" spans="2:24" ht="13.8" x14ac:dyDescent="0.3">
      <c r="B64" s="1675"/>
      <c r="C64" s="1675" t="s">
        <v>411</v>
      </c>
      <c r="D64" s="1675">
        <v>0</v>
      </c>
      <c r="E64" s="1675" t="s">
        <v>206</v>
      </c>
      <c r="F64" s="1675" t="s">
        <v>211</v>
      </c>
      <c r="G64" s="1684"/>
      <c r="H64" s="1684"/>
      <c r="I64" s="1695">
        <v>0</v>
      </c>
      <c r="J64" s="1678"/>
      <c r="K64" s="1678"/>
      <c r="L64" s="1708" t="e">
        <v>#N/A</v>
      </c>
      <c r="M64" s="1708" t="e">
        <v>#N/A</v>
      </c>
      <c r="N64" s="1700" t="e">
        <v>#DIV/0!</v>
      </c>
      <c r="O64" s="1700" t="e">
        <v>#DIV/0!</v>
      </c>
      <c r="P64" s="1700" t="e">
        <v>#N/A</v>
      </c>
      <c r="Q64" s="1700" t="e">
        <v>#N/A</v>
      </c>
      <c r="R64" s="1700" t="e">
        <v>#N/A</v>
      </c>
      <c r="S64" s="1697">
        <v>0</v>
      </c>
      <c r="T64" s="1697">
        <v>0</v>
      </c>
      <c r="U64" s="1697">
        <v>0</v>
      </c>
      <c r="V64" s="1770" t="e">
        <v>#DIV/0!</v>
      </c>
      <c r="W64" s="1770" t="e">
        <v>#DIV/0!</v>
      </c>
      <c r="X64" s="1770" t="e">
        <v>#DIV/0!</v>
      </c>
    </row>
    <row r="65" spans="2:24" ht="13.8" x14ac:dyDescent="0.3">
      <c r="B65" s="1675"/>
      <c r="C65" s="1675" t="s">
        <v>213</v>
      </c>
      <c r="D65" s="1675">
        <v>0</v>
      </c>
      <c r="E65" s="1675" t="s">
        <v>206</v>
      </c>
      <c r="F65" s="1675" t="s">
        <v>211</v>
      </c>
      <c r="G65" s="1684"/>
      <c r="H65" s="1684"/>
      <c r="I65" s="1695">
        <v>0</v>
      </c>
      <c r="J65" s="1678"/>
      <c r="K65" s="1678"/>
      <c r="L65" s="1708" t="e">
        <v>#N/A</v>
      </c>
      <c r="M65" s="1708" t="e">
        <v>#N/A</v>
      </c>
      <c r="N65" s="1700" t="e">
        <v>#DIV/0!</v>
      </c>
      <c r="O65" s="1700" t="e">
        <v>#DIV/0!</v>
      </c>
      <c r="P65" s="1700" t="e">
        <v>#N/A</v>
      </c>
      <c r="Q65" s="1700" t="e">
        <v>#N/A</v>
      </c>
      <c r="R65" s="1700" t="e">
        <v>#N/A</v>
      </c>
      <c r="S65" s="1697">
        <v>0</v>
      </c>
      <c r="T65" s="1697">
        <v>0</v>
      </c>
      <c r="U65" s="1697">
        <v>0</v>
      </c>
      <c r="V65" s="1770" t="e">
        <v>#DIV/0!</v>
      </c>
      <c r="W65" s="1770" t="e">
        <v>#DIV/0!</v>
      </c>
      <c r="X65" s="1770" t="e">
        <v>#DIV/0!</v>
      </c>
    </row>
    <row r="66" spans="2:24" ht="13.8" x14ac:dyDescent="0.3">
      <c r="B66" s="1675"/>
      <c r="C66" s="1675" t="s">
        <v>214</v>
      </c>
      <c r="D66" s="1675">
        <v>0</v>
      </c>
      <c r="E66" s="1675" t="s">
        <v>206</v>
      </c>
      <c r="F66" s="1675" t="s">
        <v>211</v>
      </c>
      <c r="G66" s="1684"/>
      <c r="H66" s="1684"/>
      <c r="I66" s="1695">
        <v>0</v>
      </c>
      <c r="J66" s="1678"/>
      <c r="K66" s="1678"/>
      <c r="L66" s="1708" t="e">
        <v>#N/A</v>
      </c>
      <c r="M66" s="1708" t="e">
        <v>#N/A</v>
      </c>
      <c r="N66" s="1700" t="e">
        <v>#DIV/0!</v>
      </c>
      <c r="O66" s="1700" t="e">
        <v>#DIV/0!</v>
      </c>
      <c r="P66" s="1700" t="e">
        <v>#N/A</v>
      </c>
      <c r="Q66" s="1749" t="e">
        <v>#N/A</v>
      </c>
      <c r="R66" s="1700" t="e">
        <v>#N/A</v>
      </c>
      <c r="S66" s="1697">
        <v>0</v>
      </c>
      <c r="T66" s="1697">
        <v>0</v>
      </c>
      <c r="U66" s="1697">
        <v>0</v>
      </c>
      <c r="V66" s="1770" t="e">
        <v>#DIV/0!</v>
      </c>
      <c r="W66" s="1770" t="e">
        <v>#DIV/0!</v>
      </c>
      <c r="X66" s="1770" t="e">
        <v>#DIV/0!</v>
      </c>
    </row>
    <row r="67" spans="2:24" ht="13.8" x14ac:dyDescent="0.3">
      <c r="B67" s="1675"/>
      <c r="C67" s="1675" t="s">
        <v>215</v>
      </c>
      <c r="D67" s="1675">
        <v>0</v>
      </c>
      <c r="E67" s="1675" t="s">
        <v>206</v>
      </c>
      <c r="F67" s="1675" t="s">
        <v>211</v>
      </c>
      <c r="G67" s="1684"/>
      <c r="H67" s="1684"/>
      <c r="I67" s="1695">
        <v>0</v>
      </c>
      <c r="J67" s="1678"/>
      <c r="K67" s="1678"/>
      <c r="L67" s="1708" t="e">
        <v>#N/A</v>
      </c>
      <c r="M67" s="1708" t="e">
        <v>#N/A</v>
      </c>
      <c r="N67" s="1700" t="e">
        <v>#DIV/0!</v>
      </c>
      <c r="O67" s="1700" t="e">
        <v>#DIV/0!</v>
      </c>
      <c r="P67" s="1700" t="e">
        <v>#N/A</v>
      </c>
      <c r="Q67" s="1749" t="e">
        <v>#N/A</v>
      </c>
      <c r="R67" s="1700" t="e">
        <v>#N/A</v>
      </c>
      <c r="S67" s="1697">
        <v>0</v>
      </c>
      <c r="T67" s="1697">
        <v>0</v>
      </c>
      <c r="U67" s="1697">
        <v>0</v>
      </c>
      <c r="V67" s="1770" t="e">
        <v>#DIV/0!</v>
      </c>
      <c r="W67" s="1770" t="e">
        <v>#DIV/0!</v>
      </c>
      <c r="X67" s="1770" t="e">
        <v>#DIV/0!</v>
      </c>
    </row>
    <row r="68" spans="2:24" ht="13.8" x14ac:dyDescent="0.3">
      <c r="B68" s="1675"/>
      <c r="C68" s="1675" t="s">
        <v>216</v>
      </c>
      <c r="D68" s="1675">
        <v>0</v>
      </c>
      <c r="E68" s="1675" t="s">
        <v>206</v>
      </c>
      <c r="F68" s="1675" t="s">
        <v>211</v>
      </c>
      <c r="G68" s="1684"/>
      <c r="H68" s="1684"/>
      <c r="I68" s="1695">
        <v>0</v>
      </c>
      <c r="J68" s="1678"/>
      <c r="K68" s="1678"/>
      <c r="L68" s="1708" t="e">
        <v>#N/A</v>
      </c>
      <c r="M68" s="1708" t="e">
        <v>#N/A</v>
      </c>
      <c r="N68" s="1700" t="e">
        <v>#DIV/0!</v>
      </c>
      <c r="O68" s="1700" t="e">
        <v>#DIV/0!</v>
      </c>
      <c r="P68" s="1700" t="e">
        <v>#N/A</v>
      </c>
      <c r="Q68" s="1749" t="e">
        <v>#N/A</v>
      </c>
      <c r="R68" s="1700" t="e">
        <v>#N/A</v>
      </c>
      <c r="S68" s="1697">
        <v>0</v>
      </c>
      <c r="T68" s="1697">
        <v>0</v>
      </c>
      <c r="U68" s="1697">
        <v>0</v>
      </c>
      <c r="V68" s="1770" t="e">
        <v>#DIV/0!</v>
      </c>
      <c r="W68" s="1770" t="e">
        <v>#DIV/0!</v>
      </c>
      <c r="X68" s="1770" t="e">
        <v>#DIV/0!</v>
      </c>
    </row>
    <row r="69" spans="2:24" ht="13.8" x14ac:dyDescent="0.3">
      <c r="B69" s="1675"/>
      <c r="C69" s="1675" t="s">
        <v>217</v>
      </c>
      <c r="D69" s="1675">
        <v>0</v>
      </c>
      <c r="E69" s="1675" t="s">
        <v>206</v>
      </c>
      <c r="F69" s="1675" t="s">
        <v>211</v>
      </c>
      <c r="G69" s="1684"/>
      <c r="H69" s="1684"/>
      <c r="I69" s="1695">
        <v>0</v>
      </c>
      <c r="J69" s="1678"/>
      <c r="K69" s="1678"/>
      <c r="L69" s="1708" t="e">
        <v>#N/A</v>
      </c>
      <c r="M69" s="1708" t="e">
        <v>#N/A</v>
      </c>
      <c r="N69" s="1700" t="e">
        <v>#DIV/0!</v>
      </c>
      <c r="O69" s="1700" t="e">
        <v>#DIV/0!</v>
      </c>
      <c r="P69" s="1700" t="e">
        <v>#N/A</v>
      </c>
      <c r="Q69" s="1749" t="e">
        <v>#N/A</v>
      </c>
      <c r="R69" s="1700" t="e">
        <v>#N/A</v>
      </c>
      <c r="S69" s="1697">
        <v>0</v>
      </c>
      <c r="T69" s="1697">
        <v>0</v>
      </c>
      <c r="U69" s="1697">
        <v>0</v>
      </c>
      <c r="V69" s="1770" t="e">
        <v>#DIV/0!</v>
      </c>
      <c r="W69" s="1770" t="e">
        <v>#DIV/0!</v>
      </c>
      <c r="X69" s="1770" t="e">
        <v>#DIV/0!</v>
      </c>
    </row>
    <row r="70" spans="2:24" ht="13.8" x14ac:dyDescent="0.3">
      <c r="B70" s="1675"/>
      <c r="C70" s="1675" t="s">
        <v>218</v>
      </c>
      <c r="D70" s="1675">
        <v>0</v>
      </c>
      <c r="E70" s="1675" t="s">
        <v>206</v>
      </c>
      <c r="F70" s="1675" t="s">
        <v>211</v>
      </c>
      <c r="G70" s="1684"/>
      <c r="H70" s="1684"/>
      <c r="I70" s="1695">
        <v>0</v>
      </c>
      <c r="J70" s="1678"/>
      <c r="K70" s="1678"/>
      <c r="L70" s="1708" t="e">
        <v>#N/A</v>
      </c>
      <c r="M70" s="1708" t="e">
        <v>#N/A</v>
      </c>
      <c r="N70" s="1700" t="e">
        <v>#DIV/0!</v>
      </c>
      <c r="O70" s="1700" t="e">
        <v>#DIV/0!</v>
      </c>
      <c r="P70" s="1700" t="e">
        <v>#N/A</v>
      </c>
      <c r="Q70" s="1749" t="e">
        <v>#N/A</v>
      </c>
      <c r="R70" s="1700" t="e">
        <v>#N/A</v>
      </c>
      <c r="S70" s="1697">
        <v>0</v>
      </c>
      <c r="T70" s="1697">
        <v>0</v>
      </c>
      <c r="U70" s="1697">
        <v>0</v>
      </c>
      <c r="V70" s="1770" t="e">
        <v>#DIV/0!</v>
      </c>
      <c r="W70" s="1770" t="e">
        <v>#DIV/0!</v>
      </c>
      <c r="X70" s="1770" t="e">
        <v>#DIV/0!</v>
      </c>
    </row>
    <row r="71" spans="2:24" ht="13.8" x14ac:dyDescent="0.3">
      <c r="B71" s="1675"/>
      <c r="C71" s="1675" t="s">
        <v>219</v>
      </c>
      <c r="D71" s="1675">
        <v>0</v>
      </c>
      <c r="E71" s="1675" t="s">
        <v>206</v>
      </c>
      <c r="F71" s="1675" t="s">
        <v>211</v>
      </c>
      <c r="G71" s="1684"/>
      <c r="H71" s="1684"/>
      <c r="I71" s="1695">
        <v>0</v>
      </c>
      <c r="J71" s="1678"/>
      <c r="K71" s="1678"/>
      <c r="L71" s="1708" t="e">
        <v>#N/A</v>
      </c>
      <c r="M71" s="1708" t="e">
        <v>#N/A</v>
      </c>
      <c r="N71" s="1700" t="e">
        <v>#DIV/0!</v>
      </c>
      <c r="O71" s="1700" t="e">
        <v>#DIV/0!</v>
      </c>
      <c r="P71" s="1700" t="e">
        <v>#N/A</v>
      </c>
      <c r="Q71" s="1749" t="e">
        <v>#N/A</v>
      </c>
      <c r="R71" s="1700" t="e">
        <v>#N/A</v>
      </c>
      <c r="S71" s="1697">
        <v>0</v>
      </c>
      <c r="T71" s="1697">
        <v>0</v>
      </c>
      <c r="U71" s="1697">
        <v>0</v>
      </c>
      <c r="V71" s="1770" t="e">
        <v>#DIV/0!</v>
      </c>
      <c r="W71" s="1770" t="e">
        <v>#DIV/0!</v>
      </c>
      <c r="X71" s="1770" t="e">
        <v>#DIV/0!</v>
      </c>
    </row>
    <row r="72" spans="2:24" ht="13.8" x14ac:dyDescent="0.3">
      <c r="B72" s="1675"/>
      <c r="C72" s="1675" t="s">
        <v>220</v>
      </c>
      <c r="D72" s="1675">
        <v>0</v>
      </c>
      <c r="E72" s="1675" t="s">
        <v>206</v>
      </c>
      <c r="F72" s="1675" t="s">
        <v>211</v>
      </c>
      <c r="G72" s="1684"/>
      <c r="H72" s="1684"/>
      <c r="I72" s="1695">
        <v>0</v>
      </c>
      <c r="J72" s="1678"/>
      <c r="K72" s="1678"/>
      <c r="L72" s="1708" t="e">
        <v>#N/A</v>
      </c>
      <c r="M72" s="1708" t="e">
        <v>#N/A</v>
      </c>
      <c r="N72" s="1700" t="e">
        <v>#DIV/0!</v>
      </c>
      <c r="O72" s="1700" t="e">
        <v>#DIV/0!</v>
      </c>
      <c r="P72" s="1700" t="e">
        <v>#N/A</v>
      </c>
      <c r="Q72" s="1749" t="e">
        <v>#N/A</v>
      </c>
      <c r="R72" s="1700" t="e">
        <v>#N/A</v>
      </c>
      <c r="S72" s="1697">
        <v>0</v>
      </c>
      <c r="T72" s="1697">
        <v>0</v>
      </c>
      <c r="U72" s="1697">
        <v>0</v>
      </c>
      <c r="V72" s="1770" t="e">
        <v>#DIV/0!</v>
      </c>
      <c r="W72" s="1770" t="e">
        <v>#DIV/0!</v>
      </c>
      <c r="X72" s="1770" t="e">
        <v>#DIV/0!</v>
      </c>
    </row>
    <row r="73" spans="2:24" ht="13.8" x14ac:dyDescent="0.3">
      <c r="B73" s="1675"/>
      <c r="C73" s="1675" t="s">
        <v>221</v>
      </c>
      <c r="D73" s="1675">
        <v>0</v>
      </c>
      <c r="E73" s="1675" t="s">
        <v>206</v>
      </c>
      <c r="F73" s="1675" t="s">
        <v>211</v>
      </c>
      <c r="G73" s="1684"/>
      <c r="H73" s="1684"/>
      <c r="I73" s="1695">
        <v>0</v>
      </c>
      <c r="J73" s="1678"/>
      <c r="K73" s="1678"/>
      <c r="L73" s="1708" t="e">
        <v>#N/A</v>
      </c>
      <c r="M73" s="1708" t="e">
        <v>#N/A</v>
      </c>
      <c r="N73" s="1700" t="e">
        <v>#DIV/0!</v>
      </c>
      <c r="O73" s="1700" t="e">
        <v>#DIV/0!</v>
      </c>
      <c r="P73" s="1700" t="e">
        <v>#N/A</v>
      </c>
      <c r="Q73" s="1749" t="e">
        <v>#N/A</v>
      </c>
      <c r="R73" s="1700" t="e">
        <v>#N/A</v>
      </c>
      <c r="S73" s="1697">
        <v>0</v>
      </c>
      <c r="T73" s="1697">
        <v>0</v>
      </c>
      <c r="U73" s="1697">
        <v>0</v>
      </c>
      <c r="V73" s="1770" t="e">
        <v>#DIV/0!</v>
      </c>
      <c r="W73" s="1770" t="e">
        <v>#DIV/0!</v>
      </c>
      <c r="X73" s="1770" t="e">
        <v>#DIV/0!</v>
      </c>
    </row>
    <row r="74" spans="2:24" ht="13.8" x14ac:dyDescent="0.3">
      <c r="B74" s="1675"/>
      <c r="C74" s="1675" t="s">
        <v>222</v>
      </c>
      <c r="D74" s="1675">
        <v>0</v>
      </c>
      <c r="E74" s="1675" t="s">
        <v>206</v>
      </c>
      <c r="F74" s="1675" t="s">
        <v>211</v>
      </c>
      <c r="G74" s="1684"/>
      <c r="H74" s="1684"/>
      <c r="I74" s="1695">
        <v>0</v>
      </c>
      <c r="J74" s="1678"/>
      <c r="K74" s="1678"/>
      <c r="L74" s="1708" t="e">
        <v>#N/A</v>
      </c>
      <c r="M74" s="1708" t="e">
        <v>#N/A</v>
      </c>
      <c r="N74" s="1700" t="e">
        <v>#DIV/0!</v>
      </c>
      <c r="O74" s="1700" t="e">
        <v>#DIV/0!</v>
      </c>
      <c r="P74" s="1700" t="e">
        <v>#N/A</v>
      </c>
      <c r="Q74" s="1749" t="e">
        <v>#N/A</v>
      </c>
      <c r="R74" s="1700" t="e">
        <v>#N/A</v>
      </c>
      <c r="S74" s="1697">
        <v>0</v>
      </c>
      <c r="T74" s="1697">
        <v>0</v>
      </c>
      <c r="U74" s="1697">
        <v>0</v>
      </c>
      <c r="V74" s="1770" t="e">
        <v>#DIV/0!</v>
      </c>
      <c r="W74" s="1770" t="e">
        <v>#DIV/0!</v>
      </c>
      <c r="X74" s="1770" t="e">
        <v>#DIV/0!</v>
      </c>
    </row>
    <row r="75" spans="2:24" ht="13.8" x14ac:dyDescent="0.3">
      <c r="B75" s="1675"/>
      <c r="C75" s="1675" t="s">
        <v>223</v>
      </c>
      <c r="D75" s="1675">
        <v>0</v>
      </c>
      <c r="E75" s="1675" t="s">
        <v>206</v>
      </c>
      <c r="F75" s="1675" t="s">
        <v>211</v>
      </c>
      <c r="G75" s="1684"/>
      <c r="H75" s="1684"/>
      <c r="I75" s="1695">
        <v>0</v>
      </c>
      <c r="J75" s="1678"/>
      <c r="K75" s="1678"/>
      <c r="L75" s="1708" t="e">
        <v>#N/A</v>
      </c>
      <c r="M75" s="1708" t="e">
        <v>#N/A</v>
      </c>
      <c r="N75" s="1700" t="e">
        <v>#DIV/0!</v>
      </c>
      <c r="O75" s="1700" t="e">
        <v>#DIV/0!</v>
      </c>
      <c r="P75" s="1700" t="e">
        <v>#N/A</v>
      </c>
      <c r="Q75" s="1749" t="e">
        <v>#N/A</v>
      </c>
      <c r="R75" s="1700" t="e">
        <v>#N/A</v>
      </c>
      <c r="S75" s="1697">
        <v>0</v>
      </c>
      <c r="T75" s="1697">
        <v>0</v>
      </c>
      <c r="U75" s="1697">
        <v>0</v>
      </c>
      <c r="V75" s="1770" t="e">
        <v>#DIV/0!</v>
      </c>
      <c r="W75" s="1770" t="e">
        <v>#DIV/0!</v>
      </c>
      <c r="X75" s="1770" t="e">
        <v>#DIV/0!</v>
      </c>
    </row>
    <row r="76" spans="2:24" ht="13.8" x14ac:dyDescent="0.3">
      <c r="B76" s="1675"/>
      <c r="C76" s="1675" t="s">
        <v>224</v>
      </c>
      <c r="D76" s="1675">
        <v>0</v>
      </c>
      <c r="E76" s="1675" t="s">
        <v>206</v>
      </c>
      <c r="F76" s="1675" t="s">
        <v>211</v>
      </c>
      <c r="G76" s="1684"/>
      <c r="H76" s="1684"/>
      <c r="I76" s="1695">
        <v>0</v>
      </c>
      <c r="J76" s="1678"/>
      <c r="K76" s="1678"/>
      <c r="L76" s="1708" t="e">
        <v>#N/A</v>
      </c>
      <c r="M76" s="1708" t="e">
        <v>#N/A</v>
      </c>
      <c r="N76" s="1700" t="e">
        <v>#DIV/0!</v>
      </c>
      <c r="O76" s="1700" t="e">
        <v>#DIV/0!</v>
      </c>
      <c r="P76" s="1700" t="e">
        <v>#N/A</v>
      </c>
      <c r="Q76" s="1749" t="e">
        <v>#N/A</v>
      </c>
      <c r="R76" s="1700" t="e">
        <v>#N/A</v>
      </c>
      <c r="S76" s="1697">
        <v>0</v>
      </c>
      <c r="T76" s="1697">
        <v>0</v>
      </c>
      <c r="U76" s="1697">
        <v>0</v>
      </c>
      <c r="V76" s="1770" t="e">
        <v>#DIV/0!</v>
      </c>
      <c r="W76" s="1770" t="e">
        <v>#DIV/0!</v>
      </c>
      <c r="X76" s="1770" t="e">
        <v>#DIV/0!</v>
      </c>
    </row>
    <row r="77" spans="2:24" ht="13.8" x14ac:dyDescent="0.3">
      <c r="B77" s="1675"/>
      <c r="C77" s="1675" t="s">
        <v>225</v>
      </c>
      <c r="D77" s="1675">
        <v>0</v>
      </c>
      <c r="E77" s="1675" t="s">
        <v>206</v>
      </c>
      <c r="F77" s="1675" t="s">
        <v>211</v>
      </c>
      <c r="G77" s="1684"/>
      <c r="H77" s="1684"/>
      <c r="I77" s="1695">
        <v>0</v>
      </c>
      <c r="J77" s="1678"/>
      <c r="K77" s="1678"/>
      <c r="L77" s="1708" t="e">
        <v>#N/A</v>
      </c>
      <c r="M77" s="1708" t="e">
        <v>#N/A</v>
      </c>
      <c r="N77" s="1700" t="e">
        <v>#DIV/0!</v>
      </c>
      <c r="O77" s="1700" t="e">
        <v>#DIV/0!</v>
      </c>
      <c r="P77" s="1700" t="e">
        <v>#N/A</v>
      </c>
      <c r="Q77" s="1749" t="e">
        <v>#N/A</v>
      </c>
      <c r="R77" s="1700" t="e">
        <v>#N/A</v>
      </c>
      <c r="S77" s="1697">
        <v>0</v>
      </c>
      <c r="T77" s="1697">
        <v>0</v>
      </c>
      <c r="U77" s="1697">
        <v>0</v>
      </c>
      <c r="V77" s="1770" t="e">
        <v>#DIV/0!</v>
      </c>
      <c r="W77" s="1770" t="e">
        <v>#DIV/0!</v>
      </c>
      <c r="X77" s="1770" t="e">
        <v>#DIV/0!</v>
      </c>
    </row>
    <row r="78" spans="2:24" ht="13.8" x14ac:dyDescent="0.3">
      <c r="B78" s="1675"/>
      <c r="C78" s="1675" t="s">
        <v>226</v>
      </c>
      <c r="D78" s="1675">
        <v>0</v>
      </c>
      <c r="E78" s="1675" t="s">
        <v>206</v>
      </c>
      <c r="F78" s="1675" t="s">
        <v>211</v>
      </c>
      <c r="G78" s="1684"/>
      <c r="H78" s="1684"/>
      <c r="I78" s="1695">
        <v>0</v>
      </c>
      <c r="J78" s="1678"/>
      <c r="K78" s="1678"/>
      <c r="L78" s="1708" t="e">
        <v>#N/A</v>
      </c>
      <c r="M78" s="1708" t="e">
        <v>#N/A</v>
      </c>
      <c r="N78" s="1749" t="e">
        <v>#DIV/0!</v>
      </c>
      <c r="O78" s="1749" t="e">
        <v>#DIV/0!</v>
      </c>
      <c r="P78" s="1700" t="e">
        <v>#N/A</v>
      </c>
      <c r="Q78" s="1749" t="e">
        <v>#N/A</v>
      </c>
      <c r="R78" s="1749" t="e">
        <v>#N/A</v>
      </c>
      <c r="S78" s="1697">
        <v>0</v>
      </c>
      <c r="T78" s="1697">
        <v>0</v>
      </c>
      <c r="U78" s="1697">
        <v>0</v>
      </c>
      <c r="V78" s="1770" t="e">
        <v>#DIV/0!</v>
      </c>
      <c r="W78" s="1770" t="e">
        <v>#DIV/0!</v>
      </c>
      <c r="X78" s="1770" t="e">
        <v>#DIV/0!</v>
      </c>
    </row>
    <row r="79" spans="2:24" ht="13.8" x14ac:dyDescent="0.3">
      <c r="B79" s="1675"/>
      <c r="C79" s="1675" t="s">
        <v>227</v>
      </c>
      <c r="D79" s="1675">
        <v>0</v>
      </c>
      <c r="E79" s="1675" t="s">
        <v>206</v>
      </c>
      <c r="F79" s="1675" t="s">
        <v>211</v>
      </c>
      <c r="G79" s="1684"/>
      <c r="H79" s="1684"/>
      <c r="I79" s="1695">
        <v>0</v>
      </c>
      <c r="J79" s="1678"/>
      <c r="K79" s="1678"/>
      <c r="L79" s="1708" t="e">
        <v>#N/A</v>
      </c>
      <c r="M79" s="1708" t="e">
        <v>#N/A</v>
      </c>
      <c r="N79" s="1749" t="e">
        <v>#DIV/0!</v>
      </c>
      <c r="O79" s="1749" t="e">
        <v>#DIV/0!</v>
      </c>
      <c r="P79" s="1700" t="e">
        <v>#N/A</v>
      </c>
      <c r="Q79" s="1749" t="e">
        <v>#N/A</v>
      </c>
      <c r="R79" s="1749" t="e">
        <v>#N/A</v>
      </c>
      <c r="S79" s="1697">
        <v>0</v>
      </c>
      <c r="T79" s="1697">
        <v>0</v>
      </c>
      <c r="U79" s="1697">
        <v>0</v>
      </c>
      <c r="V79" s="1770" t="e">
        <v>#DIV/0!</v>
      </c>
      <c r="W79" s="1770" t="e">
        <v>#DIV/0!</v>
      </c>
      <c r="X79" s="1770" t="e">
        <v>#DIV/0!</v>
      </c>
    </row>
    <row r="80" spans="2:24" ht="13.8" x14ac:dyDescent="0.3">
      <c r="B80" s="1675"/>
      <c r="C80" s="1675" t="s">
        <v>228</v>
      </c>
      <c r="D80" s="1675">
        <v>0</v>
      </c>
      <c r="E80" s="1675" t="s">
        <v>206</v>
      </c>
      <c r="F80" s="1675" t="s">
        <v>211</v>
      </c>
      <c r="G80" s="1684"/>
      <c r="H80" s="1684"/>
      <c r="I80" s="1695">
        <v>0</v>
      </c>
      <c r="J80" s="1678"/>
      <c r="K80" s="1678"/>
      <c r="L80" s="1708" t="e">
        <v>#N/A</v>
      </c>
      <c r="M80" s="1708" t="e">
        <v>#N/A</v>
      </c>
      <c r="N80" s="1749" t="e">
        <v>#DIV/0!</v>
      </c>
      <c r="O80" s="1749" t="e">
        <v>#DIV/0!</v>
      </c>
      <c r="P80" s="1700" t="e">
        <v>#N/A</v>
      </c>
      <c r="Q80" s="1749" t="e">
        <v>#N/A</v>
      </c>
      <c r="R80" s="1749" t="e">
        <v>#N/A</v>
      </c>
      <c r="S80" s="1697">
        <v>0</v>
      </c>
      <c r="T80" s="1697">
        <v>0</v>
      </c>
      <c r="U80" s="1697">
        <v>0</v>
      </c>
      <c r="V80" s="1770" t="e">
        <v>#DIV/0!</v>
      </c>
      <c r="W80" s="1770" t="e">
        <v>#DIV/0!</v>
      </c>
      <c r="X80" s="1770" t="e">
        <v>#DIV/0!</v>
      </c>
    </row>
    <row r="81" spans="2:21" ht="13.8" x14ac:dyDescent="0.3">
      <c r="B81" s="1675"/>
      <c r="C81" s="1675" t="s">
        <v>229</v>
      </c>
      <c r="D81" s="1675">
        <v>0</v>
      </c>
      <c r="E81" s="1675" t="s">
        <v>206</v>
      </c>
      <c r="F81" s="1675" t="s">
        <v>211</v>
      </c>
      <c r="G81" s="1684"/>
      <c r="H81" s="1684"/>
      <c r="I81" s="1695">
        <v>0</v>
      </c>
      <c r="J81" s="1678"/>
      <c r="K81" s="1678"/>
      <c r="L81" s="1708" t="e">
        <v>#N/A</v>
      </c>
      <c r="M81" s="1708" t="e">
        <v>#N/A</v>
      </c>
      <c r="N81" s="1749" t="e">
        <v>#DIV/0!</v>
      </c>
      <c r="O81" s="1749" t="e">
        <v>#DIV/0!</v>
      </c>
      <c r="P81" s="1700" t="e">
        <v>#N/A</v>
      </c>
      <c r="Q81" s="1749" t="e">
        <v>#N/A</v>
      </c>
      <c r="R81" s="1749" t="e">
        <v>#N/A</v>
      </c>
      <c r="S81" s="1697">
        <v>0</v>
      </c>
      <c r="T81" s="1697">
        <v>0</v>
      </c>
      <c r="U81" s="1697">
        <v>0</v>
      </c>
    </row>
    <row r="82" spans="2:21" ht="13.8" x14ac:dyDescent="0.3">
      <c r="B82" s="1675"/>
      <c r="C82" s="1675" t="s">
        <v>230</v>
      </c>
      <c r="D82" s="1733">
        <v>0</v>
      </c>
      <c r="E82" s="1675" t="s">
        <v>206</v>
      </c>
      <c r="F82" s="1675" t="s">
        <v>211</v>
      </c>
      <c r="G82" s="1684"/>
      <c r="H82" s="1684"/>
      <c r="I82" s="1695">
        <v>0</v>
      </c>
      <c r="J82" s="1678"/>
      <c r="K82" s="1678"/>
      <c r="L82" s="1708" t="e">
        <v>#N/A</v>
      </c>
      <c r="M82" s="1708" t="e">
        <v>#N/A</v>
      </c>
      <c r="N82" s="1749" t="e">
        <v>#DIV/0!</v>
      </c>
      <c r="O82" s="1749" t="e">
        <v>#DIV/0!</v>
      </c>
      <c r="P82" s="1700" t="e">
        <v>#N/A</v>
      </c>
      <c r="Q82" s="1749" t="e">
        <v>#N/A</v>
      </c>
      <c r="R82" s="1749" t="e">
        <v>#N/A</v>
      </c>
      <c r="S82" s="1697">
        <v>0</v>
      </c>
      <c r="T82" s="1697">
        <v>0</v>
      </c>
      <c r="U82" s="1697">
        <v>0</v>
      </c>
    </row>
    <row r="83" spans="2:21" ht="13.8" x14ac:dyDescent="0.3">
      <c r="B83" s="1675"/>
      <c r="C83" s="1675" t="s">
        <v>231</v>
      </c>
      <c r="D83" s="1733">
        <v>0</v>
      </c>
      <c r="E83" s="1675" t="s">
        <v>206</v>
      </c>
      <c r="F83" s="1675" t="s">
        <v>211</v>
      </c>
      <c r="G83" s="1684"/>
      <c r="H83" s="1684"/>
      <c r="I83" s="1695">
        <v>0</v>
      </c>
      <c r="J83" s="1678"/>
      <c r="K83" s="1678"/>
      <c r="L83" s="1708" t="e">
        <v>#N/A</v>
      </c>
      <c r="M83" s="1708" t="e">
        <v>#N/A</v>
      </c>
      <c r="N83" s="1749" t="e">
        <v>#DIV/0!</v>
      </c>
      <c r="O83" s="1749" t="e">
        <v>#DIV/0!</v>
      </c>
      <c r="P83" s="1700" t="e">
        <v>#N/A</v>
      </c>
      <c r="Q83" s="1749" t="e">
        <v>#N/A</v>
      </c>
      <c r="R83" s="1749" t="e">
        <v>#N/A</v>
      </c>
      <c r="S83" s="1697">
        <v>0</v>
      </c>
      <c r="T83" s="1697">
        <v>0</v>
      </c>
      <c r="U83" s="1697">
        <v>0</v>
      </c>
    </row>
    <row r="84" spans="2:21" ht="13.8" x14ac:dyDescent="0.3">
      <c r="B84" s="1675"/>
      <c r="C84" s="1675" t="s">
        <v>232</v>
      </c>
      <c r="D84" s="1733">
        <v>0</v>
      </c>
      <c r="E84" s="1675" t="s">
        <v>206</v>
      </c>
      <c r="F84" s="1675" t="s">
        <v>211</v>
      </c>
      <c r="G84" s="1684"/>
      <c r="H84" s="1684"/>
      <c r="I84" s="1695">
        <v>0</v>
      </c>
      <c r="J84" s="1678"/>
      <c r="K84" s="1678"/>
      <c r="L84" s="1708" t="e">
        <v>#N/A</v>
      </c>
      <c r="M84" s="1708" t="e">
        <v>#N/A</v>
      </c>
      <c r="N84" s="1749" t="e">
        <v>#DIV/0!</v>
      </c>
      <c r="O84" s="1749" t="e">
        <v>#DIV/0!</v>
      </c>
      <c r="P84" s="1700" t="e">
        <v>#N/A</v>
      </c>
      <c r="Q84" s="1749" t="e">
        <v>#N/A</v>
      </c>
      <c r="R84" s="1749" t="e">
        <v>#N/A</v>
      </c>
      <c r="S84" s="1697">
        <v>0</v>
      </c>
      <c r="T84" s="1697">
        <v>0</v>
      </c>
      <c r="U84" s="1697">
        <v>0</v>
      </c>
    </row>
    <row r="85" spans="2:21" ht="13.8" x14ac:dyDescent="0.3">
      <c r="B85" s="1675"/>
      <c r="C85" s="1675" t="s">
        <v>233</v>
      </c>
      <c r="D85" s="1733">
        <v>0</v>
      </c>
      <c r="E85" s="1675" t="s">
        <v>206</v>
      </c>
      <c r="F85" s="1675" t="s">
        <v>211</v>
      </c>
      <c r="G85" s="1684"/>
      <c r="H85" s="1684"/>
      <c r="I85" s="1695">
        <v>0</v>
      </c>
      <c r="J85" s="1678"/>
      <c r="K85" s="1678"/>
      <c r="L85" s="1708" t="e">
        <v>#N/A</v>
      </c>
      <c r="M85" s="1708" t="e">
        <v>#N/A</v>
      </c>
      <c r="N85" s="1749" t="e">
        <v>#DIV/0!</v>
      </c>
      <c r="O85" s="1749" t="e">
        <v>#DIV/0!</v>
      </c>
      <c r="P85" s="1700" t="e">
        <v>#N/A</v>
      </c>
      <c r="Q85" s="1749" t="e">
        <v>#N/A</v>
      </c>
      <c r="R85" s="1749" t="e">
        <v>#N/A</v>
      </c>
      <c r="S85" s="1697">
        <v>0</v>
      </c>
      <c r="T85" s="1697">
        <v>0</v>
      </c>
      <c r="U85" s="1697">
        <v>0</v>
      </c>
    </row>
    <row r="86" spans="2:21" ht="13.8" x14ac:dyDescent="0.3">
      <c r="B86" s="1675"/>
      <c r="C86" s="1675" t="s">
        <v>234</v>
      </c>
      <c r="D86" s="1733">
        <v>0</v>
      </c>
      <c r="E86" s="1675" t="s">
        <v>206</v>
      </c>
      <c r="F86" s="1675" t="s">
        <v>211</v>
      </c>
      <c r="G86" s="1684"/>
      <c r="H86" s="1684"/>
      <c r="I86" s="1695">
        <v>0</v>
      </c>
      <c r="J86" s="1678"/>
      <c r="K86" s="1678"/>
      <c r="L86" s="1708" t="e">
        <v>#N/A</v>
      </c>
      <c r="M86" s="1708" t="e">
        <v>#N/A</v>
      </c>
      <c r="N86" s="1749" t="e">
        <v>#DIV/0!</v>
      </c>
      <c r="O86" s="1749" t="e">
        <v>#DIV/0!</v>
      </c>
      <c r="P86" s="1700" t="e">
        <v>#N/A</v>
      </c>
      <c r="Q86" s="1749" t="e">
        <v>#N/A</v>
      </c>
      <c r="R86" s="1749" t="e">
        <v>#N/A</v>
      </c>
      <c r="S86" s="1697">
        <v>0</v>
      </c>
      <c r="T86" s="1697">
        <v>0</v>
      </c>
      <c r="U86" s="1697">
        <v>0</v>
      </c>
    </row>
    <row r="87" spans="2:21" ht="13.8" x14ac:dyDescent="0.3">
      <c r="B87" s="1675"/>
      <c r="C87" s="1675" t="s">
        <v>235</v>
      </c>
      <c r="D87" s="1733">
        <v>0</v>
      </c>
      <c r="E87" s="1675" t="s">
        <v>206</v>
      </c>
      <c r="F87" s="1675" t="s">
        <v>211</v>
      </c>
      <c r="G87" s="1684"/>
      <c r="H87" s="1684"/>
      <c r="I87" s="1695">
        <v>0</v>
      </c>
      <c r="J87" s="1678"/>
      <c r="K87" s="1678"/>
      <c r="L87" s="1708" t="e">
        <v>#N/A</v>
      </c>
      <c r="M87" s="1708" t="e">
        <v>#N/A</v>
      </c>
      <c r="N87" s="1749" t="e">
        <v>#DIV/0!</v>
      </c>
      <c r="O87" s="1749" t="e">
        <v>#DIV/0!</v>
      </c>
      <c r="P87" s="1700" t="e">
        <v>#N/A</v>
      </c>
      <c r="Q87" s="1749" t="e">
        <v>#N/A</v>
      </c>
      <c r="R87" s="1749" t="e">
        <v>#N/A</v>
      </c>
      <c r="S87" s="1697">
        <v>0</v>
      </c>
      <c r="T87" s="1697">
        <v>0</v>
      </c>
      <c r="U87" s="1697">
        <v>0</v>
      </c>
    </row>
    <row r="88" spans="2:21" ht="13.8" x14ac:dyDescent="0.3">
      <c r="B88" s="1675"/>
      <c r="C88" s="1675" t="s">
        <v>236</v>
      </c>
      <c r="D88" s="1733">
        <v>0</v>
      </c>
      <c r="E88" s="1675" t="s">
        <v>206</v>
      </c>
      <c r="F88" s="1675" t="s">
        <v>211</v>
      </c>
      <c r="G88" s="1684"/>
      <c r="H88" s="1684"/>
      <c r="I88" s="1695">
        <v>0</v>
      </c>
      <c r="J88" s="1678"/>
      <c r="K88" s="1678"/>
      <c r="L88" s="1708" t="e">
        <v>#N/A</v>
      </c>
      <c r="M88" s="1708" t="e">
        <v>#N/A</v>
      </c>
      <c r="N88" s="1749" t="e">
        <v>#DIV/0!</v>
      </c>
      <c r="O88" s="1749" t="e">
        <v>#DIV/0!</v>
      </c>
      <c r="P88" s="1700" t="e">
        <v>#N/A</v>
      </c>
      <c r="Q88" s="1749" t="e">
        <v>#N/A</v>
      </c>
      <c r="R88" s="1749" t="e">
        <v>#N/A</v>
      </c>
      <c r="S88" s="1697">
        <v>0</v>
      </c>
      <c r="T88" s="1697">
        <v>0</v>
      </c>
      <c r="U88" s="1697">
        <v>0</v>
      </c>
    </row>
    <row r="89" spans="2:21" ht="13.8" x14ac:dyDescent="0.3">
      <c r="B89" s="1675"/>
      <c r="C89" s="1675" t="s">
        <v>237</v>
      </c>
      <c r="D89" s="1733">
        <v>0</v>
      </c>
      <c r="E89" s="1675" t="s">
        <v>206</v>
      </c>
      <c r="F89" s="1675" t="s">
        <v>211</v>
      </c>
      <c r="G89" s="1684"/>
      <c r="H89" s="1684"/>
      <c r="I89" s="1695">
        <v>0</v>
      </c>
      <c r="J89" s="1678"/>
      <c r="K89" s="1678"/>
      <c r="L89" s="1708" t="e">
        <v>#N/A</v>
      </c>
      <c r="M89" s="1708" t="e">
        <v>#N/A</v>
      </c>
      <c r="N89" s="1749" t="e">
        <v>#DIV/0!</v>
      </c>
      <c r="O89" s="1749" t="e">
        <v>#DIV/0!</v>
      </c>
      <c r="P89" s="1700" t="e">
        <v>#N/A</v>
      </c>
      <c r="Q89" s="1749" t="e">
        <v>#N/A</v>
      </c>
      <c r="R89" s="1749" t="e">
        <v>#N/A</v>
      </c>
      <c r="S89" s="1697">
        <v>0</v>
      </c>
      <c r="T89" s="1697">
        <v>0</v>
      </c>
      <c r="U89" s="1697">
        <v>0</v>
      </c>
    </row>
    <row r="90" spans="2:21" ht="13.8" x14ac:dyDescent="0.3">
      <c r="B90" s="1675"/>
      <c r="C90" s="1675" t="s">
        <v>238</v>
      </c>
      <c r="D90" s="1733">
        <v>0</v>
      </c>
      <c r="E90" s="1675" t="s">
        <v>206</v>
      </c>
      <c r="F90" s="1675" t="s">
        <v>211</v>
      </c>
      <c r="G90" s="1684"/>
      <c r="H90" s="1684"/>
      <c r="I90" s="1695">
        <v>0</v>
      </c>
      <c r="J90" s="1678"/>
      <c r="K90" s="1678"/>
      <c r="L90" s="1708" t="e">
        <v>#N/A</v>
      </c>
      <c r="M90" s="1708" t="e">
        <v>#N/A</v>
      </c>
      <c r="N90" s="1749" t="e">
        <v>#DIV/0!</v>
      </c>
      <c r="O90" s="1749" t="e">
        <v>#DIV/0!</v>
      </c>
      <c r="P90" s="1700" t="e">
        <v>#N/A</v>
      </c>
      <c r="Q90" s="1749" t="e">
        <v>#N/A</v>
      </c>
      <c r="R90" s="1749" t="e">
        <v>#N/A</v>
      </c>
      <c r="S90" s="1697">
        <v>0</v>
      </c>
      <c r="T90" s="1697">
        <v>0</v>
      </c>
      <c r="U90" s="1697">
        <v>0</v>
      </c>
    </row>
    <row r="91" spans="2:21" ht="13.8" x14ac:dyDescent="0.3">
      <c r="B91" s="1675"/>
      <c r="C91" s="1675" t="s">
        <v>239</v>
      </c>
      <c r="D91" s="1733">
        <v>0</v>
      </c>
      <c r="E91" s="1675" t="s">
        <v>206</v>
      </c>
      <c r="F91" s="1675" t="s">
        <v>211</v>
      </c>
      <c r="G91" s="1684"/>
      <c r="H91" s="1684"/>
      <c r="I91" s="1695">
        <v>0</v>
      </c>
      <c r="J91" s="1678"/>
      <c r="K91" s="1678"/>
      <c r="L91" s="1708" t="e">
        <v>#N/A</v>
      </c>
      <c r="M91" s="1708" t="e">
        <v>#N/A</v>
      </c>
      <c r="N91" s="1749" t="e">
        <v>#DIV/0!</v>
      </c>
      <c r="O91" s="1749" t="e">
        <v>#DIV/0!</v>
      </c>
      <c r="P91" s="1700" t="e">
        <v>#N/A</v>
      </c>
      <c r="Q91" s="1749" t="e">
        <v>#N/A</v>
      </c>
      <c r="R91" s="1749" t="e">
        <v>#N/A</v>
      </c>
      <c r="S91" s="1697">
        <v>0</v>
      </c>
      <c r="T91" s="1697">
        <v>0</v>
      </c>
      <c r="U91" s="1697">
        <v>0</v>
      </c>
    </row>
    <row r="92" spans="2:21" ht="13.8" x14ac:dyDescent="0.3">
      <c r="B92" s="1675"/>
      <c r="C92" s="1675" t="s">
        <v>240</v>
      </c>
      <c r="D92" s="1733">
        <v>0</v>
      </c>
      <c r="E92" s="1675" t="s">
        <v>206</v>
      </c>
      <c r="F92" s="1675" t="s">
        <v>211</v>
      </c>
      <c r="G92" s="1684"/>
      <c r="H92" s="1684"/>
      <c r="I92" s="1695">
        <v>0</v>
      </c>
      <c r="J92" s="1678"/>
      <c r="K92" s="1678"/>
      <c r="L92" s="1708" t="e">
        <v>#N/A</v>
      </c>
      <c r="M92" s="1708" t="e">
        <v>#N/A</v>
      </c>
      <c r="N92" s="1749" t="e">
        <v>#DIV/0!</v>
      </c>
      <c r="O92" s="1749" t="e">
        <v>#DIV/0!</v>
      </c>
      <c r="P92" s="1700" t="e">
        <v>#N/A</v>
      </c>
      <c r="Q92" s="1749" t="e">
        <v>#N/A</v>
      </c>
      <c r="R92" s="1749" t="e">
        <v>#N/A</v>
      </c>
      <c r="S92" s="1697">
        <v>0</v>
      </c>
      <c r="T92" s="1697">
        <v>0</v>
      </c>
      <c r="U92" s="1697">
        <v>0</v>
      </c>
    </row>
    <row r="93" spans="2:21" ht="13.8" x14ac:dyDescent="0.3">
      <c r="B93" s="1675"/>
      <c r="C93" s="1675" t="s">
        <v>241</v>
      </c>
      <c r="D93" s="1733">
        <v>0</v>
      </c>
      <c r="E93" s="1675" t="s">
        <v>206</v>
      </c>
      <c r="F93" s="1675" t="s">
        <v>211</v>
      </c>
      <c r="G93" s="1684"/>
      <c r="H93" s="1684"/>
      <c r="I93" s="1695">
        <v>0</v>
      </c>
      <c r="J93" s="1678"/>
      <c r="K93" s="1678"/>
      <c r="L93" s="1708" t="e">
        <v>#N/A</v>
      </c>
      <c r="M93" s="1708" t="e">
        <v>#N/A</v>
      </c>
      <c r="N93" s="1749" t="e">
        <v>#DIV/0!</v>
      </c>
      <c r="O93" s="1749" t="e">
        <v>#DIV/0!</v>
      </c>
      <c r="P93" s="1700" t="e">
        <v>#N/A</v>
      </c>
      <c r="Q93" s="1749" t="e">
        <v>#N/A</v>
      </c>
      <c r="R93" s="1749" t="e">
        <v>#N/A</v>
      </c>
      <c r="S93" s="1697">
        <v>0</v>
      </c>
      <c r="T93" s="1697">
        <v>0</v>
      </c>
      <c r="U93" s="1697">
        <v>0</v>
      </c>
    </row>
    <row r="94" spans="2:21" ht="13.8" x14ac:dyDescent="0.3">
      <c r="B94" s="1675"/>
      <c r="C94" s="1675" t="s">
        <v>242</v>
      </c>
      <c r="D94" s="1733">
        <v>0</v>
      </c>
      <c r="E94" s="1675" t="s">
        <v>206</v>
      </c>
      <c r="F94" s="1675" t="s">
        <v>211</v>
      </c>
      <c r="G94" s="1684"/>
      <c r="H94" s="1684"/>
      <c r="I94" s="1695">
        <v>0</v>
      </c>
      <c r="J94" s="1678"/>
      <c r="K94" s="1678"/>
      <c r="L94" s="1708" t="e">
        <v>#N/A</v>
      </c>
      <c r="M94" s="1708" t="e">
        <v>#N/A</v>
      </c>
      <c r="N94" s="1749" t="e">
        <v>#DIV/0!</v>
      </c>
      <c r="O94" s="1749" t="e">
        <v>#DIV/0!</v>
      </c>
      <c r="P94" s="1700" t="e">
        <v>#N/A</v>
      </c>
      <c r="Q94" s="1749" t="e">
        <v>#N/A</v>
      </c>
      <c r="R94" s="1749" t="e">
        <v>#N/A</v>
      </c>
      <c r="S94" s="1697">
        <v>0</v>
      </c>
      <c r="T94" s="1697">
        <v>0</v>
      </c>
      <c r="U94" s="1697">
        <v>0</v>
      </c>
    </row>
    <row r="95" spans="2:21" ht="13.8" x14ac:dyDescent="0.3">
      <c r="B95" s="1675"/>
      <c r="C95" s="1675" t="s">
        <v>243</v>
      </c>
      <c r="D95" s="1733">
        <v>0</v>
      </c>
      <c r="E95" s="1675" t="s">
        <v>206</v>
      </c>
      <c r="F95" s="1675" t="s">
        <v>211</v>
      </c>
      <c r="G95" s="1684"/>
      <c r="H95" s="1684"/>
      <c r="I95" s="1695">
        <v>0</v>
      </c>
      <c r="J95" s="1678"/>
      <c r="K95" s="1678"/>
      <c r="L95" s="1708" t="e">
        <v>#N/A</v>
      </c>
      <c r="M95" s="1708" t="e">
        <v>#N/A</v>
      </c>
      <c r="N95" s="1749" t="e">
        <v>#DIV/0!</v>
      </c>
      <c r="O95" s="1749" t="e">
        <v>#DIV/0!</v>
      </c>
      <c r="P95" s="1700" t="e">
        <v>#N/A</v>
      </c>
      <c r="Q95" s="1749" t="e">
        <v>#N/A</v>
      </c>
      <c r="R95" s="1749" t="e">
        <v>#N/A</v>
      </c>
      <c r="S95" s="1697">
        <v>0</v>
      </c>
      <c r="T95" s="1697">
        <v>0</v>
      </c>
      <c r="U95" s="1697">
        <v>0</v>
      </c>
    </row>
    <row r="96" spans="2:21" ht="13.8" x14ac:dyDescent="0.3">
      <c r="B96" s="1675"/>
      <c r="C96" s="1675" t="s">
        <v>244</v>
      </c>
      <c r="D96" s="1733">
        <v>0</v>
      </c>
      <c r="E96" s="1675" t="s">
        <v>206</v>
      </c>
      <c r="F96" s="1675" t="s">
        <v>211</v>
      </c>
      <c r="G96" s="1684"/>
      <c r="H96" s="1684"/>
      <c r="I96" s="1695">
        <v>0</v>
      </c>
      <c r="J96" s="1678"/>
      <c r="K96" s="1678"/>
      <c r="L96" s="1708" t="e">
        <v>#N/A</v>
      </c>
      <c r="M96" s="1708" t="e">
        <v>#N/A</v>
      </c>
      <c r="N96" s="1749" t="e">
        <v>#DIV/0!</v>
      </c>
      <c r="O96" s="1749" t="e">
        <v>#DIV/0!</v>
      </c>
      <c r="P96" s="1700" t="e">
        <v>#N/A</v>
      </c>
      <c r="Q96" s="1749" t="e">
        <v>#N/A</v>
      </c>
      <c r="R96" s="1749" t="e">
        <v>#N/A</v>
      </c>
      <c r="S96" s="1697">
        <v>0</v>
      </c>
      <c r="T96" s="1697">
        <v>0</v>
      </c>
      <c r="U96" s="1697">
        <v>0</v>
      </c>
    </row>
    <row r="97" spans="2:21" ht="13.8" x14ac:dyDescent="0.3">
      <c r="B97" s="1675"/>
      <c r="C97" s="1675" t="s">
        <v>245</v>
      </c>
      <c r="D97" s="1733">
        <v>0</v>
      </c>
      <c r="E97" s="1675" t="s">
        <v>206</v>
      </c>
      <c r="F97" s="1675" t="s">
        <v>211</v>
      </c>
      <c r="G97" s="1684"/>
      <c r="H97" s="1684"/>
      <c r="I97" s="1695">
        <v>0</v>
      </c>
      <c r="J97" s="1678"/>
      <c r="K97" s="1678"/>
      <c r="L97" s="1708" t="e">
        <v>#N/A</v>
      </c>
      <c r="M97" s="1708" t="e">
        <v>#N/A</v>
      </c>
      <c r="N97" s="1749" t="e">
        <v>#DIV/0!</v>
      </c>
      <c r="O97" s="1749" t="e">
        <v>#DIV/0!</v>
      </c>
      <c r="P97" s="1700" t="e">
        <v>#N/A</v>
      </c>
      <c r="Q97" s="1749" t="e">
        <v>#N/A</v>
      </c>
      <c r="R97" s="1749" t="e">
        <v>#N/A</v>
      </c>
      <c r="S97" s="1697">
        <v>0</v>
      </c>
      <c r="T97" s="1697">
        <v>0</v>
      </c>
      <c r="U97" s="1697">
        <v>0</v>
      </c>
    </row>
    <row r="98" spans="2:21" ht="13.8" x14ac:dyDescent="0.3">
      <c r="B98" s="1675"/>
      <c r="C98" s="1675" t="s">
        <v>246</v>
      </c>
      <c r="D98" s="1733">
        <v>0</v>
      </c>
      <c r="E98" s="1675" t="s">
        <v>206</v>
      </c>
      <c r="F98" s="1675" t="s">
        <v>211</v>
      </c>
      <c r="G98" s="1684"/>
      <c r="H98" s="1684"/>
      <c r="I98" s="1695">
        <v>0</v>
      </c>
      <c r="J98" s="1678"/>
      <c r="K98" s="1678"/>
      <c r="L98" s="1708" t="e">
        <v>#N/A</v>
      </c>
      <c r="M98" s="1708" t="e">
        <v>#N/A</v>
      </c>
      <c r="N98" s="1749" t="e">
        <v>#DIV/0!</v>
      </c>
      <c r="O98" s="1749" t="e">
        <v>#DIV/0!</v>
      </c>
      <c r="P98" s="1700" t="e">
        <v>#N/A</v>
      </c>
      <c r="Q98" s="1749" t="e">
        <v>#N/A</v>
      </c>
      <c r="R98" s="1749" t="e">
        <v>#N/A</v>
      </c>
      <c r="S98" s="1697">
        <v>0</v>
      </c>
      <c r="T98" s="1697">
        <v>0</v>
      </c>
      <c r="U98" s="1697">
        <v>0</v>
      </c>
    </row>
    <row r="99" spans="2:21" ht="13.8" x14ac:dyDescent="0.3">
      <c r="B99" s="1675"/>
      <c r="C99" s="1675" t="s">
        <v>247</v>
      </c>
      <c r="D99" s="1733">
        <v>0</v>
      </c>
      <c r="E99" s="1675" t="s">
        <v>206</v>
      </c>
      <c r="F99" s="1675" t="s">
        <v>211</v>
      </c>
      <c r="G99" s="1684"/>
      <c r="H99" s="1684"/>
      <c r="I99" s="1695">
        <v>0</v>
      </c>
      <c r="J99" s="1678"/>
      <c r="K99" s="1678"/>
      <c r="L99" s="1708" t="e">
        <v>#N/A</v>
      </c>
      <c r="M99" s="1708" t="e">
        <v>#N/A</v>
      </c>
      <c r="N99" s="1749" t="e">
        <v>#DIV/0!</v>
      </c>
      <c r="O99" s="1749" t="e">
        <v>#DIV/0!</v>
      </c>
      <c r="P99" s="1700" t="e">
        <v>#N/A</v>
      </c>
      <c r="Q99" s="1749" t="e">
        <v>#N/A</v>
      </c>
      <c r="R99" s="1749" t="e">
        <v>#N/A</v>
      </c>
      <c r="S99" s="1697">
        <v>0</v>
      </c>
      <c r="T99" s="1697">
        <v>0</v>
      </c>
      <c r="U99" s="1697">
        <v>0</v>
      </c>
    </row>
    <row r="100" spans="2:21" ht="13.8" x14ac:dyDescent="0.3">
      <c r="B100" s="1675"/>
      <c r="C100" s="1675" t="s">
        <v>248</v>
      </c>
      <c r="D100" s="1733">
        <v>0</v>
      </c>
      <c r="E100" s="1675" t="s">
        <v>206</v>
      </c>
      <c r="F100" s="1675" t="s">
        <v>211</v>
      </c>
      <c r="G100" s="1684"/>
      <c r="H100" s="1684"/>
      <c r="I100" s="1695">
        <v>0</v>
      </c>
      <c r="J100" s="1678"/>
      <c r="K100" s="1678"/>
      <c r="L100" s="1708" t="e">
        <v>#N/A</v>
      </c>
      <c r="M100" s="1708" t="e">
        <v>#N/A</v>
      </c>
      <c r="N100" s="1749" t="e">
        <v>#DIV/0!</v>
      </c>
      <c r="O100" s="1749" t="e">
        <v>#DIV/0!</v>
      </c>
      <c r="P100" s="1700" t="e">
        <v>#N/A</v>
      </c>
      <c r="Q100" s="1749" t="e">
        <v>#N/A</v>
      </c>
      <c r="R100" s="1749" t="e">
        <v>#N/A</v>
      </c>
      <c r="S100" s="1697">
        <v>0</v>
      </c>
      <c r="T100" s="1697">
        <v>0</v>
      </c>
      <c r="U100" s="1697">
        <v>0</v>
      </c>
    </row>
    <row r="101" spans="2:21" ht="13.8" x14ac:dyDescent="0.3">
      <c r="B101" s="1675"/>
      <c r="C101" s="1675" t="s">
        <v>249</v>
      </c>
      <c r="D101" s="1733">
        <v>0</v>
      </c>
      <c r="E101" s="1675" t="s">
        <v>206</v>
      </c>
      <c r="F101" s="1675" t="s">
        <v>211</v>
      </c>
      <c r="G101" s="1684"/>
      <c r="H101" s="1684"/>
      <c r="I101" s="1695">
        <v>0</v>
      </c>
      <c r="J101" s="1678"/>
      <c r="K101" s="1678"/>
      <c r="L101" s="1708" t="e">
        <v>#N/A</v>
      </c>
      <c r="M101" s="1708" t="e">
        <v>#N/A</v>
      </c>
      <c r="N101" s="1749" t="e">
        <v>#DIV/0!</v>
      </c>
      <c r="O101" s="1749" t="e">
        <v>#DIV/0!</v>
      </c>
      <c r="P101" s="1700" t="e">
        <v>#N/A</v>
      </c>
      <c r="Q101" s="1749" t="e">
        <v>#N/A</v>
      </c>
      <c r="R101" s="1749" t="e">
        <v>#N/A</v>
      </c>
      <c r="S101" s="1697">
        <v>0</v>
      </c>
      <c r="T101" s="1697">
        <v>0</v>
      </c>
      <c r="U101" s="1697">
        <v>0</v>
      </c>
    </row>
    <row r="102" spans="2:21" ht="13.8" x14ac:dyDescent="0.3">
      <c r="B102" s="1675"/>
      <c r="C102" s="1675" t="s">
        <v>250</v>
      </c>
      <c r="D102" s="1733">
        <v>0</v>
      </c>
      <c r="E102" s="1675" t="s">
        <v>206</v>
      </c>
      <c r="F102" s="1675" t="s">
        <v>211</v>
      </c>
      <c r="G102" s="1684"/>
      <c r="H102" s="1684"/>
      <c r="I102" s="1695">
        <v>0</v>
      </c>
      <c r="J102" s="1678"/>
      <c r="K102" s="1678"/>
      <c r="L102" s="1708" t="e">
        <v>#N/A</v>
      </c>
      <c r="M102" s="1708" t="e">
        <v>#N/A</v>
      </c>
      <c r="N102" s="1749" t="e">
        <v>#DIV/0!</v>
      </c>
      <c r="O102" s="1749" t="e">
        <v>#DIV/0!</v>
      </c>
      <c r="P102" s="1700" t="e">
        <v>#N/A</v>
      </c>
      <c r="Q102" s="1749" t="e">
        <v>#N/A</v>
      </c>
      <c r="R102" s="1749" t="e">
        <v>#N/A</v>
      </c>
      <c r="S102" s="1697">
        <v>0</v>
      </c>
      <c r="T102" s="1697">
        <v>0</v>
      </c>
      <c r="U102" s="1697">
        <v>0</v>
      </c>
    </row>
    <row r="103" spans="2:21" ht="14.4" thickBot="1" x14ac:dyDescent="0.35">
      <c r="B103" s="1675"/>
      <c r="C103" s="1675" t="s">
        <v>251</v>
      </c>
      <c r="D103" s="1733">
        <v>0</v>
      </c>
      <c r="E103" s="1675" t="s">
        <v>206</v>
      </c>
      <c r="F103" s="1675" t="s">
        <v>211</v>
      </c>
      <c r="G103" s="1684"/>
      <c r="H103" s="1684"/>
      <c r="I103" s="1695">
        <v>0</v>
      </c>
      <c r="J103" s="1678"/>
      <c r="K103" s="1678"/>
      <c r="L103" s="1711" t="e">
        <v>#N/A</v>
      </c>
      <c r="M103" s="1711" t="e">
        <v>#N/A</v>
      </c>
      <c r="N103" s="1750" t="e">
        <v>#DIV/0!</v>
      </c>
      <c r="O103" s="1750" t="e">
        <v>#DIV/0!</v>
      </c>
      <c r="P103" s="1700" t="e">
        <v>#N/A</v>
      </c>
      <c r="Q103" s="1749" t="e">
        <v>#N/A</v>
      </c>
      <c r="R103" s="1750" t="e">
        <v>#N/A</v>
      </c>
      <c r="S103" s="1697">
        <v>0</v>
      </c>
      <c r="T103" s="1697">
        <v>0</v>
      </c>
      <c r="U103" s="1697">
        <v>0</v>
      </c>
    </row>
    <row r="104" spans="2:21" ht="14.4" thickBot="1" x14ac:dyDescent="0.35">
      <c r="B104" s="1671"/>
      <c r="C104" s="1671"/>
      <c r="D104" s="1671"/>
      <c r="E104" s="1671"/>
      <c r="F104" s="1671"/>
      <c r="G104" s="1710">
        <v>0</v>
      </c>
      <c r="H104" s="1696">
        <v>0</v>
      </c>
      <c r="I104" s="1709">
        <v>0</v>
      </c>
      <c r="J104" s="1674" t="e">
        <v>#DIV/0!</v>
      </c>
      <c r="K104" s="1672" t="s">
        <v>412</v>
      </c>
      <c r="L104" s="1712" t="e">
        <v>#DIV/0!</v>
      </c>
      <c r="M104" s="1713" t="e">
        <v>#DIV/0!</v>
      </c>
      <c r="N104" s="1751" t="e">
        <v>#DIV/0!</v>
      </c>
      <c r="O104" s="1751" t="e">
        <v>#DIV/0!</v>
      </c>
      <c r="P104" s="1751" t="e">
        <v>#DIV/0!</v>
      </c>
      <c r="Q104" s="1752" t="e">
        <v>#DIV/0!</v>
      </c>
      <c r="R104" s="1752" t="e">
        <v>#DIV/0!</v>
      </c>
      <c r="S104" s="1698">
        <v>0</v>
      </c>
      <c r="T104" s="1698">
        <v>0</v>
      </c>
      <c r="U104" s="1698">
        <v>0</v>
      </c>
    </row>
  </sheetData>
  <customSheetViews>
    <customSheetView guid="{074EB09C-6289-46D7-9513-012B68BCA7BF}" showPageBreaks="1">
      <pageMargins left="0.7" right="0.7" top="0.75" bottom="0.75" header="0.3" footer="0.3"/>
      <pageSetup orientation="portrait" r:id="rId1"/>
    </customSheetView>
  </customSheetViews>
  <mergeCells count="16">
    <mergeCell ref="V2:V3"/>
    <mergeCell ref="D9:E9"/>
    <mergeCell ref="I9:L9"/>
    <mergeCell ref="M9:N9"/>
    <mergeCell ref="Q2:R2"/>
    <mergeCell ref="S2:U2"/>
    <mergeCell ref="S60:U60"/>
    <mergeCell ref="V60:X60"/>
    <mergeCell ref="C10:F10"/>
    <mergeCell ref="I10:L10"/>
    <mergeCell ref="M10:O10"/>
    <mergeCell ref="P10:R10"/>
    <mergeCell ref="I11:K11"/>
    <mergeCell ref="D59:H59"/>
    <mergeCell ref="B60:K60"/>
    <mergeCell ref="L60:R60"/>
  </mergeCells>
  <pageMargins left="0.2" right="0.18" top="0.38" bottom="0.36" header="0.3" footer="0.3"/>
  <pageSetup paperSize="17" scale="53" orientation="landscape"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defaultRowHeight="13.2" x14ac:dyDescent="0.25"/>
  <sheetData>
    <row r="1" spans="1:1" x14ac:dyDescent="0.25">
      <c r="A1" t="s">
        <v>2</v>
      </c>
    </row>
  </sheetData>
  <customSheetViews>
    <customSheetView guid="{074EB09C-6289-46D7-9513-012B68BCA7BF}" showPageBreaks="1">
      <pageMargins left="0.7" right="0.7" top="0.75" bottom="0.75" header="0.3" footer="0.3"/>
      <pageSetup orientation="portrait" r:id="rId1"/>
    </customSheetView>
  </customSheetView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6"/>
  <sheetViews>
    <sheetView workbookViewId="0">
      <pane xSplit="1" ySplit="1" topLeftCell="B8" activePane="bottomRight" state="frozen"/>
      <selection pane="topRight" activeCell="B1" sqref="B1"/>
      <selection pane="bottomLeft" activeCell="A2" sqref="A2"/>
      <selection pane="bottomRight" activeCell="I41" sqref="I41"/>
    </sheetView>
  </sheetViews>
  <sheetFormatPr defaultRowHeight="13.2" x14ac:dyDescent="0.25"/>
  <cols>
    <col min="1" max="1" width="16" customWidth="1"/>
    <col min="2" max="2" width="21" customWidth="1"/>
    <col min="3" max="3" width="21" style="2" customWidth="1"/>
    <col min="4" max="4" width="23" style="3" customWidth="1"/>
    <col min="5" max="9" width="18.88671875" customWidth="1"/>
    <col min="10" max="10" width="17.5546875" customWidth="1"/>
    <col min="11" max="12" width="24.44140625" customWidth="1"/>
    <col min="13" max="13" width="19.44140625" customWidth="1"/>
    <col min="14" max="14" width="14.6640625" customWidth="1"/>
    <col min="15" max="15" width="17.109375" customWidth="1"/>
  </cols>
  <sheetData>
    <row r="1" spans="1:15" ht="44.25" customHeight="1" x14ac:dyDescent="0.25"/>
    <row r="2" spans="1:15" ht="19.5" customHeight="1" thickBot="1" x14ac:dyDescent="0.35">
      <c r="B2" s="1" t="s">
        <v>109</v>
      </c>
      <c r="C2" s="170"/>
      <c r="D2" s="2"/>
      <c r="E2" s="3"/>
    </row>
    <row r="3" spans="1:15" ht="15.6" thickBot="1" x14ac:dyDescent="0.3">
      <c r="B3" s="5" t="s">
        <v>5</v>
      </c>
      <c r="C3" s="171"/>
      <c r="D3" s="6" t="s">
        <v>78</v>
      </c>
      <c r="E3" s="104">
        <v>18230408</v>
      </c>
    </row>
    <row r="4" spans="1:15" ht="16.5" customHeight="1" x14ac:dyDescent="0.25"/>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600000</v>
      </c>
      <c r="O7" s="26" t="s">
        <v>21</v>
      </c>
    </row>
    <row r="8" spans="1:15" s="55" customFormat="1" x14ac:dyDescent="0.25">
      <c r="A8" s="112"/>
      <c r="D8" s="114" t="s">
        <v>22</v>
      </c>
      <c r="E8" s="28">
        <v>168000</v>
      </c>
      <c r="F8" s="28">
        <v>0</v>
      </c>
      <c r="G8" s="28">
        <v>0</v>
      </c>
      <c r="H8" s="28">
        <v>0</v>
      </c>
      <c r="I8" s="28">
        <v>0</v>
      </c>
      <c r="J8" s="28">
        <v>343000</v>
      </c>
      <c r="K8" s="28">
        <v>0</v>
      </c>
      <c r="L8" s="28">
        <v>0</v>
      </c>
      <c r="M8" s="28">
        <v>0</v>
      </c>
      <c r="N8" s="89">
        <v>511000</v>
      </c>
      <c r="O8" s="30">
        <f>(N8-N7)/N7</f>
        <v>-0.14833333333333334</v>
      </c>
    </row>
    <row r="9" spans="1:15" s="55" customFormat="1" x14ac:dyDescent="0.25">
      <c r="A9" s="112"/>
      <c r="D9" s="55">
        <v>2012</v>
      </c>
      <c r="E9" s="121">
        <f>SUM(B23:B25)</f>
        <v>0</v>
      </c>
      <c r="F9" s="121">
        <f>SUM(B29:B31)</f>
        <v>0</v>
      </c>
      <c r="G9" s="121">
        <f>(SUM(B23:B25)+SUM(B29:B31))*0.63</f>
        <v>0</v>
      </c>
      <c r="H9" s="121">
        <f>SUM(B44:B48)+SUM(B52:B57)</f>
        <v>0</v>
      </c>
      <c r="I9" s="122">
        <f>SUM(B60:B64)</f>
        <v>0</v>
      </c>
      <c r="J9" s="121">
        <f>SUM(B68:B73)</f>
        <v>635950</v>
      </c>
      <c r="K9" s="121">
        <f>SUM(B76:B82)</f>
        <v>0</v>
      </c>
      <c r="L9" s="121">
        <f>SUM(B85:B90)</f>
        <v>0</v>
      </c>
      <c r="M9" s="123"/>
      <c r="N9" s="124">
        <f>SUM(E9:M9)</f>
        <v>635950</v>
      </c>
      <c r="O9" s="30">
        <f>(N9-N8)/N8</f>
        <v>0.24452054794520547</v>
      </c>
    </row>
    <row r="10" spans="1:15" s="55" customFormat="1" x14ac:dyDescent="0.25">
      <c r="A10" s="112"/>
      <c r="D10" s="55">
        <v>2013</v>
      </c>
      <c r="E10" s="121">
        <f>SUM(C23:C25)</f>
        <v>0</v>
      </c>
      <c r="F10" s="121">
        <f>SUM(C29:C31)</f>
        <v>0</v>
      </c>
      <c r="G10" s="121">
        <f>(SUM(C23:C25)+SUM(C29:C31))*0.63</f>
        <v>0</v>
      </c>
      <c r="H10" s="121">
        <f>SUM(C44:C48)+SUM(C52:C57)</f>
        <v>0</v>
      </c>
      <c r="I10" s="122">
        <f>SUM(C60:C64)</f>
        <v>0</v>
      </c>
      <c r="J10" s="121">
        <f>SUM(C68:C73)</f>
        <v>632470</v>
      </c>
      <c r="K10" s="121">
        <f>SUM(C76:C82)</f>
        <v>0</v>
      </c>
      <c r="L10" s="121">
        <f>SUM(C85:C90)</f>
        <v>0</v>
      </c>
      <c r="M10" s="123"/>
      <c r="N10" s="124">
        <f>SUM(E10:M10)</f>
        <v>632470</v>
      </c>
      <c r="O10" s="30">
        <f>(N10-N9)/N9</f>
        <v>-5.4721283119742118E-3</v>
      </c>
    </row>
    <row r="11" spans="1:15" s="19" customFormat="1" ht="13.8" thickBot="1" x14ac:dyDescent="0.3">
      <c r="A11" s="71"/>
      <c r="D11" s="126" t="s">
        <v>23</v>
      </c>
      <c r="E11" s="127">
        <f>SUM(E9:E10)</f>
        <v>0</v>
      </c>
      <c r="F11" s="127">
        <f t="shared" ref="F11:M11" si="0">SUM(F9:F10)</f>
        <v>0</v>
      </c>
      <c r="G11" s="127">
        <f t="shared" si="0"/>
        <v>0</v>
      </c>
      <c r="H11" s="127">
        <f t="shared" si="0"/>
        <v>0</v>
      </c>
      <c r="I11" s="127">
        <f t="shared" si="0"/>
        <v>0</v>
      </c>
      <c r="J11" s="127">
        <f t="shared" si="0"/>
        <v>1268420</v>
      </c>
      <c r="K11" s="127">
        <f t="shared" si="0"/>
        <v>0</v>
      </c>
      <c r="L11" s="127">
        <f t="shared" si="0"/>
        <v>0</v>
      </c>
      <c r="M11" s="128">
        <f t="shared" si="0"/>
        <v>0</v>
      </c>
      <c r="N11" s="129">
        <f>SUM(N9:N10)</f>
        <v>1268420</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14" ht="15.6" x14ac:dyDescent="0.3">
      <c r="A17" s="71"/>
      <c r="B17" s="4779" t="s">
        <v>27</v>
      </c>
      <c r="C17" s="4779"/>
      <c r="D17" s="45" t="s">
        <v>28</v>
      </c>
      <c r="E17" s="46" t="s">
        <v>29</v>
      </c>
    </row>
    <row r="18" spans="1:14" ht="15.6" x14ac:dyDescent="0.3">
      <c r="A18" s="71"/>
      <c r="B18" s="4780" t="s">
        <v>30</v>
      </c>
      <c r="C18" s="4780"/>
      <c r="D18" s="45"/>
      <c r="E18" s="46"/>
    </row>
    <row r="19" spans="1:14" ht="46.8" x14ac:dyDescent="0.3">
      <c r="A19" s="71"/>
      <c r="B19" s="174">
        <v>2012</v>
      </c>
      <c r="C19" s="174">
        <v>2013</v>
      </c>
      <c r="D19" s="71" t="s">
        <v>89</v>
      </c>
      <c r="E19" s="134" t="s">
        <v>32</v>
      </c>
    </row>
    <row r="20" spans="1:14" x14ac:dyDescent="0.25">
      <c r="A20" s="71"/>
      <c r="B20" s="178" t="s">
        <v>9</v>
      </c>
      <c r="C20" s="178" t="s">
        <v>9</v>
      </c>
      <c r="D20" s="141"/>
      <c r="E20" s="142">
        <f>SUM(B23:B25)+SUM(C23:C25)</f>
        <v>0</v>
      </c>
    </row>
    <row r="21" spans="1:14" ht="7.5" customHeight="1" x14ac:dyDescent="0.25">
      <c r="A21" s="71"/>
      <c r="B21" s="179"/>
      <c r="C21" s="179"/>
      <c r="D21" s="2"/>
      <c r="E21" s="54"/>
    </row>
    <row r="22" spans="1:14" x14ac:dyDescent="0.25">
      <c r="A22" s="71"/>
      <c r="B22" s="180" t="s">
        <v>33</v>
      </c>
      <c r="C22" s="180" t="s">
        <v>33</v>
      </c>
      <c r="D22" s="146" t="s">
        <v>7</v>
      </c>
      <c r="E22" s="54"/>
      <c r="F22" s="147" t="s">
        <v>7</v>
      </c>
      <c r="M22" s="85"/>
      <c r="N22" s="86"/>
    </row>
    <row r="23" spans="1:14" x14ac:dyDescent="0.25">
      <c r="A23" s="71"/>
      <c r="B23" s="181"/>
      <c r="C23" s="182"/>
      <c r="D23" s="148"/>
      <c r="E23" s="54"/>
      <c r="F23" s="149"/>
      <c r="M23" s="85"/>
      <c r="N23" s="86"/>
    </row>
    <row r="24" spans="1:14" x14ac:dyDescent="0.25">
      <c r="A24" s="71"/>
      <c r="B24" s="183"/>
      <c r="C24" s="183"/>
      <c r="D24" s="2"/>
      <c r="E24" s="54"/>
    </row>
    <row r="25" spans="1:14" x14ac:dyDescent="0.25">
      <c r="A25" s="71"/>
      <c r="B25" s="183"/>
      <c r="C25" s="183"/>
      <c r="D25" s="2"/>
      <c r="E25" s="54"/>
    </row>
    <row r="26" spans="1:14" s="55" customFormat="1" ht="21" customHeight="1" x14ac:dyDescent="0.25">
      <c r="A26" s="112"/>
      <c r="B26" s="178" t="s">
        <v>10</v>
      </c>
      <c r="C26" s="178" t="s">
        <v>10</v>
      </c>
      <c r="D26" s="141"/>
      <c r="E26" s="142">
        <f>SUM(B29:B32)+SUM(C29:C32)</f>
        <v>0</v>
      </c>
    </row>
    <row r="27" spans="1:14" ht="8.25" customHeight="1" x14ac:dyDescent="0.25">
      <c r="A27" s="71"/>
      <c r="B27" s="184"/>
      <c r="C27" s="184"/>
      <c r="D27" s="155"/>
      <c r="E27" s="54"/>
    </row>
    <row r="28" spans="1:14" s="55" customFormat="1" ht="13.5" customHeight="1" x14ac:dyDescent="0.25">
      <c r="A28" s="112"/>
      <c r="B28" s="180" t="s">
        <v>33</v>
      </c>
      <c r="C28" s="180" t="s">
        <v>33</v>
      </c>
      <c r="D28" s="155"/>
      <c r="E28" s="54"/>
    </row>
    <row r="29" spans="1:14" x14ac:dyDescent="0.25">
      <c r="A29" s="71"/>
      <c r="B29" s="88"/>
      <c r="C29" s="185"/>
      <c r="D29" s="153"/>
      <c r="E29" s="54"/>
    </row>
    <row r="30" spans="1:14" x14ac:dyDescent="0.25">
      <c r="A30" s="71"/>
      <c r="B30" s="185"/>
      <c r="C30" s="185"/>
      <c r="D30" s="153"/>
      <c r="E30" s="54"/>
    </row>
    <row r="31" spans="1:14" x14ac:dyDescent="0.25">
      <c r="A31" s="71"/>
      <c r="B31" s="19"/>
      <c r="C31" s="19"/>
      <c r="D31" s="153"/>
      <c r="E31" s="54"/>
    </row>
    <row r="32" spans="1:14" x14ac:dyDescent="0.25">
      <c r="A32" s="71"/>
      <c r="B32" s="19"/>
      <c r="C32" s="19"/>
      <c r="D32" s="153"/>
      <c r="E32" s="54"/>
    </row>
    <row r="33" spans="1:6" x14ac:dyDescent="0.25">
      <c r="A33" s="71"/>
      <c r="B33" s="178" t="s">
        <v>11</v>
      </c>
      <c r="C33" s="178" t="s">
        <v>11</v>
      </c>
      <c r="D33" s="141"/>
      <c r="E33" s="142">
        <f>E20*0.63</f>
        <v>0</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D51"/>
      <c r="E51" s="75"/>
    </row>
    <row r="52" spans="1:5" x14ac:dyDescent="0.25">
      <c r="A52" s="71"/>
      <c r="B52" s="188"/>
      <c r="C52" s="188"/>
      <c r="D52"/>
      <c r="E52" s="75"/>
    </row>
    <row r="53" spans="1:5" ht="12.75" customHeight="1"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0</v>
      </c>
    </row>
    <row r="59" spans="1:5" ht="6.75" customHeight="1" x14ac:dyDescent="0.25">
      <c r="A59" s="71"/>
      <c r="B59" s="179"/>
      <c r="C59" s="179"/>
      <c r="D59" s="2"/>
      <c r="E59" s="54"/>
    </row>
    <row r="60" spans="1:5" x14ac:dyDescent="0.25">
      <c r="A60" s="71"/>
      <c r="C60"/>
      <c r="D60" s="164" t="s">
        <v>72</v>
      </c>
      <c r="E60" s="54"/>
    </row>
    <row r="61" spans="1:5" x14ac:dyDescent="0.25">
      <c r="A61" s="71"/>
      <c r="B61" t="s">
        <v>7</v>
      </c>
      <c r="C61"/>
      <c r="D61" s="164" t="s">
        <v>42</v>
      </c>
      <c r="E61" s="54"/>
    </row>
    <row r="62" spans="1:5" x14ac:dyDescent="0.25">
      <c r="A62" s="71"/>
      <c r="C62"/>
      <c r="D62" s="164" t="s">
        <v>43</v>
      </c>
      <c r="E62" s="54"/>
    </row>
    <row r="63" spans="1:5" x14ac:dyDescent="0.25">
      <c r="A63" s="71"/>
      <c r="C63"/>
      <c r="D63" s="164" t="s">
        <v>62</v>
      </c>
      <c r="E63" s="54"/>
    </row>
    <row r="64" spans="1:5" x14ac:dyDescent="0.25">
      <c r="A64" s="71"/>
      <c r="B64" s="192"/>
      <c r="C64" s="192"/>
      <c r="D64" s="164" t="s">
        <v>45</v>
      </c>
      <c r="E64" s="54"/>
    </row>
    <row r="65" spans="1:5" x14ac:dyDescent="0.25">
      <c r="A65" s="71"/>
      <c r="B65" s="192"/>
      <c r="C65" s="192"/>
      <c r="D65" s="164"/>
      <c r="E65" s="54"/>
    </row>
    <row r="66" spans="1:5" x14ac:dyDescent="0.25">
      <c r="A66" s="71"/>
      <c r="B66" s="178" t="s">
        <v>14</v>
      </c>
      <c r="C66" s="178" t="s">
        <v>14</v>
      </c>
      <c r="D66" s="141"/>
      <c r="E66" s="142">
        <f>SUM(B68:B73)+SUM(C68:C73)</f>
        <v>1268420</v>
      </c>
    </row>
    <row r="67" spans="1:5" ht="6" customHeight="1" x14ac:dyDescent="0.25">
      <c r="A67" s="166"/>
      <c r="B67" s="179"/>
      <c r="C67" s="179"/>
      <c r="D67" s="2"/>
      <c r="E67" s="54"/>
    </row>
    <row r="68" spans="1:5" ht="18" customHeight="1" x14ac:dyDescent="0.25">
      <c r="A68" s="71"/>
      <c r="B68" s="86">
        <v>168880</v>
      </c>
      <c r="C68" s="86">
        <v>87100</v>
      </c>
      <c r="D68" s="164" t="s">
        <v>112</v>
      </c>
      <c r="E68" s="54"/>
    </row>
    <row r="69" spans="1:5" ht="26.4" x14ac:dyDescent="0.25">
      <c r="A69" s="71"/>
      <c r="B69" s="86"/>
      <c r="C69" s="86"/>
      <c r="D69" s="2409" t="s">
        <v>113</v>
      </c>
      <c r="E69" s="2408"/>
    </row>
    <row r="70" spans="1:5" ht="26.4" x14ac:dyDescent="0.25">
      <c r="A70" s="71"/>
      <c r="B70" s="86">
        <v>217500</v>
      </c>
      <c r="C70" s="86">
        <v>295800</v>
      </c>
      <c r="D70" s="2419" t="s">
        <v>114</v>
      </c>
      <c r="E70" s="2408"/>
    </row>
    <row r="71" spans="1:5" x14ac:dyDescent="0.25">
      <c r="A71" s="71"/>
      <c r="B71" s="86">
        <v>234900</v>
      </c>
      <c r="C71" s="86">
        <v>234900</v>
      </c>
      <c r="D71" s="164" t="s">
        <v>115</v>
      </c>
      <c r="E71" s="54"/>
    </row>
    <row r="72" spans="1:5" x14ac:dyDescent="0.25">
      <c r="A72" s="71"/>
      <c r="B72" s="86">
        <v>9450</v>
      </c>
      <c r="C72" s="86">
        <v>9450</v>
      </c>
      <c r="D72" s="3370" t="s">
        <v>1176</v>
      </c>
      <c r="E72" s="54"/>
    </row>
    <row r="73" spans="1:5" x14ac:dyDescent="0.25">
      <c r="A73" s="71"/>
      <c r="B73" s="86">
        <v>5220</v>
      </c>
      <c r="C73" s="86">
        <v>5220</v>
      </c>
      <c r="D73" s="3370" t="s">
        <v>116</v>
      </c>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C81"/>
      <c r="D81" s="153"/>
      <c r="E81" s="54"/>
    </row>
    <row r="82" spans="1:5" x14ac:dyDescent="0.25">
      <c r="A82" s="71"/>
      <c r="C82"/>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95"/>
      <c r="C85" s="195"/>
      <c r="D85" s="169"/>
      <c r="E85" s="54"/>
    </row>
    <row r="86" spans="1:5" s="55" customFormat="1" ht="12.75" customHeight="1" x14ac:dyDescent="0.25">
      <c r="A86" s="112"/>
      <c r="B86" s="196"/>
      <c r="C86" s="196"/>
      <c r="E86" s="54"/>
    </row>
    <row r="87" spans="1:5" s="55" customFormat="1" ht="12.75" customHeight="1" x14ac:dyDescent="0.25">
      <c r="A87" s="112"/>
      <c r="B87" s="195"/>
      <c r="C87" s="195"/>
      <c r="D87" s="169"/>
      <c r="E87" s="54"/>
    </row>
    <row r="88" spans="1:5" s="55" customFormat="1" x14ac:dyDescent="0.25">
      <c r="A88" s="112"/>
      <c r="B88" s="195"/>
      <c r="C88" s="195"/>
      <c r="D88" s="167"/>
      <c r="E88" s="54"/>
    </row>
    <row r="89" spans="1:5" s="55" customFormat="1" x14ac:dyDescent="0.25">
      <c r="A89" s="112"/>
      <c r="B89" s="195"/>
      <c r="C89" s="195"/>
      <c r="D89" s="167"/>
      <c r="E89" s="54"/>
    </row>
    <row r="90" spans="1:5" x14ac:dyDescent="0.25">
      <c r="A90" s="71"/>
      <c r="B90" s="183"/>
      <c r="C90" s="183"/>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C94"/>
      <c r="D94" s="2"/>
      <c r="E94" s="3"/>
    </row>
    <row r="95" spans="1:5" x14ac:dyDescent="0.25">
      <c r="A95" s="71"/>
      <c r="B95" s="88" t="s">
        <v>56</v>
      </c>
      <c r="C95"/>
      <c r="D95" s="2"/>
      <c r="E95" s="3"/>
    </row>
    <row r="96" spans="1:5" x14ac:dyDescent="0.25">
      <c r="A96" s="71"/>
      <c r="B96" s="88" t="s">
        <v>57</v>
      </c>
      <c r="C96"/>
      <c r="D96" s="2"/>
      <c r="E96" s="3"/>
    </row>
  </sheetData>
  <customSheetViews>
    <customSheetView guid="{074EB09C-6289-46D7-9513-012B68BCA7BF}" showPageBreaks="1" topLeftCell="A43">
      <selection activeCell="D69" sqref="D69:D70"/>
      <pageMargins left="0.7" right="0.7" top="0.75" bottom="0.75" header="0.3" footer="0.3"/>
      <pageSetup orientation="portrait" r:id="rId1"/>
    </customSheetView>
  </customSheetViews>
  <mergeCells count="3">
    <mergeCell ref="B17:C17"/>
    <mergeCell ref="B18:C18"/>
    <mergeCell ref="B14:E14"/>
  </mergeCells>
  <pageMargins left="0.25" right="0.36" top="0.35" bottom="0.39" header="0.3" footer="0.28999999999999998"/>
  <pageSetup paperSize="17" scale="53" orientation="landscape"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96"/>
  <sheetViews>
    <sheetView workbookViewId="0">
      <pane xSplit="1" ySplit="1" topLeftCell="B2" activePane="bottomRight" state="frozen"/>
      <selection pane="topRight" activeCell="B1" sqref="B1"/>
      <selection pane="bottomLeft" activeCell="A2" sqref="A2"/>
      <selection pane="bottomRight" activeCell="C16" sqref="C16"/>
    </sheetView>
  </sheetViews>
  <sheetFormatPr defaultRowHeight="13.2" x14ac:dyDescent="0.25"/>
  <cols>
    <col min="1" max="1" width="16" customWidth="1"/>
    <col min="2" max="2" width="22.33203125" customWidth="1"/>
    <col min="3" max="3" width="21.109375" style="2" customWidth="1"/>
    <col min="4" max="4" width="20.33203125" style="3" customWidth="1"/>
    <col min="5" max="9" width="18.88671875" customWidth="1"/>
    <col min="10" max="10" width="17.5546875" customWidth="1"/>
    <col min="11" max="12" width="24.44140625" customWidth="1"/>
    <col min="13" max="13" width="19.44140625" customWidth="1"/>
    <col min="14" max="14" width="14.109375" customWidth="1"/>
    <col min="15" max="15" width="17.5546875" customWidth="1"/>
  </cols>
  <sheetData>
    <row r="1" spans="1:15" ht="43.5" customHeight="1" x14ac:dyDescent="0.25"/>
    <row r="2" spans="1:15" ht="17.25" customHeight="1" thickBot="1" x14ac:dyDescent="0.35">
      <c r="B2" s="1" t="s">
        <v>91</v>
      </c>
      <c r="C2" s="170"/>
      <c r="D2" s="2"/>
      <c r="E2" s="3"/>
    </row>
    <row r="3" spans="1:15" ht="15.6" thickBot="1" x14ac:dyDescent="0.3">
      <c r="B3" s="5" t="s">
        <v>5</v>
      </c>
      <c r="C3" s="171"/>
      <c r="D3" s="6" t="s">
        <v>78</v>
      </c>
      <c r="E3" s="104">
        <v>18230466</v>
      </c>
    </row>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228000</v>
      </c>
      <c r="O7" s="26" t="s">
        <v>21</v>
      </c>
    </row>
    <row r="8" spans="1:15" s="55" customFormat="1" x14ac:dyDescent="0.25">
      <c r="A8" s="112"/>
      <c r="D8" s="114" t="s">
        <v>22</v>
      </c>
      <c r="E8" s="28">
        <v>0</v>
      </c>
      <c r="F8" s="28">
        <v>170625</v>
      </c>
      <c r="G8" s="28">
        <v>81000</v>
      </c>
      <c r="H8" s="28">
        <v>0</v>
      </c>
      <c r="I8" s="28">
        <v>14000</v>
      </c>
      <c r="J8" s="28">
        <v>0</v>
      </c>
      <c r="K8" s="28">
        <v>0</v>
      </c>
      <c r="L8" s="28">
        <v>0</v>
      </c>
      <c r="M8" s="28">
        <v>0</v>
      </c>
      <c r="N8" s="29">
        <v>265625</v>
      </c>
      <c r="O8" s="30">
        <f>(N8-N7)/N7</f>
        <v>0.1650219298245614</v>
      </c>
    </row>
    <row r="9" spans="1:15" s="55" customFormat="1" x14ac:dyDescent="0.25">
      <c r="A9" s="112"/>
      <c r="D9" s="55">
        <v>2012</v>
      </c>
      <c r="E9" s="121">
        <f>SUM(B23:B25)</f>
        <v>156600</v>
      </c>
      <c r="F9" s="121">
        <f>SUM(B29:B31)</f>
        <v>0</v>
      </c>
      <c r="G9" s="121">
        <f>(SUM(B23:B25)+SUM(B29:B31))*0.63</f>
        <v>98658</v>
      </c>
      <c r="H9" s="121">
        <f>SUM(B44:B48)+SUM(B52:B57)</f>
        <v>0</v>
      </c>
      <c r="I9" s="122">
        <f>SUM(B60:B64)</f>
        <v>17400</v>
      </c>
      <c r="J9" s="121">
        <f>SUM(B68:B73)</f>
        <v>73950</v>
      </c>
      <c r="K9" s="121">
        <f>SUM(B76:B82)</f>
        <v>0</v>
      </c>
      <c r="L9" s="121">
        <f>SUM(B85:B90)</f>
        <v>0</v>
      </c>
      <c r="M9" s="123"/>
      <c r="N9" s="190">
        <f>SUM(E9:M9)</f>
        <v>346608</v>
      </c>
      <c r="O9" s="30">
        <f>(N9-N8)/N8</f>
        <v>0.30487717647058826</v>
      </c>
    </row>
    <row r="10" spans="1:15" s="55" customFormat="1" x14ac:dyDescent="0.25">
      <c r="A10" s="112"/>
      <c r="D10" s="55">
        <v>2013</v>
      </c>
      <c r="E10" s="121">
        <f>SUM(C23:C25)</f>
        <v>161298</v>
      </c>
      <c r="F10" s="121">
        <f>SUM(C29:C31)</f>
        <v>0</v>
      </c>
      <c r="G10" s="121">
        <f>(SUM(C23:C25)+SUM(C29:C31))*0.63</f>
        <v>101617.74</v>
      </c>
      <c r="H10" s="121">
        <f>SUM(C44:C48)+SUM(C52:C57)</f>
        <v>0</v>
      </c>
      <c r="I10" s="122">
        <f>SUM(C60:C64)</f>
        <v>17400</v>
      </c>
      <c r="J10" s="121">
        <f>SUM(C68:C73)</f>
        <v>73950</v>
      </c>
      <c r="K10" s="121">
        <f>SUM(C76:C82)</f>
        <v>0</v>
      </c>
      <c r="L10" s="121">
        <f>SUM(C85:C90)</f>
        <v>0</v>
      </c>
      <c r="M10" s="123"/>
      <c r="N10" s="124">
        <f>SUM(E10:M10)</f>
        <v>354265.74</v>
      </c>
      <c r="O10" s="30">
        <f>(N10-N9)/N9</f>
        <v>2.2093373493975877E-2</v>
      </c>
    </row>
    <row r="11" spans="1:15" s="19" customFormat="1" ht="13.8" thickBot="1" x14ac:dyDescent="0.3">
      <c r="A11" s="71"/>
      <c r="D11" s="126" t="s">
        <v>23</v>
      </c>
      <c r="E11" s="127">
        <f>SUM(E9:E10)</f>
        <v>317898</v>
      </c>
      <c r="F11" s="127">
        <f t="shared" ref="F11:M11" si="0">SUM(F9:F10)</f>
        <v>0</v>
      </c>
      <c r="G11" s="127">
        <f t="shared" si="0"/>
        <v>200275.74</v>
      </c>
      <c r="H11" s="127">
        <f t="shared" si="0"/>
        <v>0</v>
      </c>
      <c r="I11" s="127">
        <f t="shared" si="0"/>
        <v>34800</v>
      </c>
      <c r="J11" s="127">
        <f t="shared" si="0"/>
        <v>147900</v>
      </c>
      <c r="K11" s="127">
        <f t="shared" si="0"/>
        <v>0</v>
      </c>
      <c r="L11" s="127">
        <f t="shared" si="0"/>
        <v>0</v>
      </c>
      <c r="M11" s="128">
        <f t="shared" si="0"/>
        <v>0</v>
      </c>
      <c r="N11" s="129">
        <f>SUM(N9:N10)</f>
        <v>700873.74</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317898</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181">
        <v>156600</v>
      </c>
      <c r="C23" s="182">
        <v>161298</v>
      </c>
      <c r="E23" s="54"/>
      <c r="F23" s="149"/>
    </row>
    <row r="24" spans="1:6" x14ac:dyDescent="0.25">
      <c r="A24" s="71"/>
      <c r="B24" s="183"/>
      <c r="C24" s="183"/>
      <c r="D24" s="153"/>
      <c r="E24" s="54"/>
    </row>
    <row r="25" spans="1:6" x14ac:dyDescent="0.25">
      <c r="A25" s="71"/>
      <c r="B25" s="183"/>
      <c r="C25" s="183"/>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200275.74</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D51"/>
      <c r="E51" s="75"/>
    </row>
    <row r="52" spans="1:5" x14ac:dyDescent="0.25">
      <c r="A52" s="71"/>
      <c r="B52" s="188"/>
      <c r="C52" s="188"/>
      <c r="D52"/>
      <c r="E52" s="75"/>
    </row>
    <row r="53" spans="1:5" ht="12.75" customHeight="1"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34800</v>
      </c>
    </row>
    <row r="59" spans="1:5" ht="6.75" customHeight="1" x14ac:dyDescent="0.25">
      <c r="A59" s="71"/>
      <c r="B59" s="179"/>
      <c r="C59" s="179"/>
      <c r="D59" s="2"/>
      <c r="E59" s="54"/>
    </row>
    <row r="60" spans="1:5" x14ac:dyDescent="0.25">
      <c r="A60" s="71"/>
      <c r="B60" s="86"/>
      <c r="C60" s="86"/>
      <c r="D60" s="164" t="s">
        <v>72</v>
      </c>
      <c r="E60" s="54"/>
    </row>
    <row r="61" spans="1:5" x14ac:dyDescent="0.25">
      <c r="A61" s="71"/>
      <c r="B61" s="86" t="s">
        <v>7</v>
      </c>
      <c r="C61" s="86"/>
      <c r="D61" s="164" t="s">
        <v>42</v>
      </c>
      <c r="E61" s="54"/>
    </row>
    <row r="62" spans="1:5" x14ac:dyDescent="0.25">
      <c r="A62" s="71"/>
      <c r="B62" s="86">
        <v>17400</v>
      </c>
      <c r="C62" s="86">
        <v>17400</v>
      </c>
      <c r="D62" s="164" t="s">
        <v>43</v>
      </c>
      <c r="E62" s="54"/>
    </row>
    <row r="63" spans="1:5" ht="26.4" x14ac:dyDescent="0.25">
      <c r="A63" s="71"/>
      <c r="B63" s="86"/>
      <c r="C63" s="86"/>
      <c r="D63" s="164" t="s">
        <v>62</v>
      </c>
      <c r="E63" s="54"/>
    </row>
    <row r="64" spans="1:5" x14ac:dyDescent="0.25">
      <c r="A64" s="71"/>
      <c r="B64" s="189"/>
      <c r="C64" s="189"/>
      <c r="D64" s="164" t="s">
        <v>45</v>
      </c>
      <c r="E64" s="54"/>
    </row>
    <row r="65" spans="1:5" x14ac:dyDescent="0.25">
      <c r="A65" s="71"/>
      <c r="B65" s="189"/>
      <c r="C65" s="189"/>
      <c r="D65" s="164"/>
      <c r="E65" s="54"/>
    </row>
    <row r="66" spans="1:5" x14ac:dyDescent="0.25">
      <c r="A66" s="71"/>
      <c r="B66" s="178" t="s">
        <v>14</v>
      </c>
      <c r="C66" s="178" t="s">
        <v>14</v>
      </c>
      <c r="D66" s="141"/>
      <c r="E66" s="142">
        <f>SUM(B68:B73)+SUM(C68:C73)</f>
        <v>147900</v>
      </c>
    </row>
    <row r="67" spans="1:5" ht="6" customHeight="1" x14ac:dyDescent="0.25">
      <c r="A67" s="166"/>
      <c r="B67" s="179"/>
      <c r="C67" s="179"/>
      <c r="D67" s="2"/>
      <c r="E67" s="54"/>
    </row>
    <row r="68" spans="1:5" x14ac:dyDescent="0.25">
      <c r="A68" s="71"/>
      <c r="B68" s="86">
        <v>73950</v>
      </c>
      <c r="C68" s="86">
        <v>73950</v>
      </c>
      <c r="D68" s="164" t="s">
        <v>92</v>
      </c>
      <c r="E68" s="54"/>
    </row>
    <row r="69" spans="1:5" x14ac:dyDescent="0.25">
      <c r="A69" s="71"/>
      <c r="B69" s="86"/>
      <c r="C69" s="86"/>
      <c r="D69" s="2"/>
      <c r="E69" s="54"/>
    </row>
    <row r="70" spans="1:5" x14ac:dyDescent="0.25">
      <c r="A70" s="71"/>
      <c r="B70" s="86"/>
      <c r="C70" s="86"/>
      <c r="D70" s="2"/>
      <c r="E70" s="54"/>
    </row>
    <row r="71" spans="1:5" x14ac:dyDescent="0.25">
      <c r="A71" s="71"/>
      <c r="B71" s="86"/>
      <c r="C71" s="86"/>
      <c r="D71" s="2"/>
      <c r="E71" s="54"/>
    </row>
    <row r="72" spans="1:5" x14ac:dyDescent="0.25">
      <c r="A72" s="71"/>
      <c r="B72" s="86"/>
      <c r="C72" s="86"/>
      <c r="D72" s="2"/>
      <c r="E72" s="54"/>
    </row>
    <row r="73" spans="1:5" x14ac:dyDescent="0.25">
      <c r="A73" s="71"/>
      <c r="B73" s="86" t="s">
        <v>7</v>
      </c>
      <c r="C73" s="86"/>
      <c r="D73" s="2"/>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C81"/>
      <c r="D81" s="153"/>
      <c r="E81" s="54"/>
    </row>
    <row r="82" spans="1:5" x14ac:dyDescent="0.25">
      <c r="A82" s="71"/>
      <c r="C82"/>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C90"/>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C94"/>
      <c r="D94" s="2"/>
      <c r="E94" s="3"/>
    </row>
    <row r="95" spans="1:5" x14ac:dyDescent="0.25">
      <c r="A95" s="71"/>
      <c r="B95" s="88" t="s">
        <v>56</v>
      </c>
      <c r="C95"/>
      <c r="D95" s="2"/>
      <c r="E95" s="3"/>
    </row>
    <row r="96" spans="1:5" x14ac:dyDescent="0.25">
      <c r="A96" s="71"/>
      <c r="B96" s="88" t="s">
        <v>57</v>
      </c>
      <c r="C96"/>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7" right="0.7" top="0.35" bottom="0.34" header="0.3" footer="0.3"/>
  <pageSetup paperSize="17" scale="55"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198"/>
  <sheetViews>
    <sheetView workbookViewId="0">
      <pane xSplit="1" ySplit="1" topLeftCell="J2" activePane="bottomRight" state="frozen"/>
      <selection pane="topRight" activeCell="B1" sqref="B1"/>
      <selection pane="bottomLeft" activeCell="A2" sqref="A2"/>
      <selection pane="bottomRight" activeCell="H42" sqref="H42"/>
    </sheetView>
  </sheetViews>
  <sheetFormatPr defaultRowHeight="13.2" x14ac:dyDescent="0.25"/>
  <cols>
    <col min="1" max="1" width="16.44140625" style="3369" customWidth="1"/>
    <col min="2" max="2" width="17.6640625" customWidth="1"/>
    <col min="3" max="3" width="34.109375" customWidth="1"/>
    <col min="4" max="4" width="16.88671875" style="19" customWidth="1"/>
    <col min="5" max="5" width="15.109375" customWidth="1"/>
    <col min="6" max="6" width="19.33203125" customWidth="1"/>
    <col min="7" max="7" width="13.44140625" customWidth="1"/>
    <col min="8" max="8" width="15.33203125" bestFit="1" customWidth="1"/>
    <col min="9" max="9" width="14.109375" bestFit="1" customWidth="1"/>
    <col min="10" max="10" width="12" bestFit="1" customWidth="1"/>
    <col min="11" max="11" width="16.6640625" bestFit="1" customWidth="1"/>
    <col min="12" max="12" width="17" bestFit="1" customWidth="1"/>
    <col min="13" max="13" width="18.6640625" customWidth="1"/>
    <col min="14" max="14" width="13.6640625" customWidth="1"/>
    <col min="15" max="15" width="15.44140625" bestFit="1" customWidth="1"/>
    <col min="16" max="17" width="15.5546875" bestFit="1"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34" bestFit="1" customWidth="1"/>
    <col min="261" max="261" width="13.5546875" bestFit="1" customWidth="1"/>
    <col min="262" max="262" width="46.5546875" bestFit="1" customWidth="1"/>
    <col min="263" max="263" width="13.44140625" customWidth="1"/>
    <col min="264" max="264" width="15.33203125" bestFit="1" customWidth="1"/>
    <col min="265" max="265" width="14.109375" bestFit="1" customWidth="1"/>
    <col min="266" max="266" width="12" bestFit="1" customWidth="1"/>
    <col min="267" max="267" width="16.6640625" bestFit="1" customWidth="1"/>
    <col min="268" max="268" width="17" bestFit="1" customWidth="1"/>
    <col min="269" max="269" width="18.6640625" customWidth="1"/>
    <col min="270" max="270" width="13.6640625" customWidth="1"/>
    <col min="271" max="271" width="15.44140625" bestFit="1" customWidth="1"/>
    <col min="272" max="273" width="15.5546875" bestFit="1"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34" bestFit="1" customWidth="1"/>
    <col min="517" max="517" width="13.5546875" bestFit="1" customWidth="1"/>
    <col min="518" max="518" width="46.5546875" bestFit="1" customWidth="1"/>
    <col min="519" max="519" width="13.44140625" customWidth="1"/>
    <col min="520" max="520" width="15.33203125" bestFit="1" customWidth="1"/>
    <col min="521" max="521" width="14.109375" bestFit="1" customWidth="1"/>
    <col min="522" max="522" width="12" bestFit="1" customWidth="1"/>
    <col min="523" max="523" width="16.6640625" bestFit="1" customWidth="1"/>
    <col min="524" max="524" width="17" bestFit="1" customWidth="1"/>
    <col min="525" max="525" width="18.6640625" customWidth="1"/>
    <col min="526" max="526" width="13.6640625" customWidth="1"/>
    <col min="527" max="527" width="15.44140625" bestFit="1" customWidth="1"/>
    <col min="528" max="529" width="15.5546875" bestFit="1"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34" bestFit="1" customWidth="1"/>
    <col min="773" max="773" width="13.5546875" bestFit="1" customWidth="1"/>
    <col min="774" max="774" width="46.5546875" bestFit="1" customWidth="1"/>
    <col min="775" max="775" width="13.44140625" customWidth="1"/>
    <col min="776" max="776" width="15.33203125" bestFit="1" customWidth="1"/>
    <col min="777" max="777" width="14.109375" bestFit="1" customWidth="1"/>
    <col min="778" max="778" width="12" bestFit="1" customWidth="1"/>
    <col min="779" max="779" width="16.6640625" bestFit="1" customWidth="1"/>
    <col min="780" max="780" width="17" bestFit="1" customWidth="1"/>
    <col min="781" max="781" width="18.6640625" customWidth="1"/>
    <col min="782" max="782" width="13.6640625" customWidth="1"/>
    <col min="783" max="783" width="15.44140625" bestFit="1" customWidth="1"/>
    <col min="784" max="785" width="15.5546875" bestFit="1"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34" bestFit="1" customWidth="1"/>
    <col min="1029" max="1029" width="13.5546875" bestFit="1" customWidth="1"/>
    <col min="1030" max="1030" width="46.5546875" bestFit="1" customWidth="1"/>
    <col min="1031" max="1031" width="13.44140625" customWidth="1"/>
    <col min="1032" max="1032" width="15.33203125" bestFit="1" customWidth="1"/>
    <col min="1033" max="1033" width="14.109375" bestFit="1" customWidth="1"/>
    <col min="1034" max="1034" width="12" bestFit="1" customWidth="1"/>
    <col min="1035" max="1035" width="16.6640625" bestFit="1" customWidth="1"/>
    <col min="1036" max="1036" width="17" bestFit="1" customWidth="1"/>
    <col min="1037" max="1037" width="18.6640625" customWidth="1"/>
    <col min="1038" max="1038" width="13.6640625" customWidth="1"/>
    <col min="1039" max="1039" width="15.44140625" bestFit="1" customWidth="1"/>
    <col min="1040" max="1041" width="15.5546875" bestFit="1"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34" bestFit="1" customWidth="1"/>
    <col min="1285" max="1285" width="13.5546875" bestFit="1" customWidth="1"/>
    <col min="1286" max="1286" width="46.5546875" bestFit="1" customWidth="1"/>
    <col min="1287" max="1287" width="13.44140625" customWidth="1"/>
    <col min="1288" max="1288" width="15.33203125" bestFit="1" customWidth="1"/>
    <col min="1289" max="1289" width="14.109375" bestFit="1" customWidth="1"/>
    <col min="1290" max="1290" width="12" bestFit="1" customWidth="1"/>
    <col min="1291" max="1291" width="16.6640625" bestFit="1" customWidth="1"/>
    <col min="1292" max="1292" width="17" bestFit="1" customWidth="1"/>
    <col min="1293" max="1293" width="18.6640625" customWidth="1"/>
    <col min="1294" max="1294" width="13.6640625" customWidth="1"/>
    <col min="1295" max="1295" width="15.44140625" bestFit="1" customWidth="1"/>
    <col min="1296" max="1297" width="15.5546875" bestFit="1"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34" bestFit="1" customWidth="1"/>
    <col min="1541" max="1541" width="13.5546875" bestFit="1" customWidth="1"/>
    <col min="1542" max="1542" width="46.5546875" bestFit="1" customWidth="1"/>
    <col min="1543" max="1543" width="13.44140625" customWidth="1"/>
    <col min="1544" max="1544" width="15.33203125" bestFit="1" customWidth="1"/>
    <col min="1545" max="1545" width="14.109375" bestFit="1" customWidth="1"/>
    <col min="1546" max="1546" width="12" bestFit="1" customWidth="1"/>
    <col min="1547" max="1547" width="16.6640625" bestFit="1" customWidth="1"/>
    <col min="1548" max="1548" width="17" bestFit="1" customWidth="1"/>
    <col min="1549" max="1549" width="18.6640625" customWidth="1"/>
    <col min="1550" max="1550" width="13.6640625" customWidth="1"/>
    <col min="1551" max="1551" width="15.44140625" bestFit="1" customWidth="1"/>
    <col min="1552" max="1553" width="15.5546875" bestFit="1"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34" bestFit="1" customWidth="1"/>
    <col min="1797" max="1797" width="13.5546875" bestFit="1" customWidth="1"/>
    <col min="1798" max="1798" width="46.5546875" bestFit="1" customWidth="1"/>
    <col min="1799" max="1799" width="13.44140625" customWidth="1"/>
    <col min="1800" max="1800" width="15.33203125" bestFit="1" customWidth="1"/>
    <col min="1801" max="1801" width="14.109375" bestFit="1" customWidth="1"/>
    <col min="1802" max="1802" width="12" bestFit="1" customWidth="1"/>
    <col min="1803" max="1803" width="16.6640625" bestFit="1" customWidth="1"/>
    <col min="1804" max="1804" width="17" bestFit="1" customWidth="1"/>
    <col min="1805" max="1805" width="18.6640625" customWidth="1"/>
    <col min="1806" max="1806" width="13.6640625" customWidth="1"/>
    <col min="1807" max="1807" width="15.44140625" bestFit="1" customWidth="1"/>
    <col min="1808" max="1809" width="15.5546875" bestFit="1"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34" bestFit="1" customWidth="1"/>
    <col min="2053" max="2053" width="13.5546875" bestFit="1" customWidth="1"/>
    <col min="2054" max="2054" width="46.5546875" bestFit="1" customWidth="1"/>
    <col min="2055" max="2055" width="13.44140625" customWidth="1"/>
    <col min="2056" max="2056" width="15.33203125" bestFit="1" customWidth="1"/>
    <col min="2057" max="2057" width="14.109375" bestFit="1" customWidth="1"/>
    <col min="2058" max="2058" width="12" bestFit="1" customWidth="1"/>
    <col min="2059" max="2059" width="16.6640625" bestFit="1" customWidth="1"/>
    <col min="2060" max="2060" width="17" bestFit="1" customWidth="1"/>
    <col min="2061" max="2061" width="18.6640625" customWidth="1"/>
    <col min="2062" max="2062" width="13.6640625" customWidth="1"/>
    <col min="2063" max="2063" width="15.44140625" bestFit="1" customWidth="1"/>
    <col min="2064" max="2065" width="15.5546875" bestFit="1"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34" bestFit="1" customWidth="1"/>
    <col min="2309" max="2309" width="13.5546875" bestFit="1" customWidth="1"/>
    <col min="2310" max="2310" width="46.5546875" bestFit="1" customWidth="1"/>
    <col min="2311" max="2311" width="13.44140625" customWidth="1"/>
    <col min="2312" max="2312" width="15.33203125" bestFit="1" customWidth="1"/>
    <col min="2313" max="2313" width="14.109375" bestFit="1" customWidth="1"/>
    <col min="2314" max="2314" width="12" bestFit="1" customWidth="1"/>
    <col min="2315" max="2315" width="16.6640625" bestFit="1" customWidth="1"/>
    <col min="2316" max="2316" width="17" bestFit="1" customWidth="1"/>
    <col min="2317" max="2317" width="18.6640625" customWidth="1"/>
    <col min="2318" max="2318" width="13.6640625" customWidth="1"/>
    <col min="2319" max="2319" width="15.44140625" bestFit="1" customWidth="1"/>
    <col min="2320" max="2321" width="15.5546875" bestFit="1"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34" bestFit="1" customWidth="1"/>
    <col min="2565" max="2565" width="13.5546875" bestFit="1" customWidth="1"/>
    <col min="2566" max="2566" width="46.5546875" bestFit="1" customWidth="1"/>
    <col min="2567" max="2567" width="13.44140625" customWidth="1"/>
    <col min="2568" max="2568" width="15.33203125" bestFit="1" customWidth="1"/>
    <col min="2569" max="2569" width="14.109375" bestFit="1" customWidth="1"/>
    <col min="2570" max="2570" width="12" bestFit="1" customWidth="1"/>
    <col min="2571" max="2571" width="16.6640625" bestFit="1" customWidth="1"/>
    <col min="2572" max="2572" width="17" bestFit="1" customWidth="1"/>
    <col min="2573" max="2573" width="18.6640625" customWidth="1"/>
    <col min="2574" max="2574" width="13.6640625" customWidth="1"/>
    <col min="2575" max="2575" width="15.44140625" bestFit="1" customWidth="1"/>
    <col min="2576" max="2577" width="15.5546875" bestFit="1"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34" bestFit="1" customWidth="1"/>
    <col min="2821" max="2821" width="13.5546875" bestFit="1" customWidth="1"/>
    <col min="2822" max="2822" width="46.5546875" bestFit="1" customWidth="1"/>
    <col min="2823" max="2823" width="13.44140625" customWidth="1"/>
    <col min="2824" max="2824" width="15.33203125" bestFit="1" customWidth="1"/>
    <col min="2825" max="2825" width="14.109375" bestFit="1" customWidth="1"/>
    <col min="2826" max="2826" width="12" bestFit="1" customWidth="1"/>
    <col min="2827" max="2827" width="16.6640625" bestFit="1" customWidth="1"/>
    <col min="2828" max="2828" width="17" bestFit="1" customWidth="1"/>
    <col min="2829" max="2829" width="18.6640625" customWidth="1"/>
    <col min="2830" max="2830" width="13.6640625" customWidth="1"/>
    <col min="2831" max="2831" width="15.44140625" bestFit="1" customWidth="1"/>
    <col min="2832" max="2833" width="15.5546875" bestFit="1"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34" bestFit="1" customWidth="1"/>
    <col min="3077" max="3077" width="13.5546875" bestFit="1" customWidth="1"/>
    <col min="3078" max="3078" width="46.5546875" bestFit="1" customWidth="1"/>
    <col min="3079" max="3079" width="13.44140625" customWidth="1"/>
    <col min="3080" max="3080" width="15.33203125" bestFit="1" customWidth="1"/>
    <col min="3081" max="3081" width="14.109375" bestFit="1" customWidth="1"/>
    <col min="3082" max="3082" width="12" bestFit="1" customWidth="1"/>
    <col min="3083" max="3083" width="16.6640625" bestFit="1" customWidth="1"/>
    <col min="3084" max="3084" width="17" bestFit="1" customWidth="1"/>
    <col min="3085" max="3085" width="18.6640625" customWidth="1"/>
    <col min="3086" max="3086" width="13.6640625" customWidth="1"/>
    <col min="3087" max="3087" width="15.44140625" bestFit="1" customWidth="1"/>
    <col min="3088" max="3089" width="15.5546875" bestFit="1"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34" bestFit="1" customWidth="1"/>
    <col min="3333" max="3333" width="13.5546875" bestFit="1" customWidth="1"/>
    <col min="3334" max="3334" width="46.5546875" bestFit="1" customWidth="1"/>
    <col min="3335" max="3335" width="13.44140625" customWidth="1"/>
    <col min="3336" max="3336" width="15.33203125" bestFit="1" customWidth="1"/>
    <col min="3337" max="3337" width="14.109375" bestFit="1" customWidth="1"/>
    <col min="3338" max="3338" width="12" bestFit="1" customWidth="1"/>
    <col min="3339" max="3339" width="16.6640625" bestFit="1" customWidth="1"/>
    <col min="3340" max="3340" width="17" bestFit="1" customWidth="1"/>
    <col min="3341" max="3341" width="18.6640625" customWidth="1"/>
    <col min="3342" max="3342" width="13.6640625" customWidth="1"/>
    <col min="3343" max="3343" width="15.44140625" bestFit="1" customWidth="1"/>
    <col min="3344" max="3345" width="15.5546875" bestFit="1"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34" bestFit="1" customWidth="1"/>
    <col min="3589" max="3589" width="13.5546875" bestFit="1" customWidth="1"/>
    <col min="3590" max="3590" width="46.5546875" bestFit="1" customWidth="1"/>
    <col min="3591" max="3591" width="13.44140625" customWidth="1"/>
    <col min="3592" max="3592" width="15.33203125" bestFit="1" customWidth="1"/>
    <col min="3593" max="3593" width="14.109375" bestFit="1" customWidth="1"/>
    <col min="3594" max="3594" width="12" bestFit="1" customWidth="1"/>
    <col min="3595" max="3595" width="16.6640625" bestFit="1" customWidth="1"/>
    <col min="3596" max="3596" width="17" bestFit="1" customWidth="1"/>
    <col min="3597" max="3597" width="18.6640625" customWidth="1"/>
    <col min="3598" max="3598" width="13.6640625" customWidth="1"/>
    <col min="3599" max="3599" width="15.44140625" bestFit="1" customWidth="1"/>
    <col min="3600" max="3601" width="15.5546875" bestFit="1"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34" bestFit="1" customWidth="1"/>
    <col min="3845" max="3845" width="13.5546875" bestFit="1" customWidth="1"/>
    <col min="3846" max="3846" width="46.5546875" bestFit="1" customWidth="1"/>
    <col min="3847" max="3847" width="13.44140625" customWidth="1"/>
    <col min="3848" max="3848" width="15.33203125" bestFit="1" customWidth="1"/>
    <col min="3849" max="3849" width="14.109375" bestFit="1" customWidth="1"/>
    <col min="3850" max="3850" width="12" bestFit="1" customWidth="1"/>
    <col min="3851" max="3851" width="16.6640625" bestFit="1" customWidth="1"/>
    <col min="3852" max="3852" width="17" bestFit="1" customWidth="1"/>
    <col min="3853" max="3853" width="18.6640625" customWidth="1"/>
    <col min="3854" max="3854" width="13.6640625" customWidth="1"/>
    <col min="3855" max="3855" width="15.44140625" bestFit="1" customWidth="1"/>
    <col min="3856" max="3857" width="15.5546875" bestFit="1"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34" bestFit="1" customWidth="1"/>
    <col min="4101" max="4101" width="13.5546875" bestFit="1" customWidth="1"/>
    <col min="4102" max="4102" width="46.5546875" bestFit="1" customWidth="1"/>
    <col min="4103" max="4103" width="13.44140625" customWidth="1"/>
    <col min="4104" max="4104" width="15.33203125" bestFit="1" customWidth="1"/>
    <col min="4105" max="4105" width="14.109375" bestFit="1" customWidth="1"/>
    <col min="4106" max="4106" width="12" bestFit="1" customWidth="1"/>
    <col min="4107" max="4107" width="16.6640625" bestFit="1" customWidth="1"/>
    <col min="4108" max="4108" width="17" bestFit="1" customWidth="1"/>
    <col min="4109" max="4109" width="18.6640625" customWidth="1"/>
    <col min="4110" max="4110" width="13.6640625" customWidth="1"/>
    <col min="4111" max="4111" width="15.44140625" bestFit="1" customWidth="1"/>
    <col min="4112" max="4113" width="15.5546875" bestFit="1"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34" bestFit="1" customWidth="1"/>
    <col min="4357" max="4357" width="13.5546875" bestFit="1" customWidth="1"/>
    <col min="4358" max="4358" width="46.5546875" bestFit="1" customWidth="1"/>
    <col min="4359" max="4359" width="13.44140625" customWidth="1"/>
    <col min="4360" max="4360" width="15.33203125" bestFit="1" customWidth="1"/>
    <col min="4361" max="4361" width="14.109375" bestFit="1" customWidth="1"/>
    <col min="4362" max="4362" width="12" bestFit="1" customWidth="1"/>
    <col min="4363" max="4363" width="16.6640625" bestFit="1" customWidth="1"/>
    <col min="4364" max="4364" width="17" bestFit="1" customWidth="1"/>
    <col min="4365" max="4365" width="18.6640625" customWidth="1"/>
    <col min="4366" max="4366" width="13.6640625" customWidth="1"/>
    <col min="4367" max="4367" width="15.44140625" bestFit="1" customWidth="1"/>
    <col min="4368" max="4369" width="15.5546875" bestFit="1"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34" bestFit="1" customWidth="1"/>
    <col min="4613" max="4613" width="13.5546875" bestFit="1" customWidth="1"/>
    <col min="4614" max="4614" width="46.5546875" bestFit="1" customWidth="1"/>
    <col min="4615" max="4615" width="13.44140625" customWidth="1"/>
    <col min="4616" max="4616" width="15.33203125" bestFit="1" customWidth="1"/>
    <col min="4617" max="4617" width="14.109375" bestFit="1" customWidth="1"/>
    <col min="4618" max="4618" width="12" bestFit="1" customWidth="1"/>
    <col min="4619" max="4619" width="16.6640625" bestFit="1" customWidth="1"/>
    <col min="4620" max="4620" width="17" bestFit="1" customWidth="1"/>
    <col min="4621" max="4621" width="18.6640625" customWidth="1"/>
    <col min="4622" max="4622" width="13.6640625" customWidth="1"/>
    <col min="4623" max="4623" width="15.44140625" bestFit="1" customWidth="1"/>
    <col min="4624" max="4625" width="15.5546875" bestFit="1"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34" bestFit="1" customWidth="1"/>
    <col min="4869" max="4869" width="13.5546875" bestFit="1" customWidth="1"/>
    <col min="4870" max="4870" width="46.5546875" bestFit="1" customWidth="1"/>
    <col min="4871" max="4871" width="13.44140625" customWidth="1"/>
    <col min="4872" max="4872" width="15.33203125" bestFit="1" customWidth="1"/>
    <col min="4873" max="4873" width="14.109375" bestFit="1" customWidth="1"/>
    <col min="4874" max="4874" width="12" bestFit="1" customWidth="1"/>
    <col min="4875" max="4875" width="16.6640625" bestFit="1" customWidth="1"/>
    <col min="4876" max="4876" width="17" bestFit="1" customWidth="1"/>
    <col min="4877" max="4877" width="18.6640625" customWidth="1"/>
    <col min="4878" max="4878" width="13.6640625" customWidth="1"/>
    <col min="4879" max="4879" width="15.44140625" bestFit="1" customWidth="1"/>
    <col min="4880" max="4881" width="15.5546875" bestFit="1"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34" bestFit="1" customWidth="1"/>
    <col min="5125" max="5125" width="13.5546875" bestFit="1" customWidth="1"/>
    <col min="5126" max="5126" width="46.5546875" bestFit="1" customWidth="1"/>
    <col min="5127" max="5127" width="13.44140625" customWidth="1"/>
    <col min="5128" max="5128" width="15.33203125" bestFit="1" customWidth="1"/>
    <col min="5129" max="5129" width="14.109375" bestFit="1" customWidth="1"/>
    <col min="5130" max="5130" width="12" bestFit="1" customWidth="1"/>
    <col min="5131" max="5131" width="16.6640625" bestFit="1" customWidth="1"/>
    <col min="5132" max="5132" width="17" bestFit="1" customWidth="1"/>
    <col min="5133" max="5133" width="18.6640625" customWidth="1"/>
    <col min="5134" max="5134" width="13.6640625" customWidth="1"/>
    <col min="5135" max="5135" width="15.44140625" bestFit="1" customWidth="1"/>
    <col min="5136" max="5137" width="15.5546875" bestFit="1"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34" bestFit="1" customWidth="1"/>
    <col min="5381" max="5381" width="13.5546875" bestFit="1" customWidth="1"/>
    <col min="5382" max="5382" width="46.5546875" bestFit="1" customWidth="1"/>
    <col min="5383" max="5383" width="13.44140625" customWidth="1"/>
    <col min="5384" max="5384" width="15.33203125" bestFit="1" customWidth="1"/>
    <col min="5385" max="5385" width="14.109375" bestFit="1" customWidth="1"/>
    <col min="5386" max="5386" width="12" bestFit="1" customWidth="1"/>
    <col min="5387" max="5387" width="16.6640625" bestFit="1" customWidth="1"/>
    <col min="5388" max="5388" width="17" bestFit="1" customWidth="1"/>
    <col min="5389" max="5389" width="18.6640625" customWidth="1"/>
    <col min="5390" max="5390" width="13.6640625" customWidth="1"/>
    <col min="5391" max="5391" width="15.44140625" bestFit="1" customWidth="1"/>
    <col min="5392" max="5393" width="15.5546875" bestFit="1"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34" bestFit="1" customWidth="1"/>
    <col min="5637" max="5637" width="13.5546875" bestFit="1" customWidth="1"/>
    <col min="5638" max="5638" width="46.5546875" bestFit="1" customWidth="1"/>
    <col min="5639" max="5639" width="13.44140625" customWidth="1"/>
    <col min="5640" max="5640" width="15.33203125" bestFit="1" customWidth="1"/>
    <col min="5641" max="5641" width="14.109375" bestFit="1" customWidth="1"/>
    <col min="5642" max="5642" width="12" bestFit="1" customWidth="1"/>
    <col min="5643" max="5643" width="16.6640625" bestFit="1" customWidth="1"/>
    <col min="5644" max="5644" width="17" bestFit="1" customWidth="1"/>
    <col min="5645" max="5645" width="18.6640625" customWidth="1"/>
    <col min="5646" max="5646" width="13.6640625" customWidth="1"/>
    <col min="5647" max="5647" width="15.44140625" bestFit="1" customWidth="1"/>
    <col min="5648" max="5649" width="15.5546875" bestFit="1"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34" bestFit="1" customWidth="1"/>
    <col min="5893" max="5893" width="13.5546875" bestFit="1" customWidth="1"/>
    <col min="5894" max="5894" width="46.5546875" bestFit="1" customWidth="1"/>
    <col min="5895" max="5895" width="13.44140625" customWidth="1"/>
    <col min="5896" max="5896" width="15.33203125" bestFit="1" customWidth="1"/>
    <col min="5897" max="5897" width="14.109375" bestFit="1" customWidth="1"/>
    <col min="5898" max="5898" width="12" bestFit="1" customWidth="1"/>
    <col min="5899" max="5899" width="16.6640625" bestFit="1" customWidth="1"/>
    <col min="5900" max="5900" width="17" bestFit="1" customWidth="1"/>
    <col min="5901" max="5901" width="18.6640625" customWidth="1"/>
    <col min="5902" max="5902" width="13.6640625" customWidth="1"/>
    <col min="5903" max="5903" width="15.44140625" bestFit="1" customWidth="1"/>
    <col min="5904" max="5905" width="15.5546875" bestFit="1"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34" bestFit="1" customWidth="1"/>
    <col min="6149" max="6149" width="13.5546875" bestFit="1" customWidth="1"/>
    <col min="6150" max="6150" width="46.5546875" bestFit="1" customWidth="1"/>
    <col min="6151" max="6151" width="13.44140625" customWidth="1"/>
    <col min="6152" max="6152" width="15.33203125" bestFit="1" customWidth="1"/>
    <col min="6153" max="6153" width="14.109375" bestFit="1" customWidth="1"/>
    <col min="6154" max="6154" width="12" bestFit="1" customWidth="1"/>
    <col min="6155" max="6155" width="16.6640625" bestFit="1" customWidth="1"/>
    <col min="6156" max="6156" width="17" bestFit="1" customWidth="1"/>
    <col min="6157" max="6157" width="18.6640625" customWidth="1"/>
    <col min="6158" max="6158" width="13.6640625" customWidth="1"/>
    <col min="6159" max="6159" width="15.44140625" bestFit="1" customWidth="1"/>
    <col min="6160" max="6161" width="15.5546875" bestFit="1"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34" bestFit="1" customWidth="1"/>
    <col min="6405" max="6405" width="13.5546875" bestFit="1" customWidth="1"/>
    <col min="6406" max="6406" width="46.5546875" bestFit="1" customWidth="1"/>
    <col min="6407" max="6407" width="13.44140625" customWidth="1"/>
    <col min="6408" max="6408" width="15.33203125" bestFit="1" customWidth="1"/>
    <col min="6409" max="6409" width="14.109375" bestFit="1" customWidth="1"/>
    <col min="6410" max="6410" width="12" bestFit="1" customWidth="1"/>
    <col min="6411" max="6411" width="16.6640625" bestFit="1" customWidth="1"/>
    <col min="6412" max="6412" width="17" bestFit="1" customWidth="1"/>
    <col min="6413" max="6413" width="18.6640625" customWidth="1"/>
    <col min="6414" max="6414" width="13.6640625" customWidth="1"/>
    <col min="6415" max="6415" width="15.44140625" bestFit="1" customWidth="1"/>
    <col min="6416" max="6417" width="15.5546875" bestFit="1"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34" bestFit="1" customWidth="1"/>
    <col min="6661" max="6661" width="13.5546875" bestFit="1" customWidth="1"/>
    <col min="6662" max="6662" width="46.5546875" bestFit="1" customWidth="1"/>
    <col min="6663" max="6663" width="13.44140625" customWidth="1"/>
    <col min="6664" max="6664" width="15.33203125" bestFit="1" customWidth="1"/>
    <col min="6665" max="6665" width="14.109375" bestFit="1" customWidth="1"/>
    <col min="6666" max="6666" width="12" bestFit="1" customWidth="1"/>
    <col min="6667" max="6667" width="16.6640625" bestFit="1" customWidth="1"/>
    <col min="6668" max="6668" width="17" bestFit="1" customWidth="1"/>
    <col min="6669" max="6669" width="18.6640625" customWidth="1"/>
    <col min="6670" max="6670" width="13.6640625" customWidth="1"/>
    <col min="6671" max="6671" width="15.44140625" bestFit="1" customWidth="1"/>
    <col min="6672" max="6673" width="15.5546875" bestFit="1"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34" bestFit="1" customWidth="1"/>
    <col min="6917" max="6917" width="13.5546875" bestFit="1" customWidth="1"/>
    <col min="6918" max="6918" width="46.5546875" bestFit="1" customWidth="1"/>
    <col min="6919" max="6919" width="13.44140625" customWidth="1"/>
    <col min="6920" max="6920" width="15.33203125" bestFit="1" customWidth="1"/>
    <col min="6921" max="6921" width="14.109375" bestFit="1" customWidth="1"/>
    <col min="6922" max="6922" width="12" bestFit="1" customWidth="1"/>
    <col min="6923" max="6923" width="16.6640625" bestFit="1" customWidth="1"/>
    <col min="6924" max="6924" width="17" bestFit="1" customWidth="1"/>
    <col min="6925" max="6925" width="18.6640625" customWidth="1"/>
    <col min="6926" max="6926" width="13.6640625" customWidth="1"/>
    <col min="6927" max="6927" width="15.44140625" bestFit="1" customWidth="1"/>
    <col min="6928" max="6929" width="15.5546875" bestFit="1"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34" bestFit="1" customWidth="1"/>
    <col min="7173" max="7173" width="13.5546875" bestFit="1" customWidth="1"/>
    <col min="7174" max="7174" width="46.5546875" bestFit="1" customWidth="1"/>
    <col min="7175" max="7175" width="13.44140625" customWidth="1"/>
    <col min="7176" max="7176" width="15.33203125" bestFit="1" customWidth="1"/>
    <col min="7177" max="7177" width="14.109375" bestFit="1" customWidth="1"/>
    <col min="7178" max="7178" width="12" bestFit="1" customWidth="1"/>
    <col min="7179" max="7179" width="16.6640625" bestFit="1" customWidth="1"/>
    <col min="7180" max="7180" width="17" bestFit="1" customWidth="1"/>
    <col min="7181" max="7181" width="18.6640625" customWidth="1"/>
    <col min="7182" max="7182" width="13.6640625" customWidth="1"/>
    <col min="7183" max="7183" width="15.44140625" bestFit="1" customWidth="1"/>
    <col min="7184" max="7185" width="15.5546875" bestFit="1"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34" bestFit="1" customWidth="1"/>
    <col min="7429" max="7429" width="13.5546875" bestFit="1" customWidth="1"/>
    <col min="7430" max="7430" width="46.5546875" bestFit="1" customWidth="1"/>
    <col min="7431" max="7431" width="13.44140625" customWidth="1"/>
    <col min="7432" max="7432" width="15.33203125" bestFit="1" customWidth="1"/>
    <col min="7433" max="7433" width="14.109375" bestFit="1" customWidth="1"/>
    <col min="7434" max="7434" width="12" bestFit="1" customWidth="1"/>
    <col min="7435" max="7435" width="16.6640625" bestFit="1" customWidth="1"/>
    <col min="7436" max="7436" width="17" bestFit="1" customWidth="1"/>
    <col min="7437" max="7437" width="18.6640625" customWidth="1"/>
    <col min="7438" max="7438" width="13.6640625" customWidth="1"/>
    <col min="7439" max="7439" width="15.44140625" bestFit="1" customWidth="1"/>
    <col min="7440" max="7441" width="15.5546875" bestFit="1"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34" bestFit="1" customWidth="1"/>
    <col min="7685" max="7685" width="13.5546875" bestFit="1" customWidth="1"/>
    <col min="7686" max="7686" width="46.5546875" bestFit="1" customWidth="1"/>
    <col min="7687" max="7687" width="13.44140625" customWidth="1"/>
    <col min="7688" max="7688" width="15.33203125" bestFit="1" customWidth="1"/>
    <col min="7689" max="7689" width="14.109375" bestFit="1" customWidth="1"/>
    <col min="7690" max="7690" width="12" bestFit="1" customWidth="1"/>
    <col min="7691" max="7691" width="16.6640625" bestFit="1" customWidth="1"/>
    <col min="7692" max="7692" width="17" bestFit="1" customWidth="1"/>
    <col min="7693" max="7693" width="18.6640625" customWidth="1"/>
    <col min="7694" max="7694" width="13.6640625" customWidth="1"/>
    <col min="7695" max="7695" width="15.44140625" bestFit="1" customWidth="1"/>
    <col min="7696" max="7697" width="15.5546875" bestFit="1"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34" bestFit="1" customWidth="1"/>
    <col min="7941" max="7941" width="13.5546875" bestFit="1" customWidth="1"/>
    <col min="7942" max="7942" width="46.5546875" bestFit="1" customWidth="1"/>
    <col min="7943" max="7943" width="13.44140625" customWidth="1"/>
    <col min="7944" max="7944" width="15.33203125" bestFit="1" customWidth="1"/>
    <col min="7945" max="7945" width="14.109375" bestFit="1" customWidth="1"/>
    <col min="7946" max="7946" width="12" bestFit="1" customWidth="1"/>
    <col min="7947" max="7947" width="16.6640625" bestFit="1" customWidth="1"/>
    <col min="7948" max="7948" width="17" bestFit="1" customWidth="1"/>
    <col min="7949" max="7949" width="18.6640625" customWidth="1"/>
    <col min="7950" max="7950" width="13.6640625" customWidth="1"/>
    <col min="7951" max="7951" width="15.44140625" bestFit="1" customWidth="1"/>
    <col min="7952" max="7953" width="15.5546875" bestFit="1"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34" bestFit="1" customWidth="1"/>
    <col min="8197" max="8197" width="13.5546875" bestFit="1" customWidth="1"/>
    <col min="8198" max="8198" width="46.5546875" bestFit="1" customWidth="1"/>
    <col min="8199" max="8199" width="13.44140625" customWidth="1"/>
    <col min="8200" max="8200" width="15.33203125" bestFit="1" customWidth="1"/>
    <col min="8201" max="8201" width="14.109375" bestFit="1" customWidth="1"/>
    <col min="8202" max="8202" width="12" bestFit="1" customWidth="1"/>
    <col min="8203" max="8203" width="16.6640625" bestFit="1" customWidth="1"/>
    <col min="8204" max="8204" width="17" bestFit="1" customWidth="1"/>
    <col min="8205" max="8205" width="18.6640625" customWidth="1"/>
    <col min="8206" max="8206" width="13.6640625" customWidth="1"/>
    <col min="8207" max="8207" width="15.44140625" bestFit="1" customWidth="1"/>
    <col min="8208" max="8209" width="15.5546875" bestFit="1"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34" bestFit="1" customWidth="1"/>
    <col min="8453" max="8453" width="13.5546875" bestFit="1" customWidth="1"/>
    <col min="8454" max="8454" width="46.5546875" bestFit="1" customWidth="1"/>
    <col min="8455" max="8455" width="13.44140625" customWidth="1"/>
    <col min="8456" max="8456" width="15.33203125" bestFit="1" customWidth="1"/>
    <col min="8457" max="8457" width="14.109375" bestFit="1" customWidth="1"/>
    <col min="8458" max="8458" width="12" bestFit="1" customWidth="1"/>
    <col min="8459" max="8459" width="16.6640625" bestFit="1" customWidth="1"/>
    <col min="8460" max="8460" width="17" bestFit="1" customWidth="1"/>
    <col min="8461" max="8461" width="18.6640625" customWidth="1"/>
    <col min="8462" max="8462" width="13.6640625" customWidth="1"/>
    <col min="8463" max="8463" width="15.44140625" bestFit="1" customWidth="1"/>
    <col min="8464" max="8465" width="15.5546875" bestFit="1"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34" bestFit="1" customWidth="1"/>
    <col min="8709" max="8709" width="13.5546875" bestFit="1" customWidth="1"/>
    <col min="8710" max="8710" width="46.5546875" bestFit="1" customWidth="1"/>
    <col min="8711" max="8711" width="13.44140625" customWidth="1"/>
    <col min="8712" max="8712" width="15.33203125" bestFit="1" customWidth="1"/>
    <col min="8713" max="8713" width="14.109375" bestFit="1" customWidth="1"/>
    <col min="8714" max="8714" width="12" bestFit="1" customWidth="1"/>
    <col min="8715" max="8715" width="16.6640625" bestFit="1" customWidth="1"/>
    <col min="8716" max="8716" width="17" bestFit="1" customWidth="1"/>
    <col min="8717" max="8717" width="18.6640625" customWidth="1"/>
    <col min="8718" max="8718" width="13.6640625" customWidth="1"/>
    <col min="8719" max="8719" width="15.44140625" bestFit="1" customWidth="1"/>
    <col min="8720" max="8721" width="15.5546875" bestFit="1"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34" bestFit="1" customWidth="1"/>
    <col min="8965" max="8965" width="13.5546875" bestFit="1" customWidth="1"/>
    <col min="8966" max="8966" width="46.5546875" bestFit="1" customWidth="1"/>
    <col min="8967" max="8967" width="13.44140625" customWidth="1"/>
    <col min="8968" max="8968" width="15.33203125" bestFit="1" customWidth="1"/>
    <col min="8969" max="8969" width="14.109375" bestFit="1" customWidth="1"/>
    <col min="8970" max="8970" width="12" bestFit="1" customWidth="1"/>
    <col min="8971" max="8971" width="16.6640625" bestFit="1" customWidth="1"/>
    <col min="8972" max="8972" width="17" bestFit="1" customWidth="1"/>
    <col min="8973" max="8973" width="18.6640625" customWidth="1"/>
    <col min="8974" max="8974" width="13.6640625" customWidth="1"/>
    <col min="8975" max="8975" width="15.44140625" bestFit="1" customWidth="1"/>
    <col min="8976" max="8977" width="15.5546875" bestFit="1"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34" bestFit="1" customWidth="1"/>
    <col min="9221" max="9221" width="13.5546875" bestFit="1" customWidth="1"/>
    <col min="9222" max="9222" width="46.5546875" bestFit="1" customWidth="1"/>
    <col min="9223" max="9223" width="13.44140625" customWidth="1"/>
    <col min="9224" max="9224" width="15.33203125" bestFit="1" customWidth="1"/>
    <col min="9225" max="9225" width="14.109375" bestFit="1" customWidth="1"/>
    <col min="9226" max="9226" width="12" bestFit="1" customWidth="1"/>
    <col min="9227" max="9227" width="16.6640625" bestFit="1" customWidth="1"/>
    <col min="9228" max="9228" width="17" bestFit="1" customWidth="1"/>
    <col min="9229" max="9229" width="18.6640625" customWidth="1"/>
    <col min="9230" max="9230" width="13.6640625" customWidth="1"/>
    <col min="9231" max="9231" width="15.44140625" bestFit="1" customWidth="1"/>
    <col min="9232" max="9233" width="15.5546875" bestFit="1"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34" bestFit="1" customWidth="1"/>
    <col min="9477" max="9477" width="13.5546875" bestFit="1" customWidth="1"/>
    <col min="9478" max="9478" width="46.5546875" bestFit="1" customWidth="1"/>
    <col min="9479" max="9479" width="13.44140625" customWidth="1"/>
    <col min="9480" max="9480" width="15.33203125" bestFit="1" customWidth="1"/>
    <col min="9481" max="9481" width="14.109375" bestFit="1" customWidth="1"/>
    <col min="9482" max="9482" width="12" bestFit="1" customWidth="1"/>
    <col min="9483" max="9483" width="16.6640625" bestFit="1" customWidth="1"/>
    <col min="9484" max="9484" width="17" bestFit="1" customWidth="1"/>
    <col min="9485" max="9485" width="18.6640625" customWidth="1"/>
    <col min="9486" max="9486" width="13.6640625" customWidth="1"/>
    <col min="9487" max="9487" width="15.44140625" bestFit="1" customWidth="1"/>
    <col min="9488" max="9489" width="15.5546875" bestFit="1"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34" bestFit="1" customWidth="1"/>
    <col min="9733" max="9733" width="13.5546875" bestFit="1" customWidth="1"/>
    <col min="9734" max="9734" width="46.5546875" bestFit="1" customWidth="1"/>
    <col min="9735" max="9735" width="13.44140625" customWidth="1"/>
    <col min="9736" max="9736" width="15.33203125" bestFit="1" customWidth="1"/>
    <col min="9737" max="9737" width="14.109375" bestFit="1" customWidth="1"/>
    <col min="9738" max="9738" width="12" bestFit="1" customWidth="1"/>
    <col min="9739" max="9739" width="16.6640625" bestFit="1" customWidth="1"/>
    <col min="9740" max="9740" width="17" bestFit="1" customWidth="1"/>
    <col min="9741" max="9741" width="18.6640625" customWidth="1"/>
    <col min="9742" max="9742" width="13.6640625" customWidth="1"/>
    <col min="9743" max="9743" width="15.44140625" bestFit="1" customWidth="1"/>
    <col min="9744" max="9745" width="15.5546875" bestFit="1"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34" bestFit="1" customWidth="1"/>
    <col min="9989" max="9989" width="13.5546875" bestFit="1" customWidth="1"/>
    <col min="9990" max="9990" width="46.5546875" bestFit="1" customWidth="1"/>
    <col min="9991" max="9991" width="13.44140625" customWidth="1"/>
    <col min="9992" max="9992" width="15.33203125" bestFit="1" customWidth="1"/>
    <col min="9993" max="9993" width="14.109375" bestFit="1" customWidth="1"/>
    <col min="9994" max="9994" width="12" bestFit="1" customWidth="1"/>
    <col min="9995" max="9995" width="16.6640625" bestFit="1" customWidth="1"/>
    <col min="9996" max="9996" width="17" bestFit="1" customWidth="1"/>
    <col min="9997" max="9997" width="18.6640625" customWidth="1"/>
    <col min="9998" max="9998" width="13.6640625" customWidth="1"/>
    <col min="9999" max="9999" width="15.44140625" bestFit="1" customWidth="1"/>
    <col min="10000" max="10001" width="15.5546875" bestFit="1"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34" bestFit="1" customWidth="1"/>
    <col min="10245" max="10245" width="13.5546875" bestFit="1" customWidth="1"/>
    <col min="10246" max="10246" width="46.5546875" bestFit="1" customWidth="1"/>
    <col min="10247" max="10247" width="13.44140625" customWidth="1"/>
    <col min="10248" max="10248" width="15.33203125" bestFit="1" customWidth="1"/>
    <col min="10249" max="10249" width="14.109375" bestFit="1" customWidth="1"/>
    <col min="10250" max="10250" width="12" bestFit="1" customWidth="1"/>
    <col min="10251" max="10251" width="16.6640625" bestFit="1" customWidth="1"/>
    <col min="10252" max="10252" width="17" bestFit="1" customWidth="1"/>
    <col min="10253" max="10253" width="18.6640625" customWidth="1"/>
    <col min="10254" max="10254" width="13.6640625" customWidth="1"/>
    <col min="10255" max="10255" width="15.44140625" bestFit="1" customWidth="1"/>
    <col min="10256" max="10257" width="15.5546875" bestFit="1"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34" bestFit="1" customWidth="1"/>
    <col min="10501" max="10501" width="13.5546875" bestFit="1" customWidth="1"/>
    <col min="10502" max="10502" width="46.5546875" bestFit="1" customWidth="1"/>
    <col min="10503" max="10503" width="13.44140625" customWidth="1"/>
    <col min="10504" max="10504" width="15.33203125" bestFit="1" customWidth="1"/>
    <col min="10505" max="10505" width="14.109375" bestFit="1" customWidth="1"/>
    <col min="10506" max="10506" width="12" bestFit="1" customWidth="1"/>
    <col min="10507" max="10507" width="16.6640625" bestFit="1" customWidth="1"/>
    <col min="10508" max="10508" width="17" bestFit="1" customWidth="1"/>
    <col min="10509" max="10509" width="18.6640625" customWidth="1"/>
    <col min="10510" max="10510" width="13.6640625" customWidth="1"/>
    <col min="10511" max="10511" width="15.44140625" bestFit="1" customWidth="1"/>
    <col min="10512" max="10513" width="15.5546875" bestFit="1"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34" bestFit="1" customWidth="1"/>
    <col min="10757" max="10757" width="13.5546875" bestFit="1" customWidth="1"/>
    <col min="10758" max="10758" width="46.5546875" bestFit="1" customWidth="1"/>
    <col min="10759" max="10759" width="13.44140625" customWidth="1"/>
    <col min="10760" max="10760" width="15.33203125" bestFit="1" customWidth="1"/>
    <col min="10761" max="10761" width="14.109375" bestFit="1" customWidth="1"/>
    <col min="10762" max="10762" width="12" bestFit="1" customWidth="1"/>
    <col min="10763" max="10763" width="16.6640625" bestFit="1" customWidth="1"/>
    <col min="10764" max="10764" width="17" bestFit="1" customWidth="1"/>
    <col min="10765" max="10765" width="18.6640625" customWidth="1"/>
    <col min="10766" max="10766" width="13.6640625" customWidth="1"/>
    <col min="10767" max="10767" width="15.44140625" bestFit="1" customWidth="1"/>
    <col min="10768" max="10769" width="15.5546875" bestFit="1"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34" bestFit="1" customWidth="1"/>
    <col min="11013" max="11013" width="13.5546875" bestFit="1" customWidth="1"/>
    <col min="11014" max="11014" width="46.5546875" bestFit="1" customWidth="1"/>
    <col min="11015" max="11015" width="13.44140625" customWidth="1"/>
    <col min="11016" max="11016" width="15.33203125" bestFit="1" customWidth="1"/>
    <col min="11017" max="11017" width="14.109375" bestFit="1" customWidth="1"/>
    <col min="11018" max="11018" width="12" bestFit="1" customWidth="1"/>
    <col min="11019" max="11019" width="16.6640625" bestFit="1" customWidth="1"/>
    <col min="11020" max="11020" width="17" bestFit="1" customWidth="1"/>
    <col min="11021" max="11021" width="18.6640625" customWidth="1"/>
    <col min="11022" max="11022" width="13.6640625" customWidth="1"/>
    <col min="11023" max="11023" width="15.44140625" bestFit="1" customWidth="1"/>
    <col min="11024" max="11025" width="15.5546875" bestFit="1"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34" bestFit="1" customWidth="1"/>
    <col min="11269" max="11269" width="13.5546875" bestFit="1" customWidth="1"/>
    <col min="11270" max="11270" width="46.5546875" bestFit="1" customWidth="1"/>
    <col min="11271" max="11271" width="13.44140625" customWidth="1"/>
    <col min="11272" max="11272" width="15.33203125" bestFit="1" customWidth="1"/>
    <col min="11273" max="11273" width="14.109375" bestFit="1" customWidth="1"/>
    <col min="11274" max="11274" width="12" bestFit="1" customWidth="1"/>
    <col min="11275" max="11275" width="16.6640625" bestFit="1" customWidth="1"/>
    <col min="11276" max="11276" width="17" bestFit="1" customWidth="1"/>
    <col min="11277" max="11277" width="18.6640625" customWidth="1"/>
    <col min="11278" max="11278" width="13.6640625" customWidth="1"/>
    <col min="11279" max="11279" width="15.44140625" bestFit="1" customWidth="1"/>
    <col min="11280" max="11281" width="15.5546875" bestFit="1"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34" bestFit="1" customWidth="1"/>
    <col min="11525" max="11525" width="13.5546875" bestFit="1" customWidth="1"/>
    <col min="11526" max="11526" width="46.5546875" bestFit="1" customWidth="1"/>
    <col min="11527" max="11527" width="13.44140625" customWidth="1"/>
    <col min="11528" max="11528" width="15.33203125" bestFit="1" customWidth="1"/>
    <col min="11529" max="11529" width="14.109375" bestFit="1" customWidth="1"/>
    <col min="11530" max="11530" width="12" bestFit="1" customWidth="1"/>
    <col min="11531" max="11531" width="16.6640625" bestFit="1" customWidth="1"/>
    <col min="11532" max="11532" width="17" bestFit="1" customWidth="1"/>
    <col min="11533" max="11533" width="18.6640625" customWidth="1"/>
    <col min="11534" max="11534" width="13.6640625" customWidth="1"/>
    <col min="11535" max="11535" width="15.44140625" bestFit="1" customWidth="1"/>
    <col min="11536" max="11537" width="15.5546875" bestFit="1"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34" bestFit="1" customWidth="1"/>
    <col min="11781" max="11781" width="13.5546875" bestFit="1" customWidth="1"/>
    <col min="11782" max="11782" width="46.5546875" bestFit="1" customWidth="1"/>
    <col min="11783" max="11783" width="13.44140625" customWidth="1"/>
    <col min="11784" max="11784" width="15.33203125" bestFit="1" customWidth="1"/>
    <col min="11785" max="11785" width="14.109375" bestFit="1" customWidth="1"/>
    <col min="11786" max="11786" width="12" bestFit="1" customWidth="1"/>
    <col min="11787" max="11787" width="16.6640625" bestFit="1" customWidth="1"/>
    <col min="11788" max="11788" width="17" bestFit="1" customWidth="1"/>
    <col min="11789" max="11789" width="18.6640625" customWidth="1"/>
    <col min="11790" max="11790" width="13.6640625" customWidth="1"/>
    <col min="11791" max="11791" width="15.44140625" bestFit="1" customWidth="1"/>
    <col min="11792" max="11793" width="15.5546875" bestFit="1"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34" bestFit="1" customWidth="1"/>
    <col min="12037" max="12037" width="13.5546875" bestFit="1" customWidth="1"/>
    <col min="12038" max="12038" width="46.5546875" bestFit="1" customWidth="1"/>
    <col min="12039" max="12039" width="13.44140625" customWidth="1"/>
    <col min="12040" max="12040" width="15.33203125" bestFit="1" customWidth="1"/>
    <col min="12041" max="12041" width="14.109375" bestFit="1" customWidth="1"/>
    <col min="12042" max="12042" width="12" bestFit="1" customWidth="1"/>
    <col min="12043" max="12043" width="16.6640625" bestFit="1" customWidth="1"/>
    <col min="12044" max="12044" width="17" bestFit="1" customWidth="1"/>
    <col min="12045" max="12045" width="18.6640625" customWidth="1"/>
    <col min="12046" max="12046" width="13.6640625" customWidth="1"/>
    <col min="12047" max="12047" width="15.44140625" bestFit="1" customWidth="1"/>
    <col min="12048" max="12049" width="15.5546875" bestFit="1"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34" bestFit="1" customWidth="1"/>
    <col min="12293" max="12293" width="13.5546875" bestFit="1" customWidth="1"/>
    <col min="12294" max="12294" width="46.5546875" bestFit="1" customWidth="1"/>
    <col min="12295" max="12295" width="13.44140625" customWidth="1"/>
    <col min="12296" max="12296" width="15.33203125" bestFit="1" customWidth="1"/>
    <col min="12297" max="12297" width="14.109375" bestFit="1" customWidth="1"/>
    <col min="12298" max="12298" width="12" bestFit="1" customWidth="1"/>
    <col min="12299" max="12299" width="16.6640625" bestFit="1" customWidth="1"/>
    <col min="12300" max="12300" width="17" bestFit="1" customWidth="1"/>
    <col min="12301" max="12301" width="18.6640625" customWidth="1"/>
    <col min="12302" max="12302" width="13.6640625" customWidth="1"/>
    <col min="12303" max="12303" width="15.44140625" bestFit="1" customWidth="1"/>
    <col min="12304" max="12305" width="15.5546875" bestFit="1"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34" bestFit="1" customWidth="1"/>
    <col min="12549" max="12549" width="13.5546875" bestFit="1" customWidth="1"/>
    <col min="12550" max="12550" width="46.5546875" bestFit="1" customWidth="1"/>
    <col min="12551" max="12551" width="13.44140625" customWidth="1"/>
    <col min="12552" max="12552" width="15.33203125" bestFit="1" customWidth="1"/>
    <col min="12553" max="12553" width="14.109375" bestFit="1" customWidth="1"/>
    <col min="12554" max="12554" width="12" bestFit="1" customWidth="1"/>
    <col min="12555" max="12555" width="16.6640625" bestFit="1" customWidth="1"/>
    <col min="12556" max="12556" width="17" bestFit="1" customWidth="1"/>
    <col min="12557" max="12557" width="18.6640625" customWidth="1"/>
    <col min="12558" max="12558" width="13.6640625" customWidth="1"/>
    <col min="12559" max="12559" width="15.44140625" bestFit="1" customWidth="1"/>
    <col min="12560" max="12561" width="15.5546875" bestFit="1"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34" bestFit="1" customWidth="1"/>
    <col min="12805" max="12805" width="13.5546875" bestFit="1" customWidth="1"/>
    <col min="12806" max="12806" width="46.5546875" bestFit="1" customWidth="1"/>
    <col min="12807" max="12807" width="13.44140625" customWidth="1"/>
    <col min="12808" max="12808" width="15.33203125" bestFit="1" customWidth="1"/>
    <col min="12809" max="12809" width="14.109375" bestFit="1" customWidth="1"/>
    <col min="12810" max="12810" width="12" bestFit="1" customWidth="1"/>
    <col min="12811" max="12811" width="16.6640625" bestFit="1" customWidth="1"/>
    <col min="12812" max="12812" width="17" bestFit="1" customWidth="1"/>
    <col min="12813" max="12813" width="18.6640625" customWidth="1"/>
    <col min="12814" max="12814" width="13.6640625" customWidth="1"/>
    <col min="12815" max="12815" width="15.44140625" bestFit="1" customWidth="1"/>
    <col min="12816" max="12817" width="15.5546875" bestFit="1"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34" bestFit="1" customWidth="1"/>
    <col min="13061" max="13061" width="13.5546875" bestFit="1" customWidth="1"/>
    <col min="13062" max="13062" width="46.5546875" bestFit="1" customWidth="1"/>
    <col min="13063" max="13063" width="13.44140625" customWidth="1"/>
    <col min="13064" max="13064" width="15.33203125" bestFit="1" customWidth="1"/>
    <col min="13065" max="13065" width="14.109375" bestFit="1" customWidth="1"/>
    <col min="13066" max="13066" width="12" bestFit="1" customWidth="1"/>
    <col min="13067" max="13067" width="16.6640625" bestFit="1" customWidth="1"/>
    <col min="13068" max="13068" width="17" bestFit="1" customWidth="1"/>
    <col min="13069" max="13069" width="18.6640625" customWidth="1"/>
    <col min="13070" max="13070" width="13.6640625" customWidth="1"/>
    <col min="13071" max="13071" width="15.44140625" bestFit="1" customWidth="1"/>
    <col min="13072" max="13073" width="15.5546875" bestFit="1"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34" bestFit="1" customWidth="1"/>
    <col min="13317" max="13317" width="13.5546875" bestFit="1" customWidth="1"/>
    <col min="13318" max="13318" width="46.5546875" bestFit="1" customWidth="1"/>
    <col min="13319" max="13319" width="13.44140625" customWidth="1"/>
    <col min="13320" max="13320" width="15.33203125" bestFit="1" customWidth="1"/>
    <col min="13321" max="13321" width="14.109375" bestFit="1" customWidth="1"/>
    <col min="13322" max="13322" width="12" bestFit="1" customWidth="1"/>
    <col min="13323" max="13323" width="16.6640625" bestFit="1" customWidth="1"/>
    <col min="13324" max="13324" width="17" bestFit="1" customWidth="1"/>
    <col min="13325" max="13325" width="18.6640625" customWidth="1"/>
    <col min="13326" max="13326" width="13.6640625" customWidth="1"/>
    <col min="13327" max="13327" width="15.44140625" bestFit="1" customWidth="1"/>
    <col min="13328" max="13329" width="15.5546875" bestFit="1"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34" bestFit="1" customWidth="1"/>
    <col min="13573" max="13573" width="13.5546875" bestFit="1" customWidth="1"/>
    <col min="13574" max="13574" width="46.5546875" bestFit="1" customWidth="1"/>
    <col min="13575" max="13575" width="13.44140625" customWidth="1"/>
    <col min="13576" max="13576" width="15.33203125" bestFit="1" customWidth="1"/>
    <col min="13577" max="13577" width="14.109375" bestFit="1" customWidth="1"/>
    <col min="13578" max="13578" width="12" bestFit="1" customWidth="1"/>
    <col min="13579" max="13579" width="16.6640625" bestFit="1" customWidth="1"/>
    <col min="13580" max="13580" width="17" bestFit="1" customWidth="1"/>
    <col min="13581" max="13581" width="18.6640625" customWidth="1"/>
    <col min="13582" max="13582" width="13.6640625" customWidth="1"/>
    <col min="13583" max="13583" width="15.44140625" bestFit="1" customWidth="1"/>
    <col min="13584" max="13585" width="15.5546875" bestFit="1"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34" bestFit="1" customWidth="1"/>
    <col min="13829" max="13829" width="13.5546875" bestFit="1" customWidth="1"/>
    <col min="13830" max="13830" width="46.5546875" bestFit="1" customWidth="1"/>
    <col min="13831" max="13831" width="13.44140625" customWidth="1"/>
    <col min="13832" max="13832" width="15.33203125" bestFit="1" customWidth="1"/>
    <col min="13833" max="13833" width="14.109375" bestFit="1" customWidth="1"/>
    <col min="13834" max="13834" width="12" bestFit="1" customWidth="1"/>
    <col min="13835" max="13835" width="16.6640625" bestFit="1" customWidth="1"/>
    <col min="13836" max="13836" width="17" bestFit="1" customWidth="1"/>
    <col min="13837" max="13837" width="18.6640625" customWidth="1"/>
    <col min="13838" max="13838" width="13.6640625" customWidth="1"/>
    <col min="13839" max="13839" width="15.44140625" bestFit="1" customWidth="1"/>
    <col min="13840" max="13841" width="15.5546875" bestFit="1"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34" bestFit="1" customWidth="1"/>
    <col min="14085" max="14085" width="13.5546875" bestFit="1" customWidth="1"/>
    <col min="14086" max="14086" width="46.5546875" bestFit="1" customWidth="1"/>
    <col min="14087" max="14087" width="13.44140625" customWidth="1"/>
    <col min="14088" max="14088" width="15.33203125" bestFit="1" customWidth="1"/>
    <col min="14089" max="14089" width="14.109375" bestFit="1" customWidth="1"/>
    <col min="14090" max="14090" width="12" bestFit="1" customWidth="1"/>
    <col min="14091" max="14091" width="16.6640625" bestFit="1" customWidth="1"/>
    <col min="14092" max="14092" width="17" bestFit="1" customWidth="1"/>
    <col min="14093" max="14093" width="18.6640625" customWidth="1"/>
    <col min="14094" max="14094" width="13.6640625" customWidth="1"/>
    <col min="14095" max="14095" width="15.44140625" bestFit="1" customWidth="1"/>
    <col min="14096" max="14097" width="15.5546875" bestFit="1"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34" bestFit="1" customWidth="1"/>
    <col min="14341" max="14341" width="13.5546875" bestFit="1" customWidth="1"/>
    <col min="14342" max="14342" width="46.5546875" bestFit="1" customWidth="1"/>
    <col min="14343" max="14343" width="13.44140625" customWidth="1"/>
    <col min="14344" max="14344" width="15.33203125" bestFit="1" customWidth="1"/>
    <col min="14345" max="14345" width="14.109375" bestFit="1" customWidth="1"/>
    <col min="14346" max="14346" width="12" bestFit="1" customWidth="1"/>
    <col min="14347" max="14347" width="16.6640625" bestFit="1" customWidth="1"/>
    <col min="14348" max="14348" width="17" bestFit="1" customWidth="1"/>
    <col min="14349" max="14349" width="18.6640625" customWidth="1"/>
    <col min="14350" max="14350" width="13.6640625" customWidth="1"/>
    <col min="14351" max="14351" width="15.44140625" bestFit="1" customWidth="1"/>
    <col min="14352" max="14353" width="15.5546875" bestFit="1"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34" bestFit="1" customWidth="1"/>
    <col min="14597" max="14597" width="13.5546875" bestFit="1" customWidth="1"/>
    <col min="14598" max="14598" width="46.5546875" bestFit="1" customWidth="1"/>
    <col min="14599" max="14599" width="13.44140625" customWidth="1"/>
    <col min="14600" max="14600" width="15.33203125" bestFit="1" customWidth="1"/>
    <col min="14601" max="14601" width="14.109375" bestFit="1" customWidth="1"/>
    <col min="14602" max="14602" width="12" bestFit="1" customWidth="1"/>
    <col min="14603" max="14603" width="16.6640625" bestFit="1" customWidth="1"/>
    <col min="14604" max="14604" width="17" bestFit="1" customWidth="1"/>
    <col min="14605" max="14605" width="18.6640625" customWidth="1"/>
    <col min="14606" max="14606" width="13.6640625" customWidth="1"/>
    <col min="14607" max="14607" width="15.44140625" bestFit="1" customWidth="1"/>
    <col min="14608" max="14609" width="15.5546875" bestFit="1"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34" bestFit="1" customWidth="1"/>
    <col min="14853" max="14853" width="13.5546875" bestFit="1" customWidth="1"/>
    <col min="14854" max="14854" width="46.5546875" bestFit="1" customWidth="1"/>
    <col min="14855" max="14855" width="13.44140625" customWidth="1"/>
    <col min="14856" max="14856" width="15.33203125" bestFit="1" customWidth="1"/>
    <col min="14857" max="14857" width="14.109375" bestFit="1" customWidth="1"/>
    <col min="14858" max="14858" width="12" bestFit="1" customWidth="1"/>
    <col min="14859" max="14859" width="16.6640625" bestFit="1" customWidth="1"/>
    <col min="14860" max="14860" width="17" bestFit="1" customWidth="1"/>
    <col min="14861" max="14861" width="18.6640625" customWidth="1"/>
    <col min="14862" max="14862" width="13.6640625" customWidth="1"/>
    <col min="14863" max="14863" width="15.44140625" bestFit="1" customWidth="1"/>
    <col min="14864" max="14865" width="15.5546875" bestFit="1"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34" bestFit="1" customWidth="1"/>
    <col min="15109" max="15109" width="13.5546875" bestFit="1" customWidth="1"/>
    <col min="15110" max="15110" width="46.5546875" bestFit="1" customWidth="1"/>
    <col min="15111" max="15111" width="13.44140625" customWidth="1"/>
    <col min="15112" max="15112" width="15.33203125" bestFit="1" customWidth="1"/>
    <col min="15113" max="15113" width="14.109375" bestFit="1" customWidth="1"/>
    <col min="15114" max="15114" width="12" bestFit="1" customWidth="1"/>
    <col min="15115" max="15115" width="16.6640625" bestFit="1" customWidth="1"/>
    <col min="15116" max="15116" width="17" bestFit="1" customWidth="1"/>
    <col min="15117" max="15117" width="18.6640625" customWidth="1"/>
    <col min="15118" max="15118" width="13.6640625" customWidth="1"/>
    <col min="15119" max="15119" width="15.44140625" bestFit="1" customWidth="1"/>
    <col min="15120" max="15121" width="15.5546875" bestFit="1"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34" bestFit="1" customWidth="1"/>
    <col min="15365" max="15365" width="13.5546875" bestFit="1" customWidth="1"/>
    <col min="15366" max="15366" width="46.5546875" bestFit="1" customWidth="1"/>
    <col min="15367" max="15367" width="13.44140625" customWidth="1"/>
    <col min="15368" max="15368" width="15.33203125" bestFit="1" customWidth="1"/>
    <col min="15369" max="15369" width="14.109375" bestFit="1" customWidth="1"/>
    <col min="15370" max="15370" width="12" bestFit="1" customWidth="1"/>
    <col min="15371" max="15371" width="16.6640625" bestFit="1" customWidth="1"/>
    <col min="15372" max="15372" width="17" bestFit="1" customWidth="1"/>
    <col min="15373" max="15373" width="18.6640625" customWidth="1"/>
    <col min="15374" max="15374" width="13.6640625" customWidth="1"/>
    <col min="15375" max="15375" width="15.44140625" bestFit="1" customWidth="1"/>
    <col min="15376" max="15377" width="15.5546875" bestFit="1"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34" bestFit="1" customWidth="1"/>
    <col min="15621" max="15621" width="13.5546875" bestFit="1" customWidth="1"/>
    <col min="15622" max="15622" width="46.5546875" bestFit="1" customWidth="1"/>
    <col min="15623" max="15623" width="13.44140625" customWidth="1"/>
    <col min="15624" max="15624" width="15.33203125" bestFit="1" customWidth="1"/>
    <col min="15625" max="15625" width="14.109375" bestFit="1" customWidth="1"/>
    <col min="15626" max="15626" width="12" bestFit="1" customWidth="1"/>
    <col min="15627" max="15627" width="16.6640625" bestFit="1" customWidth="1"/>
    <col min="15628" max="15628" width="17" bestFit="1" customWidth="1"/>
    <col min="15629" max="15629" width="18.6640625" customWidth="1"/>
    <col min="15630" max="15630" width="13.6640625" customWidth="1"/>
    <col min="15631" max="15631" width="15.44140625" bestFit="1" customWidth="1"/>
    <col min="15632" max="15633" width="15.5546875" bestFit="1"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34" bestFit="1" customWidth="1"/>
    <col min="15877" max="15877" width="13.5546875" bestFit="1" customWidth="1"/>
    <col min="15878" max="15878" width="46.5546875" bestFit="1" customWidth="1"/>
    <col min="15879" max="15879" width="13.44140625" customWidth="1"/>
    <col min="15880" max="15880" width="15.33203125" bestFit="1" customWidth="1"/>
    <col min="15881" max="15881" width="14.109375" bestFit="1" customWidth="1"/>
    <col min="15882" max="15882" width="12" bestFit="1" customWidth="1"/>
    <col min="15883" max="15883" width="16.6640625" bestFit="1" customWidth="1"/>
    <col min="15884" max="15884" width="17" bestFit="1" customWidth="1"/>
    <col min="15885" max="15885" width="18.6640625" customWidth="1"/>
    <col min="15886" max="15886" width="13.6640625" customWidth="1"/>
    <col min="15887" max="15887" width="15.44140625" bestFit="1" customWidth="1"/>
    <col min="15888" max="15889" width="15.5546875" bestFit="1"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34" bestFit="1" customWidth="1"/>
    <col min="16133" max="16133" width="13.5546875" bestFit="1" customWidth="1"/>
    <col min="16134" max="16134" width="46.5546875" bestFit="1" customWidth="1"/>
    <col min="16135" max="16135" width="13.44140625" customWidth="1"/>
    <col min="16136" max="16136" width="15.33203125" bestFit="1" customWidth="1"/>
    <col min="16137" max="16137" width="14.109375" bestFit="1" customWidth="1"/>
    <col min="16138" max="16138" width="12" bestFit="1" customWidth="1"/>
    <col min="16139" max="16139" width="16.6640625" bestFit="1" customWidth="1"/>
    <col min="16140" max="16140" width="17" bestFit="1" customWidth="1"/>
    <col min="16141" max="16141" width="18.6640625" customWidth="1"/>
    <col min="16142" max="16142" width="13.6640625" customWidth="1"/>
    <col min="16143" max="16143" width="15.44140625" bestFit="1" customWidth="1"/>
    <col min="16144" max="16145" width="15.5546875" bestFit="1"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5.75" customHeight="1" thickBot="1" x14ac:dyDescent="0.35">
      <c r="B1" s="3881"/>
      <c r="F1" s="202"/>
      <c r="G1" s="202">
        <f>C3</f>
        <v>18230611</v>
      </c>
      <c r="H1" s="202" t="str">
        <f>C4</f>
        <v>Low Income Weatherization TE</v>
      </c>
      <c r="I1" s="202"/>
    </row>
    <row r="2" spans="2:22" ht="16.2" thickBot="1" x14ac:dyDescent="0.35">
      <c r="B2" s="202" t="s">
        <v>131</v>
      </c>
      <c r="C2" s="203" t="s">
        <v>380</v>
      </c>
      <c r="G2" s="204" t="s">
        <v>8</v>
      </c>
      <c r="Q2" s="4765"/>
      <c r="R2" s="4765"/>
      <c r="S2" s="4762" t="s">
        <v>132</v>
      </c>
      <c r="T2" s="4763"/>
      <c r="U2" s="4764"/>
      <c r="V2" s="4766" t="s">
        <v>133</v>
      </c>
    </row>
    <row r="3" spans="2:22" ht="16.2" thickBot="1" x14ac:dyDescent="0.35">
      <c r="B3" s="203" t="s">
        <v>6</v>
      </c>
      <c r="C3" s="203">
        <v>18230611</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381</v>
      </c>
      <c r="F4" s="202">
        <v>2011</v>
      </c>
      <c r="G4" s="210">
        <f>B12</f>
        <v>163224</v>
      </c>
      <c r="H4" s="211">
        <f>B17</f>
        <v>117</v>
      </c>
      <c r="I4" s="211">
        <f>B22</f>
        <v>82827</v>
      </c>
      <c r="J4" s="211">
        <f>B27</f>
        <v>4532</v>
      </c>
      <c r="K4" s="211">
        <f>B32</f>
        <v>5085</v>
      </c>
      <c r="L4" s="211">
        <f>B37</f>
        <v>117202</v>
      </c>
      <c r="M4" s="211">
        <f>B42</f>
        <v>459</v>
      </c>
      <c r="N4" s="211">
        <f>B47</f>
        <v>8258</v>
      </c>
      <c r="O4" s="211">
        <f>B52</f>
        <v>2041511</v>
      </c>
      <c r="P4" s="211">
        <f>B53</f>
        <v>0</v>
      </c>
      <c r="Q4" s="213">
        <f>B54</f>
        <v>2423215</v>
      </c>
      <c r="R4" s="214">
        <f>T99</f>
        <v>1501108</v>
      </c>
      <c r="S4" s="215">
        <f>O4/Q4</f>
        <v>0.84248034119960469</v>
      </c>
      <c r="T4" s="215">
        <f>(J4+(H4*1.63))/Q4</f>
        <v>1.9489438617704166E-3</v>
      </c>
      <c r="U4" s="215">
        <f>L4/Q4</f>
        <v>4.8366323252373396E-2</v>
      </c>
      <c r="V4" s="216">
        <f>Q4/R4</f>
        <v>1.6142842487016258</v>
      </c>
    </row>
    <row r="5" spans="2:22" ht="16.2" thickBot="1" x14ac:dyDescent="0.35">
      <c r="B5" s="202" t="s">
        <v>34</v>
      </c>
      <c r="F5" s="202">
        <v>2012</v>
      </c>
      <c r="G5" s="217">
        <f>D12</f>
        <v>141850.36799999999</v>
      </c>
      <c r="H5" s="218">
        <f>D17</f>
        <v>15840</v>
      </c>
      <c r="I5" s="218">
        <f>D22</f>
        <v>99344.93183999999</v>
      </c>
      <c r="J5" s="218">
        <f>D27</f>
        <v>4000</v>
      </c>
      <c r="K5" s="218">
        <f>D32</f>
        <v>12000</v>
      </c>
      <c r="L5" s="218">
        <f>D37</f>
        <v>19200</v>
      </c>
      <c r="M5" s="218">
        <f>D42</f>
        <v>10800</v>
      </c>
      <c r="N5" s="218">
        <f>D47</f>
        <v>777</v>
      </c>
      <c r="O5" s="218">
        <f>D52</f>
        <v>2642565.3741000001</v>
      </c>
      <c r="P5" s="218">
        <f>D53</f>
        <v>0</v>
      </c>
      <c r="Q5" s="219">
        <f>SUM(G5:P5)</f>
        <v>2946377.6739400001</v>
      </c>
      <c r="R5" s="220">
        <f>P101</f>
        <v>2134938.38</v>
      </c>
      <c r="S5" s="221">
        <f>O5/Q5</f>
        <v>0.89688616550174594</v>
      </c>
      <c r="T5" s="221">
        <f>(J5+(H5*1.63))/Q5</f>
        <v>1.0120630584376072E-2</v>
      </c>
      <c r="U5" s="221">
        <f>L5/Q5</f>
        <v>6.5164762039229968E-3</v>
      </c>
      <c r="V5" s="222">
        <f>Q5/R5</f>
        <v>1.3800762127570165</v>
      </c>
    </row>
    <row r="6" spans="2:22" ht="16.2" thickBot="1" x14ac:dyDescent="0.35">
      <c r="C6" s="202" t="s">
        <v>382</v>
      </c>
      <c r="F6" s="202">
        <v>2013</v>
      </c>
      <c r="G6" s="223">
        <f>E12</f>
        <v>146105.82800000001</v>
      </c>
      <c r="H6" s="224">
        <f>E17</f>
        <v>16236</v>
      </c>
      <c r="I6" s="224">
        <f>E22</f>
        <v>107544.67164</v>
      </c>
      <c r="J6" s="224">
        <f>E27</f>
        <v>4000</v>
      </c>
      <c r="K6" s="224">
        <f>E32</f>
        <v>12000</v>
      </c>
      <c r="L6" s="224">
        <f>E37</f>
        <v>19200</v>
      </c>
      <c r="M6" s="224">
        <f>E42</f>
        <v>10800</v>
      </c>
      <c r="N6" s="224">
        <f>E47</f>
        <v>777</v>
      </c>
      <c r="O6" s="224">
        <f>E52</f>
        <v>2111270.2547000004</v>
      </c>
      <c r="P6" s="224">
        <f>E53</f>
        <v>0</v>
      </c>
      <c r="Q6" s="225">
        <f>SUM(G6:P6)</f>
        <v>2427933.7543400005</v>
      </c>
      <c r="R6" s="226">
        <f>Q101</f>
        <v>1744595.2760000001</v>
      </c>
      <c r="S6" s="221">
        <f>O6/Q6</f>
        <v>0.8695749012616365</v>
      </c>
      <c r="T6" s="221">
        <f>(J6+(H6*1.63))/Q6</f>
        <v>1.254757463853514E-2</v>
      </c>
      <c r="U6" s="221">
        <f>L6/Q6</f>
        <v>7.9079587594510989E-3</v>
      </c>
      <c r="V6" s="222">
        <f>Q6/R6</f>
        <v>1.3916888276269759</v>
      </c>
    </row>
    <row r="7" spans="2:22" ht="16.2" thickBot="1" x14ac:dyDescent="0.35">
      <c r="C7" s="227" t="s">
        <v>383</v>
      </c>
      <c r="F7" s="228" t="s">
        <v>140</v>
      </c>
      <c r="G7" s="229">
        <f>SUM(G5:G6)</f>
        <v>287956.196</v>
      </c>
      <c r="H7" s="229">
        <f t="shared" ref="H7:P7" si="0">SUM(H5:H6)</f>
        <v>32076</v>
      </c>
      <c r="I7" s="229">
        <f t="shared" si="0"/>
        <v>206889.60347999999</v>
      </c>
      <c r="J7" s="229">
        <f t="shared" si="0"/>
        <v>8000</v>
      </c>
      <c r="K7" s="229">
        <f t="shared" si="0"/>
        <v>24000</v>
      </c>
      <c r="L7" s="229">
        <f t="shared" si="0"/>
        <v>38400</v>
      </c>
      <c r="M7" s="229">
        <f t="shared" si="0"/>
        <v>21600</v>
      </c>
      <c r="N7" s="229">
        <f t="shared" si="0"/>
        <v>1554</v>
      </c>
      <c r="O7" s="229">
        <f t="shared" si="0"/>
        <v>4753835.628800001</v>
      </c>
      <c r="P7" s="229">
        <f t="shared" si="0"/>
        <v>0</v>
      </c>
      <c r="Q7" s="230">
        <f>SUM(G7:P7)</f>
        <v>5374311.4282800015</v>
      </c>
      <c r="R7" s="231">
        <f>SUM(R5:R6)</f>
        <v>3879533.656</v>
      </c>
      <c r="S7" s="221">
        <f>O7/Q7</f>
        <v>0.88454785180199769</v>
      </c>
      <c r="T7" s="221">
        <f>(J7+(H7*1.63))/Q7</f>
        <v>1.1217042555960196E-2</v>
      </c>
      <c r="U7" s="221">
        <f>L7/Q7</f>
        <v>7.1451013794877095E-3</v>
      </c>
      <c r="V7" s="222">
        <f>Q7/R7</f>
        <v>1.3852983128444347</v>
      </c>
    </row>
    <row r="9" spans="2:22" ht="20.25" customHeight="1" thickBot="1" x14ac:dyDescent="0.35">
      <c r="C9" s="232" t="s">
        <v>141</v>
      </c>
      <c r="D9" s="4768" t="s">
        <v>142</v>
      </c>
      <c r="E9" s="4768"/>
      <c r="I9" s="4769" t="s">
        <v>143</v>
      </c>
      <c r="J9" s="4769"/>
      <c r="K9" s="4769"/>
      <c r="L9" s="4769"/>
      <c r="M9" s="312" t="s">
        <v>142</v>
      </c>
      <c r="N9" s="312"/>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163224</v>
      </c>
      <c r="C12" s="244" t="s">
        <v>161</v>
      </c>
      <c r="D12" s="245">
        <f>SUM(D13:D16)</f>
        <v>141850.36799999999</v>
      </c>
      <c r="E12" s="245">
        <f>SUM(E13:E16)</f>
        <v>146105.82800000001</v>
      </c>
      <c r="F12" s="246">
        <f>D12+E12</f>
        <v>287956.196</v>
      </c>
      <c r="H12" s="135"/>
      <c r="I12" s="4618" t="s">
        <v>290</v>
      </c>
      <c r="J12" s="4619"/>
      <c r="K12" s="4620"/>
      <c r="L12" s="4622">
        <f>D109</f>
        <v>755</v>
      </c>
      <c r="M12" s="4626">
        <v>30</v>
      </c>
      <c r="N12" s="4626">
        <v>30</v>
      </c>
      <c r="O12" s="2611">
        <f>M12+N12</f>
        <v>60</v>
      </c>
      <c r="P12" s="2612">
        <f>M12*L12</f>
        <v>22650</v>
      </c>
      <c r="Q12" s="2612">
        <f>N12*L12</f>
        <v>22650</v>
      </c>
      <c r="R12" s="2613">
        <f>P12+Q12</f>
        <v>45300</v>
      </c>
      <c r="T12" s="309">
        <v>1501108</v>
      </c>
    </row>
    <row r="13" spans="2:22" ht="13.8" x14ac:dyDescent="0.3">
      <c r="B13" s="256"/>
      <c r="C13" s="257" t="s">
        <v>265</v>
      </c>
      <c r="D13" s="4630">
        <v>24456.959999999999</v>
      </c>
      <c r="E13" s="4630">
        <v>25190.66</v>
      </c>
      <c r="F13" s="258">
        <f>SUM(D13:E13)</f>
        <v>49647.619999999995</v>
      </c>
      <c r="H13" s="135"/>
      <c r="I13" s="4618" t="s">
        <v>292</v>
      </c>
      <c r="J13" s="4619"/>
      <c r="K13" s="4620"/>
      <c r="L13" s="4622">
        <f t="shared" ref="L13:L76" si="1">D110</f>
        <v>755</v>
      </c>
      <c r="M13" s="4626">
        <v>74</v>
      </c>
      <c r="N13" s="4626">
        <v>74</v>
      </c>
      <c r="O13" s="4627">
        <f t="shared" ref="O13:O76" si="2">M13+N13</f>
        <v>148</v>
      </c>
      <c r="P13" s="4628">
        <f t="shared" ref="P13:P76" si="3">M13*L13</f>
        <v>55870</v>
      </c>
      <c r="Q13" s="4628">
        <f t="shared" ref="Q13:Q76" si="4">N13*L13</f>
        <v>55870</v>
      </c>
      <c r="R13" s="4629">
        <f t="shared" ref="R13:R76" si="5">P13+Q13</f>
        <v>111740</v>
      </c>
      <c r="T13" s="263">
        <v>0</v>
      </c>
    </row>
    <row r="14" spans="2:22" ht="13.8" x14ac:dyDescent="0.3">
      <c r="B14" s="264"/>
      <c r="C14" s="265" t="s">
        <v>34</v>
      </c>
      <c r="D14" s="4631">
        <v>97827.839999999997</v>
      </c>
      <c r="E14" s="4631">
        <v>100762.64</v>
      </c>
      <c r="F14" s="258">
        <f t="shared" ref="F14:F24" si="6">SUM(D14:E14)</f>
        <v>198590.47999999998</v>
      </c>
      <c r="H14" s="135"/>
      <c r="I14" s="4618" t="s">
        <v>293</v>
      </c>
      <c r="J14" s="4619"/>
      <c r="K14" s="4620"/>
      <c r="L14" s="4622">
        <f t="shared" si="1"/>
        <v>755</v>
      </c>
      <c r="M14" s="4626">
        <v>59</v>
      </c>
      <c r="N14" s="4626">
        <v>59</v>
      </c>
      <c r="O14" s="4627">
        <f t="shared" si="2"/>
        <v>118</v>
      </c>
      <c r="P14" s="4628">
        <f t="shared" si="3"/>
        <v>44545</v>
      </c>
      <c r="Q14" s="4628">
        <f t="shared" si="4"/>
        <v>44545</v>
      </c>
      <c r="R14" s="4629">
        <f t="shared" si="5"/>
        <v>89090</v>
      </c>
      <c r="T14" s="263">
        <v>0</v>
      </c>
    </row>
    <row r="15" spans="2:22" ht="13.8" x14ac:dyDescent="0.3">
      <c r="B15" s="264"/>
      <c r="C15" s="265" t="s">
        <v>266</v>
      </c>
      <c r="D15" s="4631">
        <v>19565.568000000003</v>
      </c>
      <c r="E15" s="4631">
        <v>20152.528000000002</v>
      </c>
      <c r="F15" s="258">
        <f t="shared" si="6"/>
        <v>39718.096000000005</v>
      </c>
      <c r="H15" s="135"/>
      <c r="I15" s="4618" t="s">
        <v>294</v>
      </c>
      <c r="J15" s="4619"/>
      <c r="K15" s="4620"/>
      <c r="L15" s="4622">
        <f t="shared" si="1"/>
        <v>2.1800000000000002</v>
      </c>
      <c r="M15" s="4626">
        <v>1</v>
      </c>
      <c r="N15" s="4626">
        <v>1</v>
      </c>
      <c r="O15" s="4627">
        <f t="shared" si="2"/>
        <v>2</v>
      </c>
      <c r="P15" s="4628">
        <f t="shared" si="3"/>
        <v>2.1800000000000002</v>
      </c>
      <c r="Q15" s="4628">
        <f t="shared" si="4"/>
        <v>2.1800000000000002</v>
      </c>
      <c r="R15" s="4629">
        <f t="shared" si="5"/>
        <v>4.3600000000000003</v>
      </c>
      <c r="T15" s="263">
        <v>0</v>
      </c>
    </row>
    <row r="16" spans="2:22" ht="14.4" thickBot="1" x14ac:dyDescent="0.35">
      <c r="B16" s="264"/>
      <c r="C16" s="265" t="s">
        <v>267</v>
      </c>
      <c r="D16" s="258"/>
      <c r="E16" s="258"/>
      <c r="F16" s="258">
        <f t="shared" si="6"/>
        <v>0</v>
      </c>
      <c r="H16" s="135"/>
      <c r="I16" s="4618" t="s">
        <v>297</v>
      </c>
      <c r="J16" s="4619"/>
      <c r="K16" s="4620"/>
      <c r="L16" s="4622">
        <f t="shared" si="1"/>
        <v>2.11</v>
      </c>
      <c r="M16" s="4626">
        <v>11998</v>
      </c>
      <c r="N16" s="4626">
        <v>11998</v>
      </c>
      <c r="O16" s="4627">
        <f t="shared" si="2"/>
        <v>23996</v>
      </c>
      <c r="P16" s="4628">
        <f t="shared" si="3"/>
        <v>25315.78</v>
      </c>
      <c r="Q16" s="4628">
        <f t="shared" si="4"/>
        <v>25315.78</v>
      </c>
      <c r="R16" s="4629">
        <f t="shared" si="5"/>
        <v>50631.56</v>
      </c>
      <c r="T16" s="263">
        <v>0</v>
      </c>
    </row>
    <row r="17" spans="2:20" ht="14.4" thickBot="1" x14ac:dyDescent="0.35">
      <c r="B17" s="272">
        <v>117</v>
      </c>
      <c r="C17" s="244" t="s">
        <v>166</v>
      </c>
      <c r="D17" s="245">
        <f>SUM(D18:D21)</f>
        <v>15840</v>
      </c>
      <c r="E17" s="245">
        <f>SUM(E18:E21)</f>
        <v>16236</v>
      </c>
      <c r="F17" s="246">
        <f>D17+E17</f>
        <v>32076</v>
      </c>
      <c r="H17" s="135"/>
      <c r="I17" s="4618" t="s">
        <v>299</v>
      </c>
      <c r="J17" s="4619"/>
      <c r="K17" s="4620"/>
      <c r="L17" s="4622">
        <f t="shared" si="1"/>
        <v>1.18</v>
      </c>
      <c r="M17" s="4626">
        <v>19086</v>
      </c>
      <c r="N17" s="4626">
        <v>19086</v>
      </c>
      <c r="O17" s="4627">
        <f t="shared" si="2"/>
        <v>38172</v>
      </c>
      <c r="P17" s="4628">
        <f t="shared" si="3"/>
        <v>22521.48</v>
      </c>
      <c r="Q17" s="4628">
        <f t="shared" si="4"/>
        <v>22521.48</v>
      </c>
      <c r="R17" s="4629">
        <f t="shared" si="5"/>
        <v>45042.96</v>
      </c>
      <c r="T17" s="263">
        <v>0</v>
      </c>
    </row>
    <row r="18" spans="2:20" ht="13.8" x14ac:dyDescent="0.3">
      <c r="B18" s="256"/>
      <c r="C18" s="257" t="s">
        <v>268</v>
      </c>
      <c r="D18" s="2536">
        <v>15840</v>
      </c>
      <c r="E18" s="2536">
        <v>16236</v>
      </c>
      <c r="F18" s="258">
        <f t="shared" si="6"/>
        <v>32076</v>
      </c>
      <c r="H18" s="135"/>
      <c r="I18" s="4618" t="s">
        <v>300</v>
      </c>
      <c r="J18" s="4619"/>
      <c r="K18" s="4620"/>
      <c r="L18" s="4622">
        <f t="shared" si="1"/>
        <v>1.38</v>
      </c>
      <c r="M18" s="4626">
        <v>24735.199999999997</v>
      </c>
      <c r="N18" s="4626">
        <v>14134.400000000001</v>
      </c>
      <c r="O18" s="4627">
        <f t="shared" si="2"/>
        <v>38869.599999999999</v>
      </c>
      <c r="P18" s="4628">
        <f t="shared" si="3"/>
        <v>34134.575999999994</v>
      </c>
      <c r="Q18" s="4628">
        <f t="shared" si="4"/>
        <v>19505.472000000002</v>
      </c>
      <c r="R18" s="4629">
        <f t="shared" si="5"/>
        <v>53640.047999999995</v>
      </c>
      <c r="T18" s="263">
        <v>0</v>
      </c>
    </row>
    <row r="19" spans="2:20" ht="13.8" x14ac:dyDescent="0.3">
      <c r="B19" s="264"/>
      <c r="C19" s="265" t="s">
        <v>163</v>
      </c>
      <c r="D19" s="266">
        <v>0</v>
      </c>
      <c r="E19" s="266"/>
      <c r="F19" s="258">
        <f t="shared" si="6"/>
        <v>0</v>
      </c>
      <c r="H19" s="135"/>
      <c r="I19" s="4618" t="s">
        <v>301</v>
      </c>
      <c r="J19" s="4619"/>
      <c r="K19" s="4620"/>
      <c r="L19" s="4622">
        <f t="shared" si="1"/>
        <v>0.57999999999999996</v>
      </c>
      <c r="M19" s="4626">
        <v>1</v>
      </c>
      <c r="N19" s="4626">
        <v>1</v>
      </c>
      <c r="O19" s="4627">
        <f t="shared" si="2"/>
        <v>2</v>
      </c>
      <c r="P19" s="4628">
        <f t="shared" si="3"/>
        <v>0.57999999999999996</v>
      </c>
      <c r="Q19" s="4628">
        <f t="shared" si="4"/>
        <v>0.57999999999999996</v>
      </c>
      <c r="R19" s="4629">
        <f t="shared" si="5"/>
        <v>1.1599999999999999</v>
      </c>
      <c r="T19" s="263">
        <v>0</v>
      </c>
    </row>
    <row r="20" spans="2:20" ht="13.8" x14ac:dyDescent="0.3">
      <c r="B20" s="264"/>
      <c r="C20" s="265" t="s">
        <v>164</v>
      </c>
      <c r="D20" s="268">
        <v>0</v>
      </c>
      <c r="E20" s="268"/>
      <c r="F20" s="258">
        <f t="shared" si="6"/>
        <v>0</v>
      </c>
      <c r="H20" s="135"/>
      <c r="I20" s="4618" t="s">
        <v>302</v>
      </c>
      <c r="J20" s="4619"/>
      <c r="K20" s="4620"/>
      <c r="L20" s="4622">
        <f t="shared" si="1"/>
        <v>0.56999999999999995</v>
      </c>
      <c r="M20" s="4626">
        <v>13458.199999999999</v>
      </c>
      <c r="N20" s="4626">
        <v>13458.199999999999</v>
      </c>
      <c r="O20" s="4627">
        <f t="shared" si="2"/>
        <v>26916.399999999998</v>
      </c>
      <c r="P20" s="4628">
        <f t="shared" si="3"/>
        <v>7671.1739999999991</v>
      </c>
      <c r="Q20" s="4628">
        <f t="shared" si="4"/>
        <v>7671.1739999999991</v>
      </c>
      <c r="R20" s="4629">
        <f t="shared" si="5"/>
        <v>15342.347999999998</v>
      </c>
      <c r="T20" s="263">
        <v>0</v>
      </c>
    </row>
    <row r="21" spans="2:20" ht="14.4" thickBot="1" x14ac:dyDescent="0.35">
      <c r="B21" s="264"/>
      <c r="C21" s="265" t="s">
        <v>165</v>
      </c>
      <c r="D21" s="268">
        <v>0</v>
      </c>
      <c r="E21" s="268"/>
      <c r="F21" s="258">
        <f t="shared" si="6"/>
        <v>0</v>
      </c>
      <c r="H21" s="135"/>
      <c r="I21" s="4618" t="s">
        <v>303</v>
      </c>
      <c r="J21" s="4619"/>
      <c r="K21" s="4620"/>
      <c r="L21" s="4622">
        <f t="shared" si="1"/>
        <v>1.59</v>
      </c>
      <c r="M21" s="4626">
        <v>1</v>
      </c>
      <c r="N21" s="4626">
        <v>1</v>
      </c>
      <c r="O21" s="4627">
        <f t="shared" si="2"/>
        <v>2</v>
      </c>
      <c r="P21" s="4628">
        <f t="shared" si="3"/>
        <v>1.59</v>
      </c>
      <c r="Q21" s="4628">
        <f t="shared" si="4"/>
        <v>1.59</v>
      </c>
      <c r="R21" s="4629">
        <f t="shared" si="5"/>
        <v>3.18</v>
      </c>
      <c r="T21" s="263">
        <v>0</v>
      </c>
    </row>
    <row r="22" spans="2:20" ht="14.4" thickBot="1" x14ac:dyDescent="0.35">
      <c r="B22" s="272">
        <v>82827</v>
      </c>
      <c r="C22" s="244" t="s">
        <v>167</v>
      </c>
      <c r="D22" s="245">
        <f>SUM(D23:D26)</f>
        <v>99344.93183999999</v>
      </c>
      <c r="E22" s="245">
        <f>SUM(E23:E26)</f>
        <v>107544.67164</v>
      </c>
      <c r="F22" s="246">
        <f>D22+E22</f>
        <v>206889.60347999999</v>
      </c>
      <c r="G22" s="55"/>
      <c r="H22" s="135"/>
      <c r="I22" s="4618" t="s">
        <v>304</v>
      </c>
      <c r="J22" s="4619"/>
      <c r="K22" s="4620"/>
      <c r="L22" s="4622">
        <f t="shared" si="1"/>
        <v>0.56999999999999995</v>
      </c>
      <c r="M22" s="4626">
        <v>1</v>
      </c>
      <c r="N22" s="4626">
        <v>1</v>
      </c>
      <c r="O22" s="4627">
        <f t="shared" si="2"/>
        <v>2</v>
      </c>
      <c r="P22" s="4628">
        <f t="shared" si="3"/>
        <v>0.56999999999999995</v>
      </c>
      <c r="Q22" s="4628">
        <f t="shared" si="4"/>
        <v>0.56999999999999995</v>
      </c>
      <c r="R22" s="4629">
        <f t="shared" si="5"/>
        <v>1.1399999999999999</v>
      </c>
      <c r="T22" s="263">
        <v>0</v>
      </c>
    </row>
    <row r="23" spans="2:20" ht="13.8" x14ac:dyDescent="0.3">
      <c r="B23" s="256"/>
      <c r="C23" s="257" t="s">
        <v>168</v>
      </c>
      <c r="D23" s="258">
        <f>0.63*D12</f>
        <v>89365.731839999993</v>
      </c>
      <c r="E23" s="258">
        <f>0.63*E12</f>
        <v>92046.67164</v>
      </c>
      <c r="F23" s="258">
        <f t="shared" si="6"/>
        <v>181412.40347999998</v>
      </c>
      <c r="H23" s="135"/>
      <c r="I23" s="4618" t="s">
        <v>305</v>
      </c>
      <c r="J23" s="4619"/>
      <c r="K23" s="4620"/>
      <c r="L23" s="4622">
        <f t="shared" si="1"/>
        <v>1.54</v>
      </c>
      <c r="M23" s="4626">
        <v>3010</v>
      </c>
      <c r="N23" s="4626">
        <v>3010</v>
      </c>
      <c r="O23" s="4627">
        <f t="shared" si="2"/>
        <v>6020</v>
      </c>
      <c r="P23" s="4628">
        <f t="shared" si="3"/>
        <v>4635.4000000000005</v>
      </c>
      <c r="Q23" s="4628">
        <f t="shared" si="4"/>
        <v>4635.4000000000005</v>
      </c>
      <c r="R23" s="4629">
        <f t="shared" si="5"/>
        <v>9270.8000000000011</v>
      </c>
      <c r="T23" s="263">
        <v>0</v>
      </c>
    </row>
    <row r="24" spans="2:20" ht="13.8" x14ac:dyDescent="0.3">
      <c r="B24" s="256"/>
      <c r="C24" s="257" t="s">
        <v>169</v>
      </c>
      <c r="D24" s="266">
        <f>0.63*D17</f>
        <v>9979.2000000000007</v>
      </c>
      <c r="E24" s="266">
        <v>15498</v>
      </c>
      <c r="F24" s="258">
        <f t="shared" si="6"/>
        <v>25477.200000000001</v>
      </c>
      <c r="H24" s="135"/>
      <c r="I24" s="4618" t="s">
        <v>306</v>
      </c>
      <c r="J24" s="4619"/>
      <c r="K24" s="4620"/>
      <c r="L24" s="4622">
        <f t="shared" si="1"/>
        <v>0.99</v>
      </c>
      <c r="M24" s="4626">
        <v>36653.4</v>
      </c>
      <c r="N24" s="4626">
        <v>36653.4</v>
      </c>
      <c r="O24" s="4627">
        <f t="shared" si="2"/>
        <v>73306.8</v>
      </c>
      <c r="P24" s="4628">
        <f t="shared" si="3"/>
        <v>36286.866000000002</v>
      </c>
      <c r="Q24" s="4628">
        <f t="shared" si="4"/>
        <v>36286.866000000002</v>
      </c>
      <c r="R24" s="4629">
        <f t="shared" si="5"/>
        <v>72573.732000000004</v>
      </c>
      <c r="T24" s="263">
        <v>0</v>
      </c>
    </row>
    <row r="25" spans="2:20" ht="13.8" x14ac:dyDescent="0.3">
      <c r="B25" s="264"/>
      <c r="C25" s="265"/>
      <c r="D25" s="268"/>
      <c r="E25" s="268"/>
      <c r="F25" s="268"/>
      <c r="H25" s="135"/>
      <c r="I25" s="4618" t="s">
        <v>307</v>
      </c>
      <c r="J25" s="4619"/>
      <c r="K25" s="4620"/>
      <c r="L25" s="4622">
        <f t="shared" si="1"/>
        <v>2.31</v>
      </c>
      <c r="M25" s="4626">
        <v>1</v>
      </c>
      <c r="N25" s="4626">
        <v>1</v>
      </c>
      <c r="O25" s="4627">
        <f t="shared" si="2"/>
        <v>2</v>
      </c>
      <c r="P25" s="4628">
        <f t="shared" si="3"/>
        <v>2.31</v>
      </c>
      <c r="Q25" s="4628">
        <f t="shared" si="4"/>
        <v>2.31</v>
      </c>
      <c r="R25" s="4629">
        <f t="shared" si="5"/>
        <v>4.62</v>
      </c>
      <c r="T25" s="263">
        <v>0</v>
      </c>
    </row>
    <row r="26" spans="2:20" ht="14.4" thickBot="1" x14ac:dyDescent="0.35">
      <c r="B26" s="264"/>
      <c r="C26" s="265"/>
      <c r="D26" s="268"/>
      <c r="E26" s="268"/>
      <c r="F26" s="268"/>
      <c r="H26" s="135"/>
      <c r="I26" s="4618" t="s">
        <v>308</v>
      </c>
      <c r="J26" s="4619"/>
      <c r="K26" s="4620"/>
      <c r="L26" s="4622">
        <f t="shared" si="1"/>
        <v>2.2400000000000002</v>
      </c>
      <c r="M26" s="4626">
        <v>1</v>
      </c>
      <c r="N26" s="4626">
        <v>1</v>
      </c>
      <c r="O26" s="4627">
        <f t="shared" si="2"/>
        <v>2</v>
      </c>
      <c r="P26" s="4628">
        <f t="shared" si="3"/>
        <v>2.2400000000000002</v>
      </c>
      <c r="Q26" s="4628">
        <f t="shared" si="4"/>
        <v>2.2400000000000002</v>
      </c>
      <c r="R26" s="4629">
        <f t="shared" si="5"/>
        <v>4.4800000000000004</v>
      </c>
      <c r="T26" s="263">
        <v>0</v>
      </c>
    </row>
    <row r="27" spans="2:20" ht="14.4" thickBot="1" x14ac:dyDescent="0.35">
      <c r="B27" s="272">
        <v>4532</v>
      </c>
      <c r="C27" s="244" t="s">
        <v>170</v>
      </c>
      <c r="D27" s="245">
        <f>SUM(D28:D31)</f>
        <v>4000</v>
      </c>
      <c r="E27" s="245">
        <f>SUM(E28:E31)</f>
        <v>4000</v>
      </c>
      <c r="F27" s="246">
        <f>D27+E27</f>
        <v>8000</v>
      </c>
      <c r="H27" s="135"/>
      <c r="I27" s="4618" t="s">
        <v>309</v>
      </c>
      <c r="J27" s="4619"/>
      <c r="K27" s="4620"/>
      <c r="L27" s="4622">
        <f t="shared" si="1"/>
        <v>0.96</v>
      </c>
      <c r="M27" s="4626">
        <v>1</v>
      </c>
      <c r="N27" s="4626">
        <v>1</v>
      </c>
      <c r="O27" s="4627">
        <f t="shared" si="2"/>
        <v>2</v>
      </c>
      <c r="P27" s="4628">
        <f t="shared" si="3"/>
        <v>0.96</v>
      </c>
      <c r="Q27" s="4628">
        <f t="shared" si="4"/>
        <v>0.96</v>
      </c>
      <c r="R27" s="4629">
        <f t="shared" si="5"/>
        <v>1.92</v>
      </c>
      <c r="T27" s="263">
        <v>0</v>
      </c>
    </row>
    <row r="28" spans="2:20" ht="13.8" x14ac:dyDescent="0.3">
      <c r="B28" s="256"/>
      <c r="C28" s="257" t="s">
        <v>63</v>
      </c>
      <c r="D28" s="258">
        <v>4000</v>
      </c>
      <c r="E28" s="258">
        <v>4000</v>
      </c>
      <c r="F28" s="258">
        <f t="shared" ref="F28:F36" si="7">SUM(D28:E28)</f>
        <v>8000</v>
      </c>
      <c r="H28" s="135"/>
      <c r="I28" s="4618" t="s">
        <v>310</v>
      </c>
      <c r="J28" s="4619"/>
      <c r="K28" s="4620"/>
      <c r="L28" s="4622">
        <f t="shared" si="1"/>
        <v>2.06</v>
      </c>
      <c r="M28" s="4626">
        <v>1</v>
      </c>
      <c r="N28" s="4626">
        <v>1</v>
      </c>
      <c r="O28" s="4627">
        <f t="shared" si="2"/>
        <v>2</v>
      </c>
      <c r="P28" s="4628">
        <f t="shared" si="3"/>
        <v>2.06</v>
      </c>
      <c r="Q28" s="4628">
        <f t="shared" si="4"/>
        <v>2.06</v>
      </c>
      <c r="R28" s="4629">
        <f t="shared" si="5"/>
        <v>4.12</v>
      </c>
      <c r="T28" s="263">
        <v>0</v>
      </c>
    </row>
    <row r="29" spans="2:20" ht="13.8" x14ac:dyDescent="0.3">
      <c r="B29" s="264"/>
      <c r="C29" s="265" t="s">
        <v>163</v>
      </c>
      <c r="D29" s="266">
        <v>0</v>
      </c>
      <c r="E29" s="266"/>
      <c r="F29" s="258">
        <f t="shared" si="7"/>
        <v>0</v>
      </c>
      <c r="H29" s="135"/>
      <c r="I29" s="4618" t="s">
        <v>311</v>
      </c>
      <c r="J29" s="4619"/>
      <c r="K29" s="4620"/>
      <c r="L29" s="4622">
        <f t="shared" si="1"/>
        <v>1.77</v>
      </c>
      <c r="M29" s="4626">
        <v>1</v>
      </c>
      <c r="N29" s="4626">
        <v>1</v>
      </c>
      <c r="O29" s="4627">
        <f t="shared" si="2"/>
        <v>2</v>
      </c>
      <c r="P29" s="4628">
        <f t="shared" si="3"/>
        <v>1.77</v>
      </c>
      <c r="Q29" s="4628">
        <f t="shared" si="4"/>
        <v>1.77</v>
      </c>
      <c r="R29" s="4629">
        <f t="shared" si="5"/>
        <v>3.54</v>
      </c>
      <c r="T29" s="263">
        <v>0</v>
      </c>
    </row>
    <row r="30" spans="2:20" ht="13.8" x14ac:dyDescent="0.3">
      <c r="B30" s="264"/>
      <c r="C30" s="265" t="s">
        <v>164</v>
      </c>
      <c r="D30" s="266">
        <v>0</v>
      </c>
      <c r="E30" s="266"/>
      <c r="F30" s="258">
        <f t="shared" si="7"/>
        <v>0</v>
      </c>
      <c r="H30" s="135"/>
      <c r="I30" s="4618" t="s">
        <v>312</v>
      </c>
      <c r="J30" s="4619"/>
      <c r="K30" s="4620"/>
      <c r="L30" s="4622">
        <f t="shared" si="1"/>
        <v>4.6500000000000004</v>
      </c>
      <c r="M30" s="4626">
        <v>1</v>
      </c>
      <c r="N30" s="4626">
        <v>1</v>
      </c>
      <c r="O30" s="4627">
        <f t="shared" si="2"/>
        <v>2</v>
      </c>
      <c r="P30" s="4628">
        <f t="shared" si="3"/>
        <v>4.6500000000000004</v>
      </c>
      <c r="Q30" s="4628">
        <f t="shared" si="4"/>
        <v>4.6500000000000004</v>
      </c>
      <c r="R30" s="4629">
        <f t="shared" si="5"/>
        <v>9.3000000000000007</v>
      </c>
      <c r="T30" s="263">
        <v>0</v>
      </c>
    </row>
    <row r="31" spans="2:20" ht="14.4" thickBot="1" x14ac:dyDescent="0.35">
      <c r="B31" s="264"/>
      <c r="C31" s="265" t="s">
        <v>165</v>
      </c>
      <c r="D31" s="266">
        <v>0</v>
      </c>
      <c r="E31" s="266"/>
      <c r="F31" s="258">
        <f t="shared" si="7"/>
        <v>0</v>
      </c>
      <c r="H31" s="135"/>
      <c r="I31" s="4618" t="s">
        <v>313</v>
      </c>
      <c r="J31" s="4619"/>
      <c r="K31" s="4620"/>
      <c r="L31" s="4622">
        <f t="shared" si="1"/>
        <v>4.6500000000000004</v>
      </c>
      <c r="M31" s="4626">
        <v>1103.1999999999998</v>
      </c>
      <c r="N31" s="4626">
        <v>1103.1999999999998</v>
      </c>
      <c r="O31" s="4627">
        <f t="shared" si="2"/>
        <v>2206.3999999999996</v>
      </c>
      <c r="P31" s="4628">
        <f t="shared" si="3"/>
        <v>5129.8799999999992</v>
      </c>
      <c r="Q31" s="4628">
        <f t="shared" si="4"/>
        <v>5129.8799999999992</v>
      </c>
      <c r="R31" s="4629">
        <f t="shared" si="5"/>
        <v>10259.759999999998</v>
      </c>
      <c r="T31" s="263">
        <v>0</v>
      </c>
    </row>
    <row r="32" spans="2:20" ht="14.4" thickBot="1" x14ac:dyDescent="0.35">
      <c r="B32" s="272">
        <v>5085</v>
      </c>
      <c r="C32" s="244" t="s">
        <v>171</v>
      </c>
      <c r="D32" s="245">
        <f>SUM(D33:D36)</f>
        <v>12000</v>
      </c>
      <c r="E32" s="245">
        <f>SUM(E33:E36)</f>
        <v>12000</v>
      </c>
      <c r="F32" s="246">
        <f>D32+E32</f>
        <v>24000</v>
      </c>
      <c r="H32" s="135"/>
      <c r="I32" s="4618" t="s">
        <v>314</v>
      </c>
      <c r="J32" s="4619"/>
      <c r="K32" s="4620"/>
      <c r="L32" s="4622">
        <f t="shared" si="1"/>
        <v>1.04</v>
      </c>
      <c r="M32" s="4626">
        <v>1530</v>
      </c>
      <c r="N32" s="4626">
        <v>1530</v>
      </c>
      <c r="O32" s="4627">
        <f t="shared" si="2"/>
        <v>3060</v>
      </c>
      <c r="P32" s="4628">
        <f t="shared" si="3"/>
        <v>1591.2</v>
      </c>
      <c r="Q32" s="4628">
        <f t="shared" si="4"/>
        <v>1591.2</v>
      </c>
      <c r="R32" s="4629">
        <f t="shared" si="5"/>
        <v>3182.4</v>
      </c>
      <c r="T32" s="263">
        <v>0</v>
      </c>
    </row>
    <row r="33" spans="2:20" ht="13.8" x14ac:dyDescent="0.3">
      <c r="B33" s="264"/>
      <c r="C33" s="265" t="s">
        <v>43</v>
      </c>
      <c r="D33" s="266">
        <v>6000</v>
      </c>
      <c r="E33" s="266">
        <v>6000</v>
      </c>
      <c r="F33" s="258">
        <f t="shared" si="7"/>
        <v>12000</v>
      </c>
      <c r="H33" s="135"/>
      <c r="I33" s="4618" t="s">
        <v>315</v>
      </c>
      <c r="J33" s="4619"/>
      <c r="K33" s="4620"/>
      <c r="L33" s="4622">
        <f t="shared" si="1"/>
        <v>1.04</v>
      </c>
      <c r="M33" s="4626">
        <v>10273.199999999999</v>
      </c>
      <c r="N33" s="4626">
        <v>10273.199999999999</v>
      </c>
      <c r="O33" s="4627">
        <f t="shared" si="2"/>
        <v>20546.399999999998</v>
      </c>
      <c r="P33" s="4628">
        <f t="shared" si="3"/>
        <v>10684.127999999999</v>
      </c>
      <c r="Q33" s="4628">
        <f t="shared" si="4"/>
        <v>10684.127999999999</v>
      </c>
      <c r="R33" s="4629">
        <f t="shared" si="5"/>
        <v>21368.255999999998</v>
      </c>
      <c r="T33" s="263">
        <v>0</v>
      </c>
    </row>
    <row r="34" spans="2:20" ht="13.8" x14ac:dyDescent="0.3">
      <c r="B34" s="264"/>
      <c r="C34" s="265" t="s">
        <v>72</v>
      </c>
      <c r="D34" s="266">
        <v>6000</v>
      </c>
      <c r="E34" s="266">
        <v>6000</v>
      </c>
      <c r="F34" s="258">
        <f t="shared" si="7"/>
        <v>12000</v>
      </c>
      <c r="H34" s="135"/>
      <c r="I34" s="4618" t="s">
        <v>316</v>
      </c>
      <c r="J34" s="4619"/>
      <c r="K34" s="4621"/>
      <c r="L34" s="4622">
        <f t="shared" si="1"/>
        <v>1.3</v>
      </c>
      <c r="M34" s="4626">
        <v>2455.1999999999998</v>
      </c>
      <c r="N34" s="4626">
        <v>2455.1999999999998</v>
      </c>
      <c r="O34" s="4627">
        <f t="shared" si="2"/>
        <v>4910.3999999999996</v>
      </c>
      <c r="P34" s="4628">
        <f t="shared" si="3"/>
        <v>3191.7599999999998</v>
      </c>
      <c r="Q34" s="4628">
        <f t="shared" si="4"/>
        <v>3191.7599999999998</v>
      </c>
      <c r="R34" s="4629">
        <f t="shared" si="5"/>
        <v>6383.5199999999995</v>
      </c>
      <c r="T34" s="263">
        <v>0</v>
      </c>
    </row>
    <row r="35" spans="2:20" ht="13.8" x14ac:dyDescent="0.3">
      <c r="B35" s="264"/>
      <c r="C35" s="265" t="s">
        <v>164</v>
      </c>
      <c r="D35" s="266">
        <v>0</v>
      </c>
      <c r="E35" s="266"/>
      <c r="F35" s="258">
        <f t="shared" si="7"/>
        <v>0</v>
      </c>
      <c r="H35" s="135"/>
      <c r="I35" s="4618" t="s">
        <v>317</v>
      </c>
      <c r="J35" s="4619"/>
      <c r="K35" s="4621"/>
      <c r="L35" s="4622">
        <f t="shared" si="1"/>
        <v>1.29</v>
      </c>
      <c r="M35" s="4626">
        <v>11820.199999999999</v>
      </c>
      <c r="N35" s="4626">
        <v>11820.199999999999</v>
      </c>
      <c r="O35" s="4627">
        <f t="shared" si="2"/>
        <v>23640.399999999998</v>
      </c>
      <c r="P35" s="4628">
        <f t="shared" si="3"/>
        <v>15248.057999999999</v>
      </c>
      <c r="Q35" s="4628">
        <f t="shared" si="4"/>
        <v>15248.057999999999</v>
      </c>
      <c r="R35" s="4629">
        <f t="shared" si="5"/>
        <v>30496.115999999998</v>
      </c>
      <c r="T35" s="263">
        <v>0</v>
      </c>
    </row>
    <row r="36" spans="2:20" ht="14.4" thickBot="1" x14ac:dyDescent="0.35">
      <c r="B36" s="264"/>
      <c r="C36" s="265" t="s">
        <v>165</v>
      </c>
      <c r="D36" s="266">
        <v>0</v>
      </c>
      <c r="E36" s="266"/>
      <c r="F36" s="258">
        <f t="shared" si="7"/>
        <v>0</v>
      </c>
      <c r="H36" s="135"/>
      <c r="I36" s="4618" t="s">
        <v>318</v>
      </c>
      <c r="J36" s="4619"/>
      <c r="K36" s="4621"/>
      <c r="L36" s="4622">
        <f t="shared" si="1"/>
        <v>1.87</v>
      </c>
      <c r="M36" s="4626">
        <v>1</v>
      </c>
      <c r="N36" s="4626">
        <v>1</v>
      </c>
      <c r="O36" s="4627">
        <f t="shared" si="2"/>
        <v>2</v>
      </c>
      <c r="P36" s="4628">
        <f t="shared" si="3"/>
        <v>1.87</v>
      </c>
      <c r="Q36" s="4628">
        <f t="shared" si="4"/>
        <v>1.87</v>
      </c>
      <c r="R36" s="4629">
        <f t="shared" si="5"/>
        <v>3.74</v>
      </c>
      <c r="T36" s="263">
        <v>0</v>
      </c>
    </row>
    <row r="37" spans="2:20" ht="14.4" thickBot="1" x14ac:dyDescent="0.35">
      <c r="B37" s="272">
        <v>117202</v>
      </c>
      <c r="C37" s="244" t="s">
        <v>172</v>
      </c>
      <c r="D37" s="245">
        <f>SUM(D38:D41)</f>
        <v>19200</v>
      </c>
      <c r="E37" s="245">
        <f>SUM(E38:E41)</f>
        <v>19200</v>
      </c>
      <c r="F37" s="246">
        <f>D37+E37</f>
        <v>38400</v>
      </c>
      <c r="H37" s="135"/>
      <c r="I37" s="4618" t="s">
        <v>319</v>
      </c>
      <c r="J37" s="4619"/>
      <c r="K37" s="4621"/>
      <c r="L37" s="4622">
        <f t="shared" si="1"/>
        <v>1.77</v>
      </c>
      <c r="M37" s="4626">
        <v>61158</v>
      </c>
      <c r="N37" s="4626">
        <v>61158</v>
      </c>
      <c r="O37" s="4627">
        <f t="shared" si="2"/>
        <v>122316</v>
      </c>
      <c r="P37" s="4628">
        <f t="shared" si="3"/>
        <v>108249.66</v>
      </c>
      <c r="Q37" s="4628">
        <f t="shared" si="4"/>
        <v>108249.66</v>
      </c>
      <c r="R37" s="4629">
        <f t="shared" si="5"/>
        <v>216499.32</v>
      </c>
      <c r="T37" s="263">
        <v>0</v>
      </c>
    </row>
    <row r="38" spans="2:20" ht="13.8" x14ac:dyDescent="0.3">
      <c r="B38" s="264"/>
      <c r="C38" s="265" t="s">
        <v>269</v>
      </c>
      <c r="D38" s="2537">
        <v>19200</v>
      </c>
      <c r="E38" s="2537">
        <v>19200</v>
      </c>
      <c r="F38" s="258">
        <f t="shared" ref="F38:F51" si="8">SUM(D38:E38)</f>
        <v>38400</v>
      </c>
      <c r="H38" s="135"/>
      <c r="I38" s="4618" t="s">
        <v>320</v>
      </c>
      <c r="J38" s="4619"/>
      <c r="K38" s="4621"/>
      <c r="L38" s="4622">
        <f t="shared" si="1"/>
        <v>0.61</v>
      </c>
      <c r="M38" s="4626">
        <v>1</v>
      </c>
      <c r="N38" s="4626">
        <v>1</v>
      </c>
      <c r="O38" s="4627">
        <f t="shared" si="2"/>
        <v>2</v>
      </c>
      <c r="P38" s="4628">
        <f t="shared" si="3"/>
        <v>0.61</v>
      </c>
      <c r="Q38" s="4628">
        <f t="shared" si="4"/>
        <v>0.61</v>
      </c>
      <c r="R38" s="4629">
        <f t="shared" si="5"/>
        <v>1.22</v>
      </c>
      <c r="T38" s="263">
        <v>0</v>
      </c>
    </row>
    <row r="39" spans="2:20" ht="13.8" x14ac:dyDescent="0.3">
      <c r="B39" s="264"/>
      <c r="C39" s="265" t="s">
        <v>270</v>
      </c>
      <c r="D39" s="2537"/>
      <c r="E39" s="2537"/>
      <c r="F39" s="258">
        <f t="shared" si="8"/>
        <v>0</v>
      </c>
      <c r="H39" s="135"/>
      <c r="I39" s="4618" t="s">
        <v>321</v>
      </c>
      <c r="J39" s="4619"/>
      <c r="K39" s="4621"/>
      <c r="L39" s="4622">
        <f t="shared" si="1"/>
        <v>0.76</v>
      </c>
      <c r="M39" s="4626">
        <v>1</v>
      </c>
      <c r="N39" s="4626">
        <v>1</v>
      </c>
      <c r="O39" s="4627">
        <f t="shared" si="2"/>
        <v>2</v>
      </c>
      <c r="P39" s="4628">
        <f t="shared" si="3"/>
        <v>0.76</v>
      </c>
      <c r="Q39" s="4628">
        <f t="shared" si="4"/>
        <v>0.76</v>
      </c>
      <c r="R39" s="4629">
        <f t="shared" si="5"/>
        <v>1.52</v>
      </c>
      <c r="T39" s="263">
        <v>0</v>
      </c>
    </row>
    <row r="40" spans="2:20" ht="13.8" x14ac:dyDescent="0.3">
      <c r="B40" s="264"/>
      <c r="C40" s="265" t="s">
        <v>164</v>
      </c>
      <c r="D40" s="266">
        <v>0</v>
      </c>
      <c r="E40" s="266"/>
      <c r="F40" s="258">
        <f t="shared" si="8"/>
        <v>0</v>
      </c>
      <c r="H40" s="135"/>
      <c r="I40" s="4618" t="s">
        <v>322</v>
      </c>
      <c r="J40" s="4619"/>
      <c r="K40" s="4621"/>
      <c r="L40" s="4622">
        <f t="shared" si="1"/>
        <v>0.92</v>
      </c>
      <c r="M40" s="4626">
        <v>1</v>
      </c>
      <c r="N40" s="4626">
        <v>1</v>
      </c>
      <c r="O40" s="4627">
        <f t="shared" si="2"/>
        <v>2</v>
      </c>
      <c r="P40" s="4628">
        <f t="shared" si="3"/>
        <v>0.92</v>
      </c>
      <c r="Q40" s="4628">
        <f t="shared" si="4"/>
        <v>0.92</v>
      </c>
      <c r="R40" s="4629">
        <f t="shared" si="5"/>
        <v>1.84</v>
      </c>
      <c r="T40" s="263">
        <v>0</v>
      </c>
    </row>
    <row r="41" spans="2:20" ht="14.4" thickBot="1" x14ac:dyDescent="0.35">
      <c r="B41" s="264"/>
      <c r="C41" s="265" t="s">
        <v>165</v>
      </c>
      <c r="D41" s="266">
        <v>0</v>
      </c>
      <c r="E41" s="266"/>
      <c r="F41" s="258">
        <f t="shared" si="8"/>
        <v>0</v>
      </c>
      <c r="H41" s="135"/>
      <c r="I41" s="4618" t="s">
        <v>323</v>
      </c>
      <c r="J41" s="4619"/>
      <c r="K41" s="4621"/>
      <c r="L41" s="4622">
        <f t="shared" si="1"/>
        <v>2.2999999999999998</v>
      </c>
      <c r="M41" s="4626">
        <v>1</v>
      </c>
      <c r="N41" s="4626">
        <v>1</v>
      </c>
      <c r="O41" s="4627">
        <f t="shared" si="2"/>
        <v>2</v>
      </c>
      <c r="P41" s="4628">
        <f t="shared" si="3"/>
        <v>2.2999999999999998</v>
      </c>
      <c r="Q41" s="4628">
        <f t="shared" si="4"/>
        <v>2.2999999999999998</v>
      </c>
      <c r="R41" s="4629">
        <f t="shared" si="5"/>
        <v>4.5999999999999996</v>
      </c>
      <c r="T41" s="263">
        <v>0</v>
      </c>
    </row>
    <row r="42" spans="2:20" ht="14.4" thickBot="1" x14ac:dyDescent="0.35">
      <c r="B42" s="272">
        <v>459</v>
      </c>
      <c r="C42" s="244" t="s">
        <v>173</v>
      </c>
      <c r="D42" s="245">
        <f>SUM(D43:D46)</f>
        <v>10800</v>
      </c>
      <c r="E42" s="245">
        <f>SUM(E43:E46)</f>
        <v>10800</v>
      </c>
      <c r="F42" s="246">
        <f>D42+E42</f>
        <v>21600</v>
      </c>
      <c r="H42" s="135"/>
      <c r="I42" s="4618" t="s">
        <v>324</v>
      </c>
      <c r="J42" s="4619"/>
      <c r="K42" s="4621"/>
      <c r="L42" s="4622">
        <f t="shared" si="1"/>
        <v>1.3</v>
      </c>
      <c r="M42" s="4626">
        <v>9448.7999999999993</v>
      </c>
      <c r="N42" s="4626">
        <v>9448.7999999999993</v>
      </c>
      <c r="O42" s="4627">
        <f t="shared" si="2"/>
        <v>18897.599999999999</v>
      </c>
      <c r="P42" s="4628">
        <f t="shared" si="3"/>
        <v>12283.439999999999</v>
      </c>
      <c r="Q42" s="4628">
        <f t="shared" si="4"/>
        <v>12283.439999999999</v>
      </c>
      <c r="R42" s="4629">
        <f t="shared" si="5"/>
        <v>24566.879999999997</v>
      </c>
      <c r="T42" s="263">
        <v>0</v>
      </c>
    </row>
    <row r="43" spans="2:20" ht="13.8" x14ac:dyDescent="0.3">
      <c r="B43" s="264"/>
      <c r="C43" s="265" t="s">
        <v>271</v>
      </c>
      <c r="D43" s="266">
        <v>10800</v>
      </c>
      <c r="E43" s="266">
        <v>10800</v>
      </c>
      <c r="F43" s="258">
        <f t="shared" si="8"/>
        <v>21600</v>
      </c>
      <c r="H43" s="135"/>
      <c r="I43" s="4618" t="s">
        <v>325</v>
      </c>
      <c r="J43" s="4619"/>
      <c r="K43" s="4621"/>
      <c r="L43" s="4622">
        <f t="shared" si="1"/>
        <v>1.52</v>
      </c>
      <c r="M43" s="4626">
        <v>12024.599999999999</v>
      </c>
      <c r="N43" s="4626">
        <v>12024.599999999999</v>
      </c>
      <c r="O43" s="4627">
        <f t="shared" si="2"/>
        <v>24049.199999999997</v>
      </c>
      <c r="P43" s="4628">
        <f t="shared" si="3"/>
        <v>18277.391999999996</v>
      </c>
      <c r="Q43" s="4628">
        <f t="shared" si="4"/>
        <v>18277.391999999996</v>
      </c>
      <c r="R43" s="4629">
        <f t="shared" si="5"/>
        <v>36554.783999999992</v>
      </c>
      <c r="T43" s="263">
        <v>0</v>
      </c>
    </row>
    <row r="44" spans="2:20" ht="13.8" x14ac:dyDescent="0.3">
      <c r="B44" s="264"/>
      <c r="C44" s="265" t="s">
        <v>163</v>
      </c>
      <c r="D44" s="266">
        <v>0</v>
      </c>
      <c r="E44" s="266"/>
      <c r="F44" s="258">
        <f t="shared" si="8"/>
        <v>0</v>
      </c>
      <c r="H44" s="135"/>
      <c r="I44" s="4618" t="s">
        <v>326</v>
      </c>
      <c r="J44" s="4619"/>
      <c r="K44" s="4621"/>
      <c r="L44" s="4622">
        <f t="shared" si="1"/>
        <v>1.39</v>
      </c>
      <c r="M44" s="4626">
        <v>1</v>
      </c>
      <c r="N44" s="4626">
        <v>1</v>
      </c>
      <c r="O44" s="4627">
        <f t="shared" si="2"/>
        <v>2</v>
      </c>
      <c r="P44" s="4628">
        <f t="shared" si="3"/>
        <v>1.39</v>
      </c>
      <c r="Q44" s="4628">
        <f t="shared" si="4"/>
        <v>1.39</v>
      </c>
      <c r="R44" s="4629">
        <f t="shared" si="5"/>
        <v>2.78</v>
      </c>
      <c r="T44" s="263">
        <v>0</v>
      </c>
    </row>
    <row r="45" spans="2:20" ht="13.8" x14ac:dyDescent="0.3">
      <c r="B45" s="264"/>
      <c r="C45" s="265" t="s">
        <v>164</v>
      </c>
      <c r="D45" s="266">
        <v>0</v>
      </c>
      <c r="E45" s="266"/>
      <c r="F45" s="258">
        <f t="shared" si="8"/>
        <v>0</v>
      </c>
      <c r="H45" s="135"/>
      <c r="I45" s="4618" t="s">
        <v>1306</v>
      </c>
      <c r="J45" s="4619"/>
      <c r="K45" s="4621"/>
      <c r="L45" s="4622">
        <f t="shared" si="1"/>
        <v>307</v>
      </c>
      <c r="M45" s="4626">
        <v>1</v>
      </c>
      <c r="N45" s="4626">
        <v>2</v>
      </c>
      <c r="O45" s="4627">
        <f t="shared" si="2"/>
        <v>3</v>
      </c>
      <c r="P45" s="4628">
        <f t="shared" si="3"/>
        <v>307</v>
      </c>
      <c r="Q45" s="4628">
        <f t="shared" si="4"/>
        <v>614</v>
      </c>
      <c r="R45" s="4629">
        <f t="shared" si="5"/>
        <v>921</v>
      </c>
      <c r="T45" s="263">
        <v>0</v>
      </c>
    </row>
    <row r="46" spans="2:20" ht="14.4" thickBot="1" x14ac:dyDescent="0.35">
      <c r="B46" s="264"/>
      <c r="C46" s="265" t="s">
        <v>165</v>
      </c>
      <c r="D46" s="266">
        <v>0</v>
      </c>
      <c r="E46" s="266"/>
      <c r="F46" s="258">
        <f t="shared" si="8"/>
        <v>0</v>
      </c>
      <c r="H46" s="135"/>
      <c r="I46" s="4618" t="s">
        <v>328</v>
      </c>
      <c r="J46" s="4619"/>
      <c r="K46" s="4620"/>
      <c r="L46" s="4622">
        <f t="shared" si="1"/>
        <v>139</v>
      </c>
      <c r="M46" s="4626">
        <v>400</v>
      </c>
      <c r="N46" s="4626">
        <v>400</v>
      </c>
      <c r="O46" s="4627">
        <f t="shared" si="2"/>
        <v>800</v>
      </c>
      <c r="P46" s="4628">
        <f t="shared" si="3"/>
        <v>55600</v>
      </c>
      <c r="Q46" s="4628">
        <f t="shared" si="4"/>
        <v>55600</v>
      </c>
      <c r="R46" s="4629">
        <f t="shared" si="5"/>
        <v>111200</v>
      </c>
      <c r="T46" s="263">
        <v>0</v>
      </c>
    </row>
    <row r="47" spans="2:20" ht="14.4" thickBot="1" x14ac:dyDescent="0.35">
      <c r="B47" s="272">
        <v>8258</v>
      </c>
      <c r="C47" s="244" t="s">
        <v>174</v>
      </c>
      <c r="D47" s="245">
        <f>SUM(D48:D51)</f>
        <v>777</v>
      </c>
      <c r="E47" s="245">
        <f>SUM(E48:E51)</f>
        <v>777</v>
      </c>
      <c r="F47" s="246">
        <f>D47+E47</f>
        <v>1554</v>
      </c>
      <c r="H47" s="135"/>
      <c r="I47" s="4618" t="s">
        <v>329</v>
      </c>
      <c r="J47" s="4619"/>
      <c r="K47" s="4620"/>
      <c r="L47" s="4622">
        <f t="shared" si="1"/>
        <v>139</v>
      </c>
      <c r="M47" s="4626">
        <v>100</v>
      </c>
      <c r="N47" s="4626">
        <v>100</v>
      </c>
      <c r="O47" s="4627">
        <f t="shared" si="2"/>
        <v>200</v>
      </c>
      <c r="P47" s="4628">
        <f t="shared" si="3"/>
        <v>13900</v>
      </c>
      <c r="Q47" s="4628">
        <f t="shared" si="4"/>
        <v>13900</v>
      </c>
      <c r="R47" s="4629">
        <f t="shared" si="5"/>
        <v>27800</v>
      </c>
      <c r="T47" s="263">
        <v>0</v>
      </c>
    </row>
    <row r="48" spans="2:20" ht="13.8" x14ac:dyDescent="0.3">
      <c r="B48" s="264"/>
      <c r="C48" s="265" t="s">
        <v>162</v>
      </c>
      <c r="D48" s="266">
        <v>777</v>
      </c>
      <c r="E48" s="266">
        <v>777</v>
      </c>
      <c r="F48" s="258">
        <f t="shared" si="8"/>
        <v>1554</v>
      </c>
      <c r="H48" s="135"/>
      <c r="I48" s="4618" t="s">
        <v>330</v>
      </c>
      <c r="J48" s="4619"/>
      <c r="K48" s="4620"/>
      <c r="L48" s="4622">
        <f t="shared" si="1"/>
        <v>139</v>
      </c>
      <c r="M48" s="4626">
        <v>50</v>
      </c>
      <c r="N48" s="4626">
        <v>50</v>
      </c>
      <c r="O48" s="4627">
        <f t="shared" si="2"/>
        <v>100</v>
      </c>
      <c r="P48" s="4628">
        <f t="shared" si="3"/>
        <v>6950</v>
      </c>
      <c r="Q48" s="4628">
        <f t="shared" si="4"/>
        <v>6950</v>
      </c>
      <c r="R48" s="4629">
        <f t="shared" si="5"/>
        <v>13900</v>
      </c>
      <c r="T48" s="263">
        <v>0</v>
      </c>
    </row>
    <row r="49" spans="2:24" ht="13.8" x14ac:dyDescent="0.3">
      <c r="B49" s="264"/>
      <c r="C49" s="265" t="s">
        <v>163</v>
      </c>
      <c r="D49" s="266">
        <v>0</v>
      </c>
      <c r="E49" s="266"/>
      <c r="F49" s="258">
        <f t="shared" si="8"/>
        <v>0</v>
      </c>
      <c r="I49" s="4618" t="s">
        <v>331</v>
      </c>
      <c r="J49" s="4619"/>
      <c r="K49" s="4620"/>
      <c r="L49" s="4622">
        <f t="shared" si="1"/>
        <v>49</v>
      </c>
      <c r="M49" s="4626">
        <v>1</v>
      </c>
      <c r="N49" s="4626">
        <v>1</v>
      </c>
      <c r="O49" s="4627">
        <f t="shared" si="2"/>
        <v>2</v>
      </c>
      <c r="P49" s="4628">
        <f t="shared" si="3"/>
        <v>49</v>
      </c>
      <c r="Q49" s="4628">
        <f t="shared" si="4"/>
        <v>49</v>
      </c>
      <c r="R49" s="4629">
        <f t="shared" si="5"/>
        <v>98</v>
      </c>
      <c r="T49" s="263">
        <v>0</v>
      </c>
    </row>
    <row r="50" spans="2:24" ht="13.8" x14ac:dyDescent="0.3">
      <c r="B50" s="264"/>
      <c r="C50" s="265" t="s">
        <v>164</v>
      </c>
      <c r="D50" s="266">
        <v>0</v>
      </c>
      <c r="E50" s="266"/>
      <c r="F50" s="258">
        <f t="shared" si="8"/>
        <v>0</v>
      </c>
      <c r="I50" s="4618" t="s">
        <v>332</v>
      </c>
      <c r="J50" s="4618"/>
      <c r="K50" s="4619"/>
      <c r="L50" s="4622">
        <f t="shared" si="1"/>
        <v>49</v>
      </c>
      <c r="M50" s="4626">
        <v>1</v>
      </c>
      <c r="N50" s="4626">
        <v>1</v>
      </c>
      <c r="O50" s="4627">
        <f t="shared" si="2"/>
        <v>2</v>
      </c>
      <c r="P50" s="4628">
        <f t="shared" si="3"/>
        <v>49</v>
      </c>
      <c r="Q50" s="4628">
        <f t="shared" si="4"/>
        <v>49</v>
      </c>
      <c r="R50" s="4629">
        <f t="shared" si="5"/>
        <v>98</v>
      </c>
      <c r="T50" s="263">
        <v>0</v>
      </c>
    </row>
    <row r="51" spans="2:24" ht="14.4" thickBot="1" x14ac:dyDescent="0.35">
      <c r="B51" s="264"/>
      <c r="C51" s="265" t="s">
        <v>165</v>
      </c>
      <c r="D51" s="266">
        <v>0</v>
      </c>
      <c r="E51" s="266"/>
      <c r="F51" s="258">
        <f t="shared" si="8"/>
        <v>0</v>
      </c>
      <c r="I51" s="4618" t="s">
        <v>333</v>
      </c>
      <c r="J51" s="4619"/>
      <c r="K51" s="4620"/>
      <c r="L51" s="4622">
        <f t="shared" si="1"/>
        <v>49</v>
      </c>
      <c r="M51" s="4626">
        <v>5587</v>
      </c>
      <c r="N51" s="4626">
        <v>5587</v>
      </c>
      <c r="O51" s="4627">
        <f t="shared" si="2"/>
        <v>11174</v>
      </c>
      <c r="P51" s="4628">
        <f t="shared" si="3"/>
        <v>273763</v>
      </c>
      <c r="Q51" s="4628">
        <f t="shared" si="4"/>
        <v>273763</v>
      </c>
      <c r="R51" s="4629">
        <f t="shared" si="5"/>
        <v>547526</v>
      </c>
      <c r="T51" s="263">
        <v>0</v>
      </c>
    </row>
    <row r="52" spans="2:24" ht="14.4" thickBot="1" x14ac:dyDescent="0.35">
      <c r="B52" s="272">
        <v>2041511</v>
      </c>
      <c r="C52" s="244" t="s">
        <v>175</v>
      </c>
      <c r="D52" s="245">
        <f>S198*1.15</f>
        <v>2642565.3741000001</v>
      </c>
      <c r="E52" s="3988">
        <f>T198*1.15</f>
        <v>2111270.2547000004</v>
      </c>
      <c r="F52" s="246">
        <f>D52+E52</f>
        <v>4753835.628800001</v>
      </c>
      <c r="G52" s="271" t="s">
        <v>176</v>
      </c>
      <c r="I52" s="4618" t="s">
        <v>334</v>
      </c>
      <c r="J52" s="4619"/>
      <c r="K52" s="4620"/>
      <c r="L52" s="4622">
        <f t="shared" si="1"/>
        <v>23</v>
      </c>
      <c r="M52" s="4626">
        <v>24</v>
      </c>
      <c r="N52" s="4626">
        <v>24</v>
      </c>
      <c r="O52" s="4627">
        <f t="shared" si="2"/>
        <v>48</v>
      </c>
      <c r="P52" s="4628">
        <f t="shared" si="3"/>
        <v>552</v>
      </c>
      <c r="Q52" s="4628">
        <f t="shared" si="4"/>
        <v>552</v>
      </c>
      <c r="R52" s="4629">
        <f t="shared" si="5"/>
        <v>1104</v>
      </c>
      <c r="T52" s="263">
        <v>0</v>
      </c>
    </row>
    <row r="53" spans="2:24" ht="14.4" thickBot="1" x14ac:dyDescent="0.35">
      <c r="B53" s="272">
        <v>0</v>
      </c>
      <c r="C53" s="244" t="s">
        <v>177</v>
      </c>
      <c r="D53" s="245">
        <v>0</v>
      </c>
      <c r="E53" s="245">
        <v>0</v>
      </c>
      <c r="F53" s="246">
        <v>0</v>
      </c>
      <c r="I53" s="4618" t="s">
        <v>335</v>
      </c>
      <c r="J53" s="4619"/>
      <c r="K53" s="4620"/>
      <c r="L53" s="4622">
        <f t="shared" si="1"/>
        <v>23</v>
      </c>
      <c r="M53" s="4626">
        <v>650</v>
      </c>
      <c r="N53" s="4626">
        <v>650</v>
      </c>
      <c r="O53" s="4627">
        <f t="shared" si="2"/>
        <v>1300</v>
      </c>
      <c r="P53" s="4628">
        <f t="shared" si="3"/>
        <v>14950</v>
      </c>
      <c r="Q53" s="4628">
        <f t="shared" si="4"/>
        <v>14950</v>
      </c>
      <c r="R53" s="4629">
        <f t="shared" si="5"/>
        <v>29900</v>
      </c>
      <c r="T53" s="263">
        <v>0</v>
      </c>
    </row>
    <row r="54" spans="2:24" ht="13.8" x14ac:dyDescent="0.3">
      <c r="B54" s="313">
        <f>B12+B17+B22+B27+B32+B37+B42+B47+B52+B53</f>
        <v>2423215</v>
      </c>
      <c r="C54" s="274" t="s">
        <v>178</v>
      </c>
      <c r="D54" s="313">
        <f>D12+D17+D22+D27+D32+D37+D42+D47+D52+D53</f>
        <v>2946377.6739400001</v>
      </c>
      <c r="E54" s="313">
        <f>E12+E17+E22+E27+E32+E37+E42+E47+E52+E53</f>
        <v>2427933.7543400005</v>
      </c>
      <c r="F54" s="313">
        <f>F12+F17+F22+F27+F32+F37+F42+F47+F52+F53</f>
        <v>5374311.4282800015</v>
      </c>
      <c r="I54" s="4618" t="s">
        <v>336</v>
      </c>
      <c r="J54" s="4619"/>
      <c r="K54" s="4620"/>
      <c r="L54" s="4622">
        <f t="shared" si="1"/>
        <v>23</v>
      </c>
      <c r="M54" s="4626">
        <v>596</v>
      </c>
      <c r="N54" s="4626">
        <v>596</v>
      </c>
      <c r="O54" s="4627">
        <f t="shared" si="2"/>
        <v>1192</v>
      </c>
      <c r="P54" s="4628">
        <f t="shared" si="3"/>
        <v>13708</v>
      </c>
      <c r="Q54" s="4628">
        <f t="shared" si="4"/>
        <v>13708</v>
      </c>
      <c r="R54" s="4629">
        <f t="shared" si="5"/>
        <v>27416</v>
      </c>
      <c r="T54" s="263">
        <v>0</v>
      </c>
    </row>
    <row r="55" spans="2:24" ht="13.8" x14ac:dyDescent="0.3">
      <c r="C55" s="274"/>
      <c r="D55" s="273"/>
      <c r="E55" s="273"/>
      <c r="F55" s="273"/>
      <c r="I55" s="4618" t="s">
        <v>337</v>
      </c>
      <c r="J55" s="4619"/>
      <c r="K55" s="4620"/>
      <c r="L55" s="4622">
        <f t="shared" si="1"/>
        <v>23</v>
      </c>
      <c r="M55" s="4626">
        <v>1</v>
      </c>
      <c r="N55" s="4626">
        <v>1</v>
      </c>
      <c r="O55" s="4627">
        <f t="shared" si="2"/>
        <v>2</v>
      </c>
      <c r="P55" s="4628">
        <f t="shared" si="3"/>
        <v>23</v>
      </c>
      <c r="Q55" s="4628">
        <f t="shared" si="4"/>
        <v>23</v>
      </c>
      <c r="R55" s="4629">
        <f t="shared" si="5"/>
        <v>46</v>
      </c>
      <c r="T55" s="263">
        <v>0</v>
      </c>
    </row>
    <row r="56" spans="2:24" ht="13.8" x14ac:dyDescent="0.3">
      <c r="C56" s="274" t="s">
        <v>179</v>
      </c>
      <c r="D56" s="313">
        <f>D54-D52</f>
        <v>303812.29983999999</v>
      </c>
      <c r="E56" s="313">
        <f>E54-E52</f>
        <v>316663.49964000005</v>
      </c>
      <c r="F56" s="313">
        <f>F54-F52</f>
        <v>620475.79948000051</v>
      </c>
      <c r="I56" s="4618" t="s">
        <v>338</v>
      </c>
      <c r="J56" s="4619"/>
      <c r="K56" s="4620"/>
      <c r="L56" s="4622">
        <f t="shared" si="1"/>
        <v>23</v>
      </c>
      <c r="M56" s="4626">
        <v>1</v>
      </c>
      <c r="N56" s="4626">
        <v>1</v>
      </c>
      <c r="O56" s="4627">
        <f t="shared" si="2"/>
        <v>2</v>
      </c>
      <c r="P56" s="4628">
        <f t="shared" si="3"/>
        <v>23</v>
      </c>
      <c r="Q56" s="4628">
        <f t="shared" si="4"/>
        <v>23</v>
      </c>
      <c r="R56" s="4629">
        <f t="shared" si="5"/>
        <v>46</v>
      </c>
      <c r="T56" s="263">
        <v>0</v>
      </c>
    </row>
    <row r="57" spans="2:24" ht="13.8" x14ac:dyDescent="0.3">
      <c r="C57" s="274" t="s">
        <v>180</v>
      </c>
      <c r="D57" s="313">
        <f>D52</f>
        <v>2642565.3741000001</v>
      </c>
      <c r="E57" s="313">
        <f>E52</f>
        <v>2111270.2547000004</v>
      </c>
      <c r="F57" s="313">
        <f>F52</f>
        <v>4753835.628800001</v>
      </c>
      <c r="G57" s="277">
        <f>F57/(F56+F57)</f>
        <v>0.88454785180199769</v>
      </c>
      <c r="H57" s="278" t="s">
        <v>181</v>
      </c>
      <c r="I57" s="4618" t="s">
        <v>339</v>
      </c>
      <c r="J57" s="4619"/>
      <c r="K57" s="4620"/>
      <c r="L57" s="4622">
        <f t="shared" si="1"/>
        <v>23</v>
      </c>
      <c r="M57" s="4626">
        <v>1</v>
      </c>
      <c r="N57" s="4626">
        <v>1</v>
      </c>
      <c r="O57" s="4627">
        <f t="shared" si="2"/>
        <v>2</v>
      </c>
      <c r="P57" s="4628">
        <f t="shared" si="3"/>
        <v>23</v>
      </c>
      <c r="Q57" s="4628">
        <f t="shared" si="4"/>
        <v>23</v>
      </c>
      <c r="R57" s="4629">
        <f t="shared" si="5"/>
        <v>46</v>
      </c>
      <c r="T57" s="263">
        <v>0</v>
      </c>
    </row>
    <row r="58" spans="2:24" ht="13.8" x14ac:dyDescent="0.3">
      <c r="C58" s="274"/>
      <c r="D58" s="276"/>
      <c r="E58" s="276"/>
      <c r="F58" s="276"/>
      <c r="I58" s="4618" t="s">
        <v>340</v>
      </c>
      <c r="J58" s="4619"/>
      <c r="K58" s="4620"/>
      <c r="L58" s="4622">
        <f t="shared" si="1"/>
        <v>54135</v>
      </c>
      <c r="M58" s="4626">
        <v>2.4000000000000004</v>
      </c>
      <c r="N58" s="4626">
        <v>2.4000000000000004</v>
      </c>
      <c r="O58" s="4627">
        <f t="shared" si="2"/>
        <v>4.8000000000000007</v>
      </c>
      <c r="P58" s="4628">
        <f t="shared" si="3"/>
        <v>129924.00000000001</v>
      </c>
      <c r="Q58" s="4628">
        <f t="shared" si="4"/>
        <v>129924.00000000001</v>
      </c>
      <c r="R58" s="4629">
        <f t="shared" si="5"/>
        <v>259848.00000000003</v>
      </c>
      <c r="S58" t="s">
        <v>272</v>
      </c>
      <c r="T58" s="263">
        <v>0</v>
      </c>
    </row>
    <row r="59" spans="2:24" ht="13.8" x14ac:dyDescent="0.3">
      <c r="C59" s="4569"/>
      <c r="D59" s="4570"/>
      <c r="E59" s="4571"/>
      <c r="F59" s="4570"/>
      <c r="I59" s="4618" t="s">
        <v>342</v>
      </c>
      <c r="J59" s="4619"/>
      <c r="K59" s="4620"/>
      <c r="L59" s="4622">
        <f t="shared" si="1"/>
        <v>1082</v>
      </c>
      <c r="M59" s="4626">
        <v>152</v>
      </c>
      <c r="N59" s="4626">
        <v>152</v>
      </c>
      <c r="O59" s="4627">
        <f t="shared" si="2"/>
        <v>304</v>
      </c>
      <c r="P59" s="4628">
        <f t="shared" si="3"/>
        <v>164464</v>
      </c>
      <c r="Q59" s="4628">
        <f t="shared" si="4"/>
        <v>164464</v>
      </c>
      <c r="R59" s="4629">
        <f t="shared" si="5"/>
        <v>328928</v>
      </c>
      <c r="T59" s="263">
        <v>0</v>
      </c>
    </row>
    <row r="60" spans="2:24" ht="13.8" x14ac:dyDescent="0.3">
      <c r="C60" s="4572"/>
      <c r="D60" s="4571"/>
      <c r="E60" s="4571"/>
      <c r="F60" s="4571"/>
      <c r="I60" s="4618" t="s">
        <v>343</v>
      </c>
      <c r="J60" s="4619"/>
      <c r="K60" s="4620"/>
      <c r="L60" s="4622">
        <f t="shared" si="1"/>
        <v>1244</v>
      </c>
      <c r="M60" s="4626">
        <v>18</v>
      </c>
      <c r="N60" s="4626">
        <v>18</v>
      </c>
      <c r="O60" s="4627">
        <f t="shared" si="2"/>
        <v>36</v>
      </c>
      <c r="P60" s="4628">
        <f t="shared" si="3"/>
        <v>22392</v>
      </c>
      <c r="Q60" s="4628">
        <f t="shared" si="4"/>
        <v>22392</v>
      </c>
      <c r="R60" s="4629">
        <f t="shared" si="5"/>
        <v>44784</v>
      </c>
      <c r="T60" s="263">
        <v>0</v>
      </c>
      <c r="W60" s="263"/>
    </row>
    <row r="61" spans="2:24" ht="13.8" x14ac:dyDescent="0.3">
      <c r="C61" s="4572"/>
      <c r="D61" s="4571"/>
      <c r="E61" s="4571"/>
      <c r="F61" s="4571"/>
      <c r="I61" s="4618" t="s">
        <v>344</v>
      </c>
      <c r="J61" s="4619"/>
      <c r="K61" s="4620"/>
      <c r="L61" s="4622">
        <f t="shared" si="1"/>
        <v>1.61</v>
      </c>
      <c r="M61" s="4626">
        <v>91639.2</v>
      </c>
      <c r="N61" s="4626">
        <v>91639.2</v>
      </c>
      <c r="O61" s="4627">
        <f t="shared" si="2"/>
        <v>183278.4</v>
      </c>
      <c r="P61" s="4628">
        <f t="shared" si="3"/>
        <v>147539.11199999999</v>
      </c>
      <c r="Q61" s="4628">
        <f t="shared" si="4"/>
        <v>147539.11199999999</v>
      </c>
      <c r="R61" s="4629">
        <f t="shared" si="5"/>
        <v>295078.22399999999</v>
      </c>
      <c r="T61" s="263">
        <v>0</v>
      </c>
      <c r="W61" s="263"/>
    </row>
    <row r="62" spans="2:24" ht="13.8" x14ac:dyDescent="0.3">
      <c r="C62" s="4572"/>
      <c r="D62" s="4571"/>
      <c r="E62" s="4573"/>
      <c r="F62" s="4574"/>
      <c r="I62" s="4618" t="s">
        <v>345</v>
      </c>
      <c r="J62" s="4619"/>
      <c r="K62" s="4620"/>
      <c r="L62" s="4622">
        <f t="shared" si="1"/>
        <v>0.9</v>
      </c>
      <c r="M62" s="4626">
        <v>36091.199999999997</v>
      </c>
      <c r="N62" s="4626">
        <v>36091.199999999997</v>
      </c>
      <c r="O62" s="4627">
        <f t="shared" si="2"/>
        <v>72182.399999999994</v>
      </c>
      <c r="P62" s="4628">
        <f t="shared" si="3"/>
        <v>32482.079999999998</v>
      </c>
      <c r="Q62" s="4628">
        <f t="shared" si="4"/>
        <v>32482.079999999998</v>
      </c>
      <c r="R62" s="4629">
        <f t="shared" si="5"/>
        <v>64964.159999999996</v>
      </c>
      <c r="T62" s="263">
        <v>0</v>
      </c>
      <c r="V62" s="316"/>
      <c r="W62" s="316"/>
      <c r="X62" s="316"/>
    </row>
    <row r="63" spans="2:24" ht="13.8" x14ac:dyDescent="0.3">
      <c r="C63" s="4572"/>
      <c r="D63" s="4571"/>
      <c r="E63" s="4571"/>
      <c r="F63" s="4574"/>
      <c r="I63" s="4618" t="s">
        <v>346</v>
      </c>
      <c r="J63" s="4619"/>
      <c r="K63" s="4620"/>
      <c r="L63" s="4622">
        <f t="shared" si="1"/>
        <v>1.1000000000000001</v>
      </c>
      <c r="M63" s="4626">
        <v>0</v>
      </c>
      <c r="N63" s="4626">
        <v>0</v>
      </c>
      <c r="O63" s="4627">
        <f t="shared" si="2"/>
        <v>0</v>
      </c>
      <c r="P63" s="4628">
        <f t="shared" si="3"/>
        <v>0</v>
      </c>
      <c r="Q63" s="4628">
        <f t="shared" si="4"/>
        <v>0</v>
      </c>
      <c r="R63" s="4629">
        <f t="shared" si="5"/>
        <v>0</v>
      </c>
      <c r="T63" s="263">
        <v>0</v>
      </c>
      <c r="V63" s="316"/>
      <c r="W63" s="316"/>
      <c r="X63" s="316"/>
    </row>
    <row r="64" spans="2:24" ht="13.8" x14ac:dyDescent="0.3">
      <c r="C64" s="4572"/>
      <c r="D64" s="4573"/>
      <c r="E64" s="4571"/>
      <c r="F64" s="4571"/>
      <c r="I64" s="4618" t="s">
        <v>347</v>
      </c>
      <c r="J64" s="4619"/>
      <c r="K64" s="4620"/>
      <c r="L64" s="4622">
        <f t="shared" si="1"/>
        <v>27000</v>
      </c>
      <c r="M64" s="4626">
        <v>0</v>
      </c>
      <c r="N64" s="4626">
        <v>0</v>
      </c>
      <c r="O64" s="4627">
        <f t="shared" si="2"/>
        <v>0</v>
      </c>
      <c r="P64" s="4628">
        <f t="shared" si="3"/>
        <v>0</v>
      </c>
      <c r="Q64" s="4628">
        <f t="shared" si="4"/>
        <v>0</v>
      </c>
      <c r="R64" s="4629">
        <f t="shared" si="5"/>
        <v>0</v>
      </c>
      <c r="S64" t="s">
        <v>275</v>
      </c>
      <c r="T64" s="263">
        <v>0</v>
      </c>
      <c r="V64" s="316"/>
      <c r="W64" s="316"/>
      <c r="X64" s="316"/>
    </row>
    <row r="65" spans="3:24" ht="13.8" x14ac:dyDescent="0.3">
      <c r="C65" s="4572"/>
      <c r="D65" s="4571"/>
      <c r="E65" s="4571"/>
      <c r="F65" s="4571"/>
      <c r="I65" s="4618" t="s">
        <v>349</v>
      </c>
      <c r="J65" s="4619"/>
      <c r="K65" s="4620"/>
      <c r="L65" s="4622">
        <f t="shared" si="1"/>
        <v>435.8</v>
      </c>
      <c r="M65" s="4626">
        <v>98</v>
      </c>
      <c r="N65" s="4626">
        <v>98</v>
      </c>
      <c r="O65" s="4627">
        <f t="shared" si="2"/>
        <v>196</v>
      </c>
      <c r="P65" s="4628">
        <f t="shared" si="3"/>
        <v>42708.4</v>
      </c>
      <c r="Q65" s="4628">
        <f t="shared" si="4"/>
        <v>42708.4</v>
      </c>
      <c r="R65" s="4629">
        <f t="shared" si="5"/>
        <v>85416.8</v>
      </c>
      <c r="T65" s="263">
        <v>0</v>
      </c>
      <c r="V65" s="316"/>
      <c r="W65" s="316"/>
      <c r="X65" s="316"/>
    </row>
    <row r="66" spans="3:24" ht="13.8" x14ac:dyDescent="0.3">
      <c r="C66" s="4572"/>
      <c r="D66" s="4571"/>
      <c r="E66" s="4571"/>
      <c r="F66" s="4571"/>
      <c r="I66" s="4618" t="s">
        <v>350</v>
      </c>
      <c r="J66" s="4619"/>
      <c r="K66" s="4620"/>
      <c r="L66" s="4622">
        <f t="shared" si="1"/>
        <v>435.8</v>
      </c>
      <c r="M66" s="4626">
        <v>10</v>
      </c>
      <c r="N66" s="4626">
        <v>10</v>
      </c>
      <c r="O66" s="4627">
        <f t="shared" si="2"/>
        <v>20</v>
      </c>
      <c r="P66" s="4628">
        <f t="shared" si="3"/>
        <v>4358</v>
      </c>
      <c r="Q66" s="4628">
        <f t="shared" si="4"/>
        <v>4358</v>
      </c>
      <c r="R66" s="4629">
        <f t="shared" si="5"/>
        <v>8716</v>
      </c>
      <c r="T66" s="263">
        <v>0</v>
      </c>
      <c r="V66" s="316"/>
      <c r="W66" s="316"/>
      <c r="X66" s="316"/>
    </row>
    <row r="67" spans="3:24" ht="13.8" x14ac:dyDescent="0.3">
      <c r="C67" s="4572"/>
      <c r="D67" s="4571"/>
      <c r="E67" s="4571"/>
      <c r="F67" s="4571"/>
      <c r="I67" s="4618" t="s">
        <v>351</v>
      </c>
      <c r="J67" s="4619"/>
      <c r="K67" s="4620"/>
      <c r="L67" s="4622">
        <f t="shared" si="1"/>
        <v>131</v>
      </c>
      <c r="M67" s="4626">
        <v>2</v>
      </c>
      <c r="N67" s="4626">
        <v>2</v>
      </c>
      <c r="O67" s="4627">
        <f t="shared" si="2"/>
        <v>4</v>
      </c>
      <c r="P67" s="4628">
        <f t="shared" si="3"/>
        <v>262</v>
      </c>
      <c r="Q67" s="4628">
        <f t="shared" si="4"/>
        <v>262</v>
      </c>
      <c r="R67" s="4629">
        <f t="shared" si="5"/>
        <v>524</v>
      </c>
      <c r="T67" s="263">
        <v>0</v>
      </c>
      <c r="V67" s="316"/>
      <c r="W67" s="316"/>
      <c r="X67" s="316"/>
    </row>
    <row r="68" spans="3:24" ht="13.8" x14ac:dyDescent="0.3">
      <c r="C68" s="4572"/>
      <c r="D68" s="4571"/>
      <c r="E68" s="4571"/>
      <c r="F68" s="4571"/>
      <c r="I68" s="4618" t="s">
        <v>352</v>
      </c>
      <c r="J68" s="4619"/>
      <c r="K68" s="4620"/>
      <c r="L68" s="4622">
        <f t="shared" si="1"/>
        <v>131</v>
      </c>
      <c r="M68" s="4626">
        <v>2</v>
      </c>
      <c r="N68" s="4626">
        <v>2</v>
      </c>
      <c r="O68" s="4627">
        <f t="shared" si="2"/>
        <v>4</v>
      </c>
      <c r="P68" s="4628">
        <f t="shared" si="3"/>
        <v>262</v>
      </c>
      <c r="Q68" s="4628">
        <f t="shared" si="4"/>
        <v>262</v>
      </c>
      <c r="R68" s="4629">
        <f t="shared" si="5"/>
        <v>524</v>
      </c>
      <c r="T68" s="263">
        <v>0</v>
      </c>
      <c r="V68" s="316"/>
      <c r="W68" s="316"/>
      <c r="X68" s="316"/>
    </row>
    <row r="69" spans="3:24" ht="13.8" x14ac:dyDescent="0.3">
      <c r="C69" s="4572"/>
      <c r="D69" s="4571"/>
      <c r="E69" s="4571"/>
      <c r="F69" s="4571"/>
      <c r="I69" s="4618" t="s">
        <v>353</v>
      </c>
      <c r="J69" s="4619"/>
      <c r="K69" s="4620"/>
      <c r="L69" s="4622">
        <f t="shared" si="1"/>
        <v>131</v>
      </c>
      <c r="M69" s="4626">
        <v>2</v>
      </c>
      <c r="N69" s="4626">
        <v>2</v>
      </c>
      <c r="O69" s="4627">
        <f t="shared" si="2"/>
        <v>4</v>
      </c>
      <c r="P69" s="4628">
        <f t="shared" si="3"/>
        <v>262</v>
      </c>
      <c r="Q69" s="4628">
        <f t="shared" si="4"/>
        <v>262</v>
      </c>
      <c r="R69" s="4629">
        <f t="shared" si="5"/>
        <v>524</v>
      </c>
      <c r="T69" s="263">
        <v>0</v>
      </c>
      <c r="V69" s="316"/>
      <c r="W69" s="316"/>
      <c r="X69" s="316"/>
    </row>
    <row r="70" spans="3:24" ht="13.8" x14ac:dyDescent="0.3">
      <c r="C70" s="274"/>
      <c r="D70" s="273"/>
      <c r="E70" s="273"/>
      <c r="F70" s="273"/>
      <c r="I70" s="4618" t="s">
        <v>354</v>
      </c>
      <c r="J70" s="4619"/>
      <c r="K70" s="4620"/>
      <c r="L70" s="4622">
        <f t="shared" si="1"/>
        <v>3500</v>
      </c>
      <c r="M70" s="4626">
        <v>2</v>
      </c>
      <c r="N70" s="4626">
        <v>3</v>
      </c>
      <c r="O70" s="4627">
        <f t="shared" si="2"/>
        <v>5</v>
      </c>
      <c r="P70" s="4628">
        <f t="shared" si="3"/>
        <v>7000</v>
      </c>
      <c r="Q70" s="4628">
        <f t="shared" si="4"/>
        <v>10500</v>
      </c>
      <c r="R70" s="4629">
        <f t="shared" si="5"/>
        <v>17500</v>
      </c>
      <c r="T70" s="263">
        <v>0</v>
      </c>
      <c r="V70" s="316"/>
      <c r="W70" s="316"/>
      <c r="X70" s="316"/>
    </row>
    <row r="71" spans="3:24" ht="13.8" x14ac:dyDescent="0.3">
      <c r="C71" s="274"/>
      <c r="D71" s="273"/>
      <c r="E71" s="273"/>
      <c r="F71" s="273"/>
      <c r="I71" s="4618" t="s">
        <v>355</v>
      </c>
      <c r="J71" s="4619"/>
      <c r="K71" s="4620"/>
      <c r="L71" s="4622">
        <f t="shared" si="1"/>
        <v>0</v>
      </c>
      <c r="M71" s="4626">
        <v>0</v>
      </c>
      <c r="N71" s="4626">
        <v>0</v>
      </c>
      <c r="O71" s="4627">
        <f t="shared" si="2"/>
        <v>0</v>
      </c>
      <c r="P71" s="4628">
        <f t="shared" si="3"/>
        <v>0</v>
      </c>
      <c r="Q71" s="4628">
        <f t="shared" si="4"/>
        <v>0</v>
      </c>
      <c r="R71" s="4629">
        <f t="shared" si="5"/>
        <v>0</v>
      </c>
      <c r="T71" s="263">
        <v>0</v>
      </c>
      <c r="V71" s="316"/>
      <c r="W71" s="316"/>
      <c r="X71" s="316"/>
    </row>
    <row r="72" spans="3:24" ht="13.8" x14ac:dyDescent="0.3">
      <c r="C72" s="274"/>
      <c r="D72" s="273"/>
      <c r="E72" s="273"/>
      <c r="F72" s="273"/>
      <c r="I72" s="4618" t="s">
        <v>356</v>
      </c>
      <c r="J72" s="4619"/>
      <c r="K72" s="4620"/>
      <c r="L72" s="4622">
        <f t="shared" si="1"/>
        <v>0</v>
      </c>
      <c r="M72" s="4626">
        <v>0</v>
      </c>
      <c r="N72" s="4626">
        <v>0</v>
      </c>
      <c r="O72" s="4627">
        <f t="shared" si="2"/>
        <v>0</v>
      </c>
      <c r="P72" s="4628">
        <f t="shared" si="3"/>
        <v>0</v>
      </c>
      <c r="Q72" s="4628">
        <f t="shared" si="4"/>
        <v>0</v>
      </c>
      <c r="R72" s="4629">
        <f t="shared" si="5"/>
        <v>0</v>
      </c>
      <c r="T72" s="263">
        <v>0</v>
      </c>
      <c r="V72" s="316"/>
      <c r="W72" s="316"/>
      <c r="X72" s="316"/>
    </row>
    <row r="73" spans="3:24" ht="13.8" x14ac:dyDescent="0.3">
      <c r="C73" s="274"/>
      <c r="D73" s="273"/>
      <c r="E73" s="273"/>
      <c r="F73" s="273"/>
      <c r="I73" s="4618" t="s">
        <v>357</v>
      </c>
      <c r="J73" s="4619"/>
      <c r="K73" s="4620"/>
      <c r="L73" s="4622">
        <f t="shared" si="1"/>
        <v>20</v>
      </c>
      <c r="M73" s="4626">
        <v>8</v>
      </c>
      <c r="N73" s="4626">
        <v>8</v>
      </c>
      <c r="O73" s="4627">
        <f t="shared" si="2"/>
        <v>16</v>
      </c>
      <c r="P73" s="4628">
        <f t="shared" si="3"/>
        <v>160</v>
      </c>
      <c r="Q73" s="4628">
        <f t="shared" si="4"/>
        <v>160</v>
      </c>
      <c r="R73" s="4629">
        <f t="shared" si="5"/>
        <v>320</v>
      </c>
      <c r="T73" s="263">
        <v>0</v>
      </c>
      <c r="V73" s="316"/>
      <c r="W73" s="316"/>
      <c r="X73" s="316"/>
    </row>
    <row r="74" spans="3:24" ht="13.8" x14ac:dyDescent="0.3">
      <c r="C74" s="274"/>
      <c r="D74" s="273"/>
      <c r="E74" s="273"/>
      <c r="F74" s="273"/>
      <c r="I74" s="4618" t="s">
        <v>358</v>
      </c>
      <c r="J74" s="4619"/>
      <c r="K74" s="4620"/>
      <c r="L74" s="4622">
        <f t="shared" si="1"/>
        <v>20</v>
      </c>
      <c r="M74" s="4626">
        <v>222</v>
      </c>
      <c r="N74" s="4626">
        <v>222</v>
      </c>
      <c r="O74" s="4627">
        <f t="shared" si="2"/>
        <v>444</v>
      </c>
      <c r="P74" s="4628">
        <f t="shared" si="3"/>
        <v>4440</v>
      </c>
      <c r="Q74" s="4628">
        <f t="shared" si="4"/>
        <v>4440</v>
      </c>
      <c r="R74" s="4629">
        <f t="shared" si="5"/>
        <v>8880</v>
      </c>
      <c r="T74" s="263">
        <v>0</v>
      </c>
      <c r="V74" s="316"/>
      <c r="W74" s="316"/>
      <c r="X74" s="316"/>
    </row>
    <row r="75" spans="3:24" ht="13.8" x14ac:dyDescent="0.3">
      <c r="C75" s="274"/>
      <c r="D75" s="273"/>
      <c r="E75" s="273"/>
      <c r="F75" s="273"/>
      <c r="I75" s="4618" t="s">
        <v>359</v>
      </c>
      <c r="J75" s="4619"/>
      <c r="K75" s="4620"/>
      <c r="L75" s="4622">
        <f t="shared" si="1"/>
        <v>20</v>
      </c>
      <c r="M75" s="4626">
        <v>110</v>
      </c>
      <c r="N75" s="4626">
        <v>110</v>
      </c>
      <c r="O75" s="4627">
        <f t="shared" si="2"/>
        <v>220</v>
      </c>
      <c r="P75" s="4628">
        <f t="shared" si="3"/>
        <v>2200</v>
      </c>
      <c r="Q75" s="4628">
        <f t="shared" si="4"/>
        <v>2200</v>
      </c>
      <c r="R75" s="4629">
        <f t="shared" si="5"/>
        <v>4400</v>
      </c>
      <c r="T75" s="263">
        <v>0</v>
      </c>
      <c r="V75" s="316"/>
      <c r="W75" s="316"/>
      <c r="X75" s="316"/>
    </row>
    <row r="76" spans="3:24" ht="13.8" x14ac:dyDescent="0.3">
      <c r="C76" s="274"/>
      <c r="D76" s="273"/>
      <c r="E76" s="273"/>
      <c r="F76" s="273"/>
      <c r="I76" s="4618" t="s">
        <v>360</v>
      </c>
      <c r="J76" s="4619"/>
      <c r="K76" s="4620"/>
      <c r="L76" s="4622">
        <f t="shared" si="1"/>
        <v>11.94</v>
      </c>
      <c r="M76" s="4626">
        <v>15447.599999999999</v>
      </c>
      <c r="N76" s="4626">
        <v>15447.599999999999</v>
      </c>
      <c r="O76" s="4627">
        <f t="shared" si="2"/>
        <v>30895.199999999997</v>
      </c>
      <c r="P76" s="4628">
        <f t="shared" si="3"/>
        <v>184444.34399999998</v>
      </c>
      <c r="Q76" s="4628">
        <f t="shared" si="4"/>
        <v>184444.34399999998</v>
      </c>
      <c r="R76" s="4629">
        <f t="shared" si="5"/>
        <v>368888.68799999997</v>
      </c>
      <c r="T76" s="263">
        <v>0</v>
      </c>
      <c r="V76" s="316"/>
      <c r="W76" s="316"/>
      <c r="X76" s="316"/>
    </row>
    <row r="77" spans="3:24" ht="15.6" x14ac:dyDescent="0.3">
      <c r="C77" s="317" t="s">
        <v>276</v>
      </c>
      <c r="D77" s="273">
        <f>D62</f>
        <v>0</v>
      </c>
      <c r="E77" s="273"/>
      <c r="F77" s="273"/>
      <c r="I77" s="4618" t="s">
        <v>361</v>
      </c>
      <c r="J77" s="4619"/>
      <c r="K77" s="4620"/>
      <c r="L77" s="4622">
        <f t="shared" ref="L77:L100" si="9">D174</f>
        <v>12.72</v>
      </c>
      <c r="M77" s="4626">
        <v>501.2</v>
      </c>
      <c r="N77" s="4626">
        <v>501.2</v>
      </c>
      <c r="O77" s="4627">
        <f t="shared" ref="O77:O100" si="10">M77+N77</f>
        <v>1002.4</v>
      </c>
      <c r="P77" s="4628">
        <f t="shared" ref="P77:P100" si="11">M77*L77</f>
        <v>6375.2640000000001</v>
      </c>
      <c r="Q77" s="4628">
        <f t="shared" ref="Q77:Q100" si="12">N77*L77</f>
        <v>6375.2640000000001</v>
      </c>
      <c r="R77" s="4629">
        <f t="shared" ref="R77:R100" si="13">P77+Q77</f>
        <v>12750.528</v>
      </c>
      <c r="T77" s="263">
        <v>0</v>
      </c>
      <c r="V77" s="316"/>
      <c r="W77" s="316"/>
      <c r="X77" s="316"/>
    </row>
    <row r="78" spans="3:24" ht="13.8" x14ac:dyDescent="0.3">
      <c r="C78" s="318"/>
      <c r="D78" s="273"/>
      <c r="E78" s="273"/>
      <c r="F78" s="273"/>
      <c r="I78" s="4618" t="s">
        <v>362</v>
      </c>
      <c r="J78" s="4619"/>
      <c r="K78" s="4620"/>
      <c r="L78" s="4622">
        <f t="shared" si="9"/>
        <v>11.53</v>
      </c>
      <c r="M78" s="4626">
        <v>341.59999999999997</v>
      </c>
      <c r="N78" s="4626">
        <v>341.59999999999997</v>
      </c>
      <c r="O78" s="4627">
        <f t="shared" si="10"/>
        <v>683.19999999999993</v>
      </c>
      <c r="P78" s="4628">
        <f t="shared" si="11"/>
        <v>3938.6479999999992</v>
      </c>
      <c r="Q78" s="4628">
        <f t="shared" si="12"/>
        <v>3938.6479999999992</v>
      </c>
      <c r="R78" s="4629">
        <f t="shared" si="13"/>
        <v>7877.2959999999985</v>
      </c>
      <c r="T78" s="263">
        <v>0</v>
      </c>
      <c r="V78" s="316"/>
      <c r="W78" s="316"/>
      <c r="X78" s="316"/>
    </row>
    <row r="79" spans="3:24" ht="13.8" x14ac:dyDescent="0.3">
      <c r="C79" s="318" t="s">
        <v>277</v>
      </c>
      <c r="D79" s="273" t="s">
        <v>278</v>
      </c>
      <c r="E79" s="273" t="s">
        <v>279</v>
      </c>
      <c r="F79" s="273" t="s">
        <v>29</v>
      </c>
      <c r="I79" s="4618" t="s">
        <v>363</v>
      </c>
      <c r="J79" s="4619"/>
      <c r="K79" s="4620"/>
      <c r="L79" s="4622">
        <f t="shared" si="9"/>
        <v>21.65</v>
      </c>
      <c r="M79" s="4626">
        <v>2752.7999999999997</v>
      </c>
      <c r="N79" s="4626">
        <v>2752.7999999999997</v>
      </c>
      <c r="O79" s="4627">
        <f t="shared" si="10"/>
        <v>5505.5999999999995</v>
      </c>
      <c r="P79" s="4628">
        <f t="shared" si="11"/>
        <v>59598.119999999988</v>
      </c>
      <c r="Q79" s="4628">
        <f t="shared" si="12"/>
        <v>59598.119999999988</v>
      </c>
      <c r="R79" s="4629">
        <f t="shared" si="13"/>
        <v>119196.23999999998</v>
      </c>
      <c r="T79" s="263">
        <v>0</v>
      </c>
      <c r="V79" s="316"/>
      <c r="W79" s="316"/>
      <c r="X79" s="316"/>
    </row>
    <row r="80" spans="3:24" ht="13.8" x14ac:dyDescent="0.3">
      <c r="C80" s="274" t="s">
        <v>280</v>
      </c>
      <c r="D80" s="273">
        <f>D92+D87</f>
        <v>2893639.0784000005</v>
      </c>
      <c r="E80" s="273">
        <f>D80*0.15</f>
        <v>434045.86176000006</v>
      </c>
      <c r="F80" s="273">
        <f>D80+E80</f>
        <v>3327684.9401600007</v>
      </c>
      <c r="I80" s="4618" t="s">
        <v>364</v>
      </c>
      <c r="J80" s="4619"/>
      <c r="K80" s="4620"/>
      <c r="L80" s="4622">
        <f t="shared" si="9"/>
        <v>20.22</v>
      </c>
      <c r="M80" s="4626">
        <v>1253</v>
      </c>
      <c r="N80" s="4626">
        <v>1253</v>
      </c>
      <c r="O80" s="4627">
        <f t="shared" si="10"/>
        <v>2506</v>
      </c>
      <c r="P80" s="4628">
        <f t="shared" si="11"/>
        <v>25335.66</v>
      </c>
      <c r="Q80" s="4628">
        <f t="shared" si="12"/>
        <v>25335.66</v>
      </c>
      <c r="R80" s="4629">
        <f t="shared" si="13"/>
        <v>50671.32</v>
      </c>
      <c r="T80" s="263">
        <v>0</v>
      </c>
      <c r="V80" s="316"/>
      <c r="W80" s="316"/>
      <c r="X80" s="316"/>
    </row>
    <row r="81" spans="3:20" ht="13.8" x14ac:dyDescent="0.3">
      <c r="C81" s="274" t="s">
        <v>281</v>
      </c>
      <c r="D81" s="273">
        <f>D93+D88</f>
        <v>1240131.0336000002</v>
      </c>
      <c r="E81" s="273">
        <f>D81*0.15</f>
        <v>186019.65504000001</v>
      </c>
      <c r="F81" s="273">
        <f>D81+E81</f>
        <v>1426150.6886400003</v>
      </c>
      <c r="G81" s="301">
        <f>F80+F81</f>
        <v>4753835.628800001</v>
      </c>
      <c r="I81" s="4618" t="s">
        <v>365</v>
      </c>
      <c r="J81" s="4619"/>
      <c r="K81" s="4620"/>
      <c r="L81" s="4622">
        <f t="shared" si="9"/>
        <v>20.84</v>
      </c>
      <c r="M81" s="4626">
        <v>11.2</v>
      </c>
      <c r="N81" s="4626">
        <v>11.2</v>
      </c>
      <c r="O81" s="4627">
        <f t="shared" si="10"/>
        <v>22.4</v>
      </c>
      <c r="P81" s="4628">
        <f t="shared" si="11"/>
        <v>233.40799999999999</v>
      </c>
      <c r="Q81" s="4628">
        <f t="shared" si="12"/>
        <v>233.40799999999999</v>
      </c>
      <c r="R81" s="4629">
        <f t="shared" si="13"/>
        <v>466.81599999999997</v>
      </c>
      <c r="T81" s="263">
        <v>0</v>
      </c>
    </row>
    <row r="82" spans="3:20" ht="13.8" x14ac:dyDescent="0.3">
      <c r="C82" s="274" t="s">
        <v>282</v>
      </c>
      <c r="D82" s="273">
        <v>373913</v>
      </c>
      <c r="E82" s="273">
        <v>56086.95</v>
      </c>
      <c r="F82" s="273">
        <f>D82+E82</f>
        <v>429999.95</v>
      </c>
      <c r="I82" s="4618" t="s">
        <v>366</v>
      </c>
      <c r="J82" s="4619"/>
      <c r="K82" s="4620"/>
      <c r="L82" s="4622">
        <f t="shared" si="9"/>
        <v>23.58</v>
      </c>
      <c r="M82" s="4626">
        <v>1</v>
      </c>
      <c r="N82" s="4626">
        <v>1</v>
      </c>
      <c r="O82" s="4627">
        <f t="shared" si="10"/>
        <v>2</v>
      </c>
      <c r="P82" s="4628">
        <f t="shared" si="11"/>
        <v>23.58</v>
      </c>
      <c r="Q82" s="4628">
        <f t="shared" si="12"/>
        <v>23.58</v>
      </c>
      <c r="R82" s="4629">
        <f t="shared" si="13"/>
        <v>47.16</v>
      </c>
      <c r="T82" s="263"/>
    </row>
    <row r="83" spans="3:20" ht="13.8" x14ac:dyDescent="0.3">
      <c r="C83" s="274" t="s">
        <v>29</v>
      </c>
      <c r="D83" s="273">
        <f>SUM(D80:D81)</f>
        <v>4133770.1120000007</v>
      </c>
      <c r="E83" s="273">
        <f>SUM(E80:E81)</f>
        <v>620065.5168000001</v>
      </c>
      <c r="F83" s="319">
        <f>SUM(F80:F82)</f>
        <v>5183835.5788000012</v>
      </c>
      <c r="I83" s="4618" t="s">
        <v>367</v>
      </c>
      <c r="J83" s="4619"/>
      <c r="K83" s="4620"/>
      <c r="L83" s="4622">
        <f t="shared" si="9"/>
        <v>22.73</v>
      </c>
      <c r="M83" s="4626">
        <v>1</v>
      </c>
      <c r="N83" s="4626">
        <v>1</v>
      </c>
      <c r="O83" s="4627">
        <f t="shared" si="10"/>
        <v>2</v>
      </c>
      <c r="P83" s="4628">
        <f t="shared" si="11"/>
        <v>22.73</v>
      </c>
      <c r="Q83" s="4628">
        <f t="shared" si="12"/>
        <v>22.73</v>
      </c>
      <c r="R83" s="4629">
        <f t="shared" si="13"/>
        <v>45.46</v>
      </c>
      <c r="T83" s="263">
        <v>0</v>
      </c>
    </row>
    <row r="84" spans="3:20" ht="13.8" x14ac:dyDescent="0.3">
      <c r="C84" s="274"/>
      <c r="D84" s="273"/>
      <c r="E84" s="273"/>
      <c r="F84" s="273"/>
      <c r="I84" s="4618" t="s">
        <v>368</v>
      </c>
      <c r="J84" s="4619"/>
      <c r="K84" s="4620"/>
      <c r="L84" s="4622">
        <f t="shared" si="9"/>
        <v>13.87</v>
      </c>
      <c r="M84" s="4626">
        <v>1</v>
      </c>
      <c r="N84" s="4626">
        <v>1</v>
      </c>
      <c r="O84" s="4627">
        <f t="shared" si="10"/>
        <v>2</v>
      </c>
      <c r="P84" s="4628">
        <f t="shared" si="11"/>
        <v>13.87</v>
      </c>
      <c r="Q84" s="4628">
        <f t="shared" si="12"/>
        <v>13.87</v>
      </c>
      <c r="R84" s="4629">
        <f t="shared" si="13"/>
        <v>27.74</v>
      </c>
      <c r="T84" s="263">
        <v>0</v>
      </c>
    </row>
    <row r="85" spans="3:20" ht="13.8" x14ac:dyDescent="0.3">
      <c r="C85" s="274"/>
      <c r="D85" s="273"/>
      <c r="E85" s="273"/>
      <c r="F85" s="273"/>
      <c r="I85" s="4618" t="s">
        <v>369</v>
      </c>
      <c r="J85" s="4619"/>
      <c r="K85" s="4620"/>
      <c r="L85" s="4622">
        <f t="shared" si="9"/>
        <v>13.41</v>
      </c>
      <c r="M85" s="4626">
        <v>1</v>
      </c>
      <c r="N85" s="4626">
        <v>1</v>
      </c>
      <c r="O85" s="4627">
        <f t="shared" si="10"/>
        <v>2</v>
      </c>
      <c r="P85" s="4628">
        <f t="shared" si="11"/>
        <v>13.41</v>
      </c>
      <c r="Q85" s="4628">
        <f t="shared" si="12"/>
        <v>13.41</v>
      </c>
      <c r="R85" s="4629">
        <f t="shared" si="13"/>
        <v>26.82</v>
      </c>
      <c r="T85" s="263">
        <v>0</v>
      </c>
    </row>
    <row r="86" spans="3:20" ht="13.8" x14ac:dyDescent="0.3">
      <c r="C86" s="274" t="s">
        <v>283</v>
      </c>
      <c r="D86" s="273" t="s">
        <v>278</v>
      </c>
      <c r="E86" s="273" t="s">
        <v>279</v>
      </c>
      <c r="F86" s="273" t="s">
        <v>29</v>
      </c>
      <c r="I86" s="4618" t="s">
        <v>370</v>
      </c>
      <c r="J86" s="4619"/>
      <c r="K86" s="4620"/>
      <c r="L86" s="4622">
        <f t="shared" si="9"/>
        <v>128</v>
      </c>
      <c r="M86" s="4626">
        <v>450</v>
      </c>
      <c r="N86" s="4626">
        <v>450</v>
      </c>
      <c r="O86" s="4627">
        <f t="shared" si="10"/>
        <v>900</v>
      </c>
      <c r="P86" s="4628">
        <f t="shared" si="11"/>
        <v>57600</v>
      </c>
      <c r="Q86" s="4628">
        <f t="shared" si="12"/>
        <v>57600</v>
      </c>
      <c r="R86" s="4629">
        <f t="shared" si="13"/>
        <v>115200</v>
      </c>
      <c r="T86" s="263">
        <v>0</v>
      </c>
    </row>
    <row r="87" spans="3:20" ht="13.8" x14ac:dyDescent="0.3">
      <c r="C87" s="274" t="s">
        <v>280</v>
      </c>
      <c r="D87" s="273">
        <f>(D52*0.7)/1.15</f>
        <v>1608518.0538000001</v>
      </c>
      <c r="E87" s="273">
        <f>D87*0.15</f>
        <v>241277.70806999999</v>
      </c>
      <c r="F87" s="273">
        <f>SUM(D87:E87)</f>
        <v>1849795.76187</v>
      </c>
      <c r="I87" s="4618" t="s">
        <v>371</v>
      </c>
      <c r="J87" s="4619"/>
      <c r="K87" s="4620"/>
      <c r="L87" s="4622">
        <f t="shared" si="9"/>
        <v>128</v>
      </c>
      <c r="M87" s="4626">
        <v>50</v>
      </c>
      <c r="N87" s="4626">
        <v>50</v>
      </c>
      <c r="O87" s="4627">
        <f t="shared" si="10"/>
        <v>100</v>
      </c>
      <c r="P87" s="4628">
        <f t="shared" si="11"/>
        <v>6400</v>
      </c>
      <c r="Q87" s="4628">
        <f t="shared" si="12"/>
        <v>6400</v>
      </c>
      <c r="R87" s="4629">
        <f t="shared" si="13"/>
        <v>12800</v>
      </c>
      <c r="T87" s="263">
        <v>0</v>
      </c>
    </row>
    <row r="88" spans="3:20" ht="13.8" x14ac:dyDescent="0.3">
      <c r="C88" s="274" t="s">
        <v>281</v>
      </c>
      <c r="D88" s="273">
        <f>(D52*0.3)/1.15</f>
        <v>689364.88020000001</v>
      </c>
      <c r="E88" s="273">
        <f>D88*0.15</f>
        <v>103404.73203</v>
      </c>
      <c r="F88" s="273">
        <f>D88+E88</f>
        <v>792769.61222999997</v>
      </c>
      <c r="I88" s="4618" t="s">
        <v>372</v>
      </c>
      <c r="J88" s="4619"/>
      <c r="K88" s="4620"/>
      <c r="L88" s="4622">
        <f t="shared" si="9"/>
        <v>128</v>
      </c>
      <c r="M88" s="4626">
        <v>100</v>
      </c>
      <c r="N88" s="4626">
        <v>100</v>
      </c>
      <c r="O88" s="4627">
        <f t="shared" si="10"/>
        <v>200</v>
      </c>
      <c r="P88" s="4628">
        <f t="shared" si="11"/>
        <v>12800</v>
      </c>
      <c r="Q88" s="4628">
        <f t="shared" si="12"/>
        <v>12800</v>
      </c>
      <c r="R88" s="4629">
        <f t="shared" si="13"/>
        <v>25600</v>
      </c>
      <c r="T88" s="263">
        <v>0</v>
      </c>
    </row>
    <row r="89" spans="3:20" ht="13.8" x14ac:dyDescent="0.3">
      <c r="C89" s="274" t="s">
        <v>29</v>
      </c>
      <c r="D89" s="273">
        <f>SUM(D87:D88)</f>
        <v>2297882.9340000004</v>
      </c>
      <c r="E89" s="273">
        <f>SUM(E87:E88)</f>
        <v>344682.44010000001</v>
      </c>
      <c r="F89" s="320">
        <f>SUM(F87:F88)</f>
        <v>2642565.3741000001</v>
      </c>
      <c r="I89" s="4618" t="s">
        <v>373</v>
      </c>
      <c r="J89" s="4619"/>
      <c r="K89" s="4620"/>
      <c r="L89" s="4622">
        <f t="shared" si="9"/>
        <v>100</v>
      </c>
      <c r="M89" s="4626">
        <v>125</v>
      </c>
      <c r="N89" s="4626">
        <v>125</v>
      </c>
      <c r="O89" s="4627">
        <f t="shared" si="10"/>
        <v>250</v>
      </c>
      <c r="P89" s="4628">
        <f t="shared" si="11"/>
        <v>12500</v>
      </c>
      <c r="Q89" s="4628">
        <f t="shared" si="12"/>
        <v>12500</v>
      </c>
      <c r="R89" s="4629">
        <f t="shared" si="13"/>
        <v>25000</v>
      </c>
      <c r="T89" s="263">
        <v>0</v>
      </c>
    </row>
    <row r="90" spans="3:20" ht="13.8" x14ac:dyDescent="0.3">
      <c r="C90" s="274"/>
      <c r="D90" s="273"/>
      <c r="E90" s="273"/>
      <c r="F90" s="273"/>
      <c r="I90" s="4618" t="s">
        <v>374</v>
      </c>
      <c r="J90" s="4619"/>
      <c r="K90" s="4620"/>
      <c r="L90" s="4622">
        <f t="shared" si="9"/>
        <v>100</v>
      </c>
      <c r="M90" s="4626">
        <v>25</v>
      </c>
      <c r="N90" s="4626">
        <v>25</v>
      </c>
      <c r="O90" s="4627">
        <f t="shared" si="10"/>
        <v>50</v>
      </c>
      <c r="P90" s="4628">
        <f t="shared" si="11"/>
        <v>2500</v>
      </c>
      <c r="Q90" s="4628">
        <f t="shared" si="12"/>
        <v>2500</v>
      </c>
      <c r="R90" s="4629">
        <f t="shared" si="13"/>
        <v>5000</v>
      </c>
      <c r="T90" s="263">
        <v>0</v>
      </c>
    </row>
    <row r="91" spans="3:20" ht="13.8" x14ac:dyDescent="0.3">
      <c r="C91" s="274" t="s">
        <v>284</v>
      </c>
      <c r="D91" s="273" t="s">
        <v>278</v>
      </c>
      <c r="E91" s="273" t="s">
        <v>279</v>
      </c>
      <c r="F91" s="273" t="s">
        <v>29</v>
      </c>
      <c r="I91" s="4618" t="s">
        <v>375</v>
      </c>
      <c r="J91" s="4619"/>
      <c r="K91" s="4620"/>
      <c r="L91" s="4622">
        <f t="shared" si="9"/>
        <v>100</v>
      </c>
      <c r="M91" s="4626">
        <v>25</v>
      </c>
      <c r="N91" s="4626">
        <v>25</v>
      </c>
      <c r="O91" s="4627">
        <f t="shared" si="10"/>
        <v>50</v>
      </c>
      <c r="P91" s="4628">
        <f t="shared" si="11"/>
        <v>2500</v>
      </c>
      <c r="Q91" s="4628">
        <f t="shared" si="12"/>
        <v>2500</v>
      </c>
      <c r="R91" s="4629">
        <f t="shared" si="13"/>
        <v>5000</v>
      </c>
      <c r="T91" s="263">
        <v>0</v>
      </c>
    </row>
    <row r="92" spans="3:20" ht="13.8" x14ac:dyDescent="0.3">
      <c r="C92" s="274" t="s">
        <v>280</v>
      </c>
      <c r="D92" s="273">
        <f>(E52*0.7)/1.15</f>
        <v>1285121.0246000004</v>
      </c>
      <c r="E92" s="273">
        <f>D92*0.15</f>
        <v>192768.15369000004</v>
      </c>
      <c r="F92" s="273">
        <f>SUM(D92:E92)</f>
        <v>1477889.1782900004</v>
      </c>
      <c r="I92" s="4618" t="s">
        <v>376</v>
      </c>
      <c r="J92" s="4619"/>
      <c r="K92" s="4620"/>
      <c r="L92" s="4622">
        <f t="shared" si="9"/>
        <v>34.1</v>
      </c>
      <c r="M92" s="4626">
        <v>150</v>
      </c>
      <c r="N92" s="4626">
        <v>150</v>
      </c>
      <c r="O92" s="4627">
        <f t="shared" si="10"/>
        <v>300</v>
      </c>
      <c r="P92" s="4628">
        <f t="shared" si="11"/>
        <v>5115</v>
      </c>
      <c r="Q92" s="4628">
        <f t="shared" si="12"/>
        <v>5115</v>
      </c>
      <c r="R92" s="4629">
        <f t="shared" si="13"/>
        <v>10230</v>
      </c>
      <c r="T92" s="263">
        <v>0</v>
      </c>
    </row>
    <row r="93" spans="3:20" ht="13.8" x14ac:dyDescent="0.3">
      <c r="C93" s="274" t="s">
        <v>281</v>
      </c>
      <c r="D93" s="273">
        <f>(E52*0.3)/1.15</f>
        <v>550766.15340000007</v>
      </c>
      <c r="E93" s="273">
        <f>D93*0.15</f>
        <v>82614.923010000013</v>
      </c>
      <c r="F93" s="273">
        <f>SUM(D93:E93)</f>
        <v>633381.0764100001</v>
      </c>
      <c r="I93" s="4618" t="s">
        <v>377</v>
      </c>
      <c r="J93" s="4619"/>
      <c r="K93" s="4620"/>
      <c r="L93" s="4622">
        <f t="shared" si="9"/>
        <v>34.1</v>
      </c>
      <c r="M93" s="4626">
        <v>1</v>
      </c>
      <c r="N93" s="4626">
        <v>1</v>
      </c>
      <c r="O93" s="4627">
        <f t="shared" si="10"/>
        <v>2</v>
      </c>
      <c r="P93" s="4628">
        <f t="shared" si="11"/>
        <v>34.1</v>
      </c>
      <c r="Q93" s="4628">
        <f t="shared" si="12"/>
        <v>34.1</v>
      </c>
      <c r="R93" s="4629">
        <f t="shared" si="13"/>
        <v>68.2</v>
      </c>
      <c r="T93" s="263">
        <v>0</v>
      </c>
    </row>
    <row r="94" spans="3:20" ht="13.8" x14ac:dyDescent="0.3">
      <c r="C94" s="274" t="s">
        <v>29</v>
      </c>
      <c r="D94" s="273">
        <f>SUM(D92:D93)</f>
        <v>1835887.1780000003</v>
      </c>
      <c r="E94" s="273">
        <f>SUM(E92:E93)</f>
        <v>275383.07670000003</v>
      </c>
      <c r="F94" s="320">
        <f>SUM(F92:F93)</f>
        <v>2111270.2547000004</v>
      </c>
      <c r="I94" s="4618" t="s">
        <v>378</v>
      </c>
      <c r="J94" s="4619"/>
      <c r="K94" s="4620"/>
      <c r="L94" s="4622">
        <f t="shared" si="9"/>
        <v>34.1</v>
      </c>
      <c r="M94" s="4626">
        <v>1</v>
      </c>
      <c r="N94" s="4626">
        <v>1</v>
      </c>
      <c r="O94" s="4627">
        <f t="shared" si="10"/>
        <v>2</v>
      </c>
      <c r="P94" s="4628">
        <f t="shared" si="11"/>
        <v>34.1</v>
      </c>
      <c r="Q94" s="4628">
        <f t="shared" si="12"/>
        <v>34.1</v>
      </c>
      <c r="R94" s="4629">
        <f t="shared" si="13"/>
        <v>68.2</v>
      </c>
      <c r="T94" s="263">
        <v>0</v>
      </c>
    </row>
    <row r="95" spans="3:20" ht="13.8" x14ac:dyDescent="0.3">
      <c r="C95" s="274"/>
      <c r="D95" s="273"/>
      <c r="E95" s="273"/>
      <c r="F95" s="273"/>
      <c r="I95" s="4618" t="s">
        <v>1307</v>
      </c>
      <c r="J95" s="4619"/>
      <c r="K95" s="4620"/>
      <c r="L95" s="4622">
        <f t="shared" si="9"/>
        <v>61</v>
      </c>
      <c r="M95" s="4626">
        <v>150</v>
      </c>
      <c r="N95" s="4626">
        <v>150</v>
      </c>
      <c r="O95" s="4627">
        <f t="shared" si="10"/>
        <v>300</v>
      </c>
      <c r="P95" s="4628">
        <f t="shared" si="11"/>
        <v>9150</v>
      </c>
      <c r="Q95" s="4628">
        <f t="shared" si="12"/>
        <v>9150</v>
      </c>
      <c r="R95" s="4629">
        <f t="shared" si="13"/>
        <v>18300</v>
      </c>
      <c r="T95" s="263">
        <v>0</v>
      </c>
    </row>
    <row r="96" spans="3:20" ht="13.8" x14ac:dyDescent="0.3">
      <c r="C96" s="274" t="s">
        <v>282</v>
      </c>
      <c r="D96" s="273">
        <v>373913</v>
      </c>
      <c r="E96" s="273">
        <v>56086.95</v>
      </c>
      <c r="F96" s="273"/>
      <c r="I96" s="4618" t="s">
        <v>1308</v>
      </c>
      <c r="J96" s="4619"/>
      <c r="K96" s="4620"/>
      <c r="L96" s="4622">
        <f t="shared" si="9"/>
        <v>61</v>
      </c>
      <c r="M96" s="4626">
        <v>1</v>
      </c>
      <c r="N96" s="4626">
        <v>1</v>
      </c>
      <c r="O96" s="4627">
        <f t="shared" si="10"/>
        <v>2</v>
      </c>
      <c r="P96" s="4628">
        <f t="shared" si="11"/>
        <v>61</v>
      </c>
      <c r="Q96" s="4628">
        <f t="shared" si="12"/>
        <v>61</v>
      </c>
      <c r="R96" s="4629">
        <f t="shared" si="13"/>
        <v>122</v>
      </c>
      <c r="T96" s="263">
        <v>0</v>
      </c>
    </row>
    <row r="97" spans="2:22" ht="13.8" x14ac:dyDescent="0.3">
      <c r="C97" s="274"/>
      <c r="D97" s="273"/>
      <c r="E97" s="273"/>
      <c r="F97" s="273"/>
      <c r="I97" s="4618" t="s">
        <v>1309</v>
      </c>
      <c r="J97" s="4619"/>
      <c r="K97" s="4620"/>
      <c r="L97" s="4622">
        <f t="shared" si="9"/>
        <v>61</v>
      </c>
      <c r="M97" s="4626">
        <v>1</v>
      </c>
      <c r="N97" s="4626">
        <v>1</v>
      </c>
      <c r="O97" s="4627">
        <f t="shared" si="10"/>
        <v>2</v>
      </c>
      <c r="P97" s="4628">
        <f t="shared" si="11"/>
        <v>61</v>
      </c>
      <c r="Q97" s="4628">
        <f t="shared" si="12"/>
        <v>61</v>
      </c>
      <c r="R97" s="4629">
        <f t="shared" si="13"/>
        <v>122</v>
      </c>
      <c r="T97" s="263">
        <v>0</v>
      </c>
    </row>
    <row r="98" spans="2:22" ht="13.8" x14ac:dyDescent="0.3">
      <c r="C98" s="274"/>
      <c r="D98" s="273"/>
      <c r="E98" s="273"/>
      <c r="F98" s="273"/>
      <c r="I98" s="4618" t="s">
        <v>379</v>
      </c>
      <c r="J98" s="4619"/>
      <c r="K98" s="4620"/>
      <c r="L98" s="4622">
        <f t="shared" si="9"/>
        <v>0</v>
      </c>
      <c r="M98" s="4626">
        <v>1</v>
      </c>
      <c r="N98" s="4626">
        <v>1</v>
      </c>
      <c r="O98" s="4627">
        <f t="shared" si="10"/>
        <v>2</v>
      </c>
      <c r="P98" s="4628">
        <f t="shared" si="11"/>
        <v>0</v>
      </c>
      <c r="Q98" s="4628">
        <f t="shared" si="12"/>
        <v>0</v>
      </c>
      <c r="R98" s="4629">
        <f t="shared" si="13"/>
        <v>0</v>
      </c>
      <c r="S98" s="2310"/>
    </row>
    <row r="99" spans="2:22" ht="13.8" x14ac:dyDescent="0.3">
      <c r="C99" s="274"/>
      <c r="D99" s="273"/>
      <c r="E99" s="273"/>
      <c r="F99" s="273"/>
      <c r="I99" s="4623" t="s">
        <v>1310</v>
      </c>
      <c r="J99" s="4624"/>
      <c r="K99" s="4625"/>
      <c r="L99" s="4622">
        <f t="shared" si="9"/>
        <v>379521</v>
      </c>
      <c r="M99" s="4626">
        <v>1</v>
      </c>
      <c r="N99" s="4626">
        <v>0</v>
      </c>
      <c r="O99" s="4627">
        <f t="shared" si="10"/>
        <v>1</v>
      </c>
      <c r="P99" s="4628">
        <f t="shared" si="11"/>
        <v>379521</v>
      </c>
      <c r="Q99" s="4628">
        <f t="shared" si="12"/>
        <v>0</v>
      </c>
      <c r="R99" s="4629">
        <f t="shared" si="13"/>
        <v>379521</v>
      </c>
      <c r="T99" s="275">
        <f>SUM(T12:T97)</f>
        <v>1501108</v>
      </c>
    </row>
    <row r="100" spans="2:22" ht="13.8" x14ac:dyDescent="0.3">
      <c r="C100" s="314"/>
      <c r="D100" s="273"/>
      <c r="E100" s="273"/>
      <c r="F100" s="315"/>
      <c r="I100" s="4618" t="s">
        <v>1048</v>
      </c>
      <c r="J100" s="4619"/>
      <c r="K100" s="4620"/>
      <c r="L100" s="4622">
        <f t="shared" si="9"/>
        <v>0</v>
      </c>
      <c r="M100" s="4626">
        <v>1</v>
      </c>
      <c r="N100" s="4626">
        <v>1</v>
      </c>
      <c r="O100" s="4627">
        <f t="shared" si="10"/>
        <v>2</v>
      </c>
      <c r="P100" s="4628">
        <f t="shared" si="11"/>
        <v>0</v>
      </c>
      <c r="Q100" s="4628">
        <f t="shared" si="12"/>
        <v>0</v>
      </c>
      <c r="R100" s="4629">
        <f t="shared" si="13"/>
        <v>0</v>
      </c>
    </row>
    <row r="101" spans="2:22" ht="13.8" x14ac:dyDescent="0.3">
      <c r="C101" s="274"/>
      <c r="D101" s="276"/>
      <c r="E101" s="276"/>
      <c r="F101" s="276"/>
      <c r="P101" s="4594">
        <f>SUM(P12:P100)</f>
        <v>2134938.38</v>
      </c>
      <c r="Q101" s="4594">
        <f>SUM(Q12:Q100)</f>
        <v>1744595.2760000001</v>
      </c>
      <c r="R101" s="4594">
        <f>P101+Q101</f>
        <v>3879533.656</v>
      </c>
    </row>
    <row r="102" spans="2:22" ht="13.8" x14ac:dyDescent="0.3">
      <c r="C102" s="274"/>
      <c r="D102" s="276"/>
      <c r="E102" s="276"/>
      <c r="F102" s="276"/>
    </row>
    <row r="103" spans="2:22" ht="13.8" x14ac:dyDescent="0.3">
      <c r="C103" s="321"/>
      <c r="D103" s="322"/>
      <c r="E103" s="276"/>
      <c r="F103" s="276"/>
    </row>
    <row r="104" spans="2:22" ht="14.4" thickBot="1" x14ac:dyDescent="0.35">
      <c r="I104" s="276"/>
    </row>
    <row r="105" spans="2:22" ht="16.2" thickBot="1" x14ac:dyDescent="0.35">
      <c r="B105" s="279" t="s">
        <v>182</v>
      </c>
      <c r="C105" s="280"/>
      <c r="D105" s="4760" t="s">
        <v>183</v>
      </c>
      <c r="E105" s="4761"/>
      <c r="F105" s="4761"/>
      <c r="G105" s="4761"/>
      <c r="H105" s="4761"/>
    </row>
    <row r="106" spans="2:22" ht="16.2" thickBot="1" x14ac:dyDescent="0.35">
      <c r="B106" s="323" t="s">
        <v>184</v>
      </c>
      <c r="C106" s="324"/>
      <c r="D106" s="324"/>
      <c r="E106" s="324"/>
      <c r="F106" s="324"/>
      <c r="G106" s="324"/>
      <c r="H106" s="324"/>
      <c r="I106" s="324"/>
      <c r="J106" s="324"/>
      <c r="K106" s="325"/>
      <c r="L106" s="4762" t="s">
        <v>185</v>
      </c>
      <c r="M106" s="4763"/>
      <c r="N106" s="4763"/>
      <c r="O106" s="4763"/>
      <c r="P106" s="4763"/>
      <c r="Q106" s="4763"/>
      <c r="R106" s="4764"/>
      <c r="S106" s="323" t="s">
        <v>186</v>
      </c>
      <c r="T106" s="324"/>
      <c r="U106" s="325"/>
    </row>
    <row r="107" spans="2:22" ht="14.4" thickBot="1" x14ac:dyDescent="0.35">
      <c r="B107" s="282" t="s">
        <v>187</v>
      </c>
      <c r="C107" s="283" t="s">
        <v>152</v>
      </c>
      <c r="D107" s="283" t="s">
        <v>153</v>
      </c>
      <c r="E107" s="283" t="s">
        <v>188</v>
      </c>
      <c r="F107" s="283" t="s">
        <v>189</v>
      </c>
      <c r="G107" s="283" t="s">
        <v>190</v>
      </c>
      <c r="H107" s="283" t="s">
        <v>191</v>
      </c>
      <c r="I107" s="283" t="s">
        <v>192</v>
      </c>
      <c r="J107" s="283" t="s">
        <v>193</v>
      </c>
      <c r="K107" s="284" t="s">
        <v>194</v>
      </c>
      <c r="L107" s="285" t="s">
        <v>195</v>
      </c>
      <c r="M107" s="286" t="s">
        <v>196</v>
      </c>
      <c r="N107" s="286" t="s">
        <v>197</v>
      </c>
      <c r="O107" s="286" t="s">
        <v>198</v>
      </c>
      <c r="P107" s="287" t="s">
        <v>199</v>
      </c>
      <c r="Q107" s="287" t="s">
        <v>200</v>
      </c>
      <c r="R107" s="287" t="s">
        <v>201</v>
      </c>
      <c r="S107" s="208" t="s">
        <v>202</v>
      </c>
      <c r="T107" s="208" t="s">
        <v>203</v>
      </c>
      <c r="U107" s="209" t="s">
        <v>204</v>
      </c>
    </row>
    <row r="108" spans="2:22" ht="13.8" x14ac:dyDescent="0.3">
      <c r="B108" s="3957"/>
      <c r="C108" s="4597" t="s">
        <v>281</v>
      </c>
      <c r="D108" s="4597">
        <v>0</v>
      </c>
      <c r="E108" s="4597" t="s">
        <v>206</v>
      </c>
      <c r="F108" s="4596" t="s">
        <v>288</v>
      </c>
      <c r="G108" s="4598">
        <v>0</v>
      </c>
      <c r="H108" s="4598">
        <v>0</v>
      </c>
      <c r="I108" s="4610">
        <v>0</v>
      </c>
      <c r="J108" s="4597" t="s">
        <v>289</v>
      </c>
      <c r="K108" s="4597"/>
      <c r="L108" s="4600" t="e">
        <v>#DIV/0!</v>
      </c>
      <c r="M108" s="4600" t="e">
        <v>#DIV/0!</v>
      </c>
      <c r="N108" s="4604">
        <v>0</v>
      </c>
      <c r="O108" s="4604">
        <v>0</v>
      </c>
      <c r="P108" s="4604">
        <v>0</v>
      </c>
      <c r="Q108" s="4604">
        <v>0</v>
      </c>
      <c r="R108" s="4599">
        <v>1.081</v>
      </c>
      <c r="S108" s="4593"/>
      <c r="T108" s="293"/>
      <c r="U108" s="4590"/>
      <c r="V108" s="4589"/>
    </row>
    <row r="109" spans="2:22" ht="13.8" x14ac:dyDescent="0.3">
      <c r="B109" s="3957"/>
      <c r="C109" s="4597" t="s">
        <v>290</v>
      </c>
      <c r="D109" s="4597">
        <v>755</v>
      </c>
      <c r="E109" s="4597" t="s">
        <v>206</v>
      </c>
      <c r="F109" s="4597" t="s">
        <v>211</v>
      </c>
      <c r="G109" s="4598">
        <v>565</v>
      </c>
      <c r="H109" s="4598">
        <v>565</v>
      </c>
      <c r="I109" s="4607">
        <v>1.1676661170329075E-2</v>
      </c>
      <c r="J109" s="4597">
        <v>22</v>
      </c>
      <c r="K109" s="4597" t="s">
        <v>291</v>
      </c>
      <c r="L109" s="4600">
        <v>1.2164272346768303</v>
      </c>
      <c r="M109" s="4600">
        <v>1.3380699581445135</v>
      </c>
      <c r="N109" s="4604">
        <v>38062.058903716017</v>
      </c>
      <c r="O109" s="4604">
        <v>38062.058903716017</v>
      </c>
      <c r="P109" s="4604">
        <v>46299.725058353906</v>
      </c>
      <c r="Q109" s="4604">
        <v>50929.6975641893</v>
      </c>
      <c r="R109" s="4599">
        <v>1.081</v>
      </c>
      <c r="S109" s="4592">
        <f>M12*H109</f>
        <v>16950</v>
      </c>
      <c r="T109" s="293">
        <f>N12*H109</f>
        <v>16950</v>
      </c>
      <c r="U109" s="4587">
        <f>S109+T109</f>
        <v>33900</v>
      </c>
      <c r="V109" s="4589"/>
    </row>
    <row r="110" spans="2:22" ht="13.8" x14ac:dyDescent="0.3">
      <c r="B110" s="3957"/>
      <c r="C110" s="4596" t="s">
        <v>292</v>
      </c>
      <c r="D110" s="4605">
        <v>755</v>
      </c>
      <c r="E110" s="4596" t="s">
        <v>206</v>
      </c>
      <c r="F110" s="4596" t="s">
        <v>211</v>
      </c>
      <c r="G110" s="4598">
        <v>565</v>
      </c>
      <c r="H110" s="4598">
        <v>565</v>
      </c>
      <c r="I110" s="4607">
        <v>2.8802430886811718E-2</v>
      </c>
      <c r="J110" s="4597">
        <v>22</v>
      </c>
      <c r="K110" s="4597" t="s">
        <v>291</v>
      </c>
      <c r="L110" s="4600">
        <v>1.2164272346768306</v>
      </c>
      <c r="M110" s="4600">
        <v>1.3380699581445135</v>
      </c>
      <c r="N110" s="4604">
        <v>93886.411962499507</v>
      </c>
      <c r="O110" s="4604">
        <v>93886.411962499507</v>
      </c>
      <c r="P110" s="4604">
        <v>114205.98847727297</v>
      </c>
      <c r="Q110" s="4604">
        <v>125626.58732500026</v>
      </c>
      <c r="R110" s="4599">
        <v>1.081</v>
      </c>
      <c r="S110" s="4592">
        <f t="shared" ref="S110:S173" si="14">M13*H110</f>
        <v>41810</v>
      </c>
      <c r="T110" s="3923">
        <f t="shared" ref="T110:T173" si="15">N13*H110</f>
        <v>41810</v>
      </c>
      <c r="U110" s="4587">
        <f t="shared" ref="U110:U173" si="16">S110+T110</f>
        <v>83620</v>
      </c>
      <c r="V110" s="4589"/>
    </row>
    <row r="111" spans="2:22" ht="13.8" x14ac:dyDescent="0.3">
      <c r="B111" s="3957"/>
      <c r="C111" s="4596" t="s">
        <v>293</v>
      </c>
      <c r="D111" s="4605">
        <v>755</v>
      </c>
      <c r="E111" s="4596" t="s">
        <v>206</v>
      </c>
      <c r="F111" s="4596" t="s">
        <v>211</v>
      </c>
      <c r="G111" s="4598">
        <v>565</v>
      </c>
      <c r="H111" s="4598">
        <v>565</v>
      </c>
      <c r="I111" s="4607">
        <v>2.2964100301647181E-2</v>
      </c>
      <c r="J111" s="4597">
        <v>22</v>
      </c>
      <c r="K111" s="4597" t="s">
        <v>291</v>
      </c>
      <c r="L111" s="4600">
        <v>1.2164272346768303</v>
      </c>
      <c r="M111" s="4600">
        <v>1.3380699581445135</v>
      </c>
      <c r="N111" s="4604">
        <v>74855.382510641502</v>
      </c>
      <c r="O111" s="4604">
        <v>74855.382510641502</v>
      </c>
      <c r="P111" s="4604">
        <v>91056.125948096014</v>
      </c>
      <c r="Q111" s="4604">
        <v>100161.73854290562</v>
      </c>
      <c r="R111" s="4599">
        <v>1.081</v>
      </c>
      <c r="S111" s="4592">
        <f t="shared" si="14"/>
        <v>33335</v>
      </c>
      <c r="T111" s="3923">
        <f t="shared" si="15"/>
        <v>33335</v>
      </c>
      <c r="U111" s="4587">
        <f t="shared" si="16"/>
        <v>66670</v>
      </c>
      <c r="V111" s="4589"/>
    </row>
    <row r="112" spans="2:22" ht="13.8" x14ac:dyDescent="0.3">
      <c r="B112" s="3957"/>
      <c r="C112" s="4596" t="s">
        <v>294</v>
      </c>
      <c r="D112" s="4605">
        <v>2.1800000000000002</v>
      </c>
      <c r="E112" s="4596" t="s">
        <v>206</v>
      </c>
      <c r="F112" s="4596" t="s">
        <v>295</v>
      </c>
      <c r="G112" s="4598">
        <v>1.82</v>
      </c>
      <c r="H112" s="4598">
        <v>1.82</v>
      </c>
      <c r="I112" s="4607">
        <v>1.1238464172767058E-6</v>
      </c>
      <c r="J112" s="4597">
        <v>30</v>
      </c>
      <c r="K112" s="4597" t="s">
        <v>296</v>
      </c>
      <c r="L112" s="4600">
        <v>2.1170307067701923</v>
      </c>
      <c r="M112" s="4600">
        <v>2.3287337774472117</v>
      </c>
      <c r="N112" s="4604">
        <v>4.0123214655434767</v>
      </c>
      <c r="O112" s="4604">
        <v>4.0123214655434767</v>
      </c>
      <c r="P112" s="4604">
        <v>8.494207747988721</v>
      </c>
      <c r="Q112" s="4604">
        <v>9.3436285227875935</v>
      </c>
      <c r="R112" s="4599">
        <v>1.081</v>
      </c>
      <c r="S112" s="4592">
        <f t="shared" si="14"/>
        <v>1.82</v>
      </c>
      <c r="T112" s="3923">
        <f t="shared" si="15"/>
        <v>1.82</v>
      </c>
      <c r="U112" s="4587">
        <f t="shared" si="16"/>
        <v>3.64</v>
      </c>
      <c r="V112" s="4589"/>
    </row>
    <row r="113" spans="2:22" ht="13.8" x14ac:dyDescent="0.3">
      <c r="B113" s="3957"/>
      <c r="C113" s="4596" t="s">
        <v>297</v>
      </c>
      <c r="D113" s="4605">
        <v>2.11</v>
      </c>
      <c r="E113" s="4596" t="s">
        <v>206</v>
      </c>
      <c r="F113" s="4596" t="s">
        <v>295</v>
      </c>
      <c r="G113" s="4598">
        <v>1.82</v>
      </c>
      <c r="H113" s="4598">
        <v>1.82</v>
      </c>
      <c r="I113" s="4607">
        <v>1.3050939749341871E-2</v>
      </c>
      <c r="J113" s="4597">
        <v>30</v>
      </c>
      <c r="K113" s="4597" t="s">
        <v>298</v>
      </c>
      <c r="L113" s="4600">
        <v>2.4765741119251548</v>
      </c>
      <c r="M113" s="4600">
        <v>2.7242315231176701</v>
      </c>
      <c r="N113" s="4604">
        <v>47891.315702995576</v>
      </c>
      <c r="O113" s="4604">
        <v>47891.315702995576</v>
      </c>
      <c r="P113" s="4604">
        <v>118606.3926560735</v>
      </c>
      <c r="Q113" s="4604">
        <v>130467.03192168084</v>
      </c>
      <c r="R113" s="4599">
        <v>1.081</v>
      </c>
      <c r="S113" s="4592">
        <f t="shared" si="14"/>
        <v>21836.36</v>
      </c>
      <c r="T113" s="3923">
        <f t="shared" si="15"/>
        <v>21836.36</v>
      </c>
      <c r="U113" s="4587">
        <f t="shared" si="16"/>
        <v>43672.72</v>
      </c>
      <c r="V113" s="4589"/>
    </row>
    <row r="114" spans="2:22" ht="13.8" x14ac:dyDescent="0.3">
      <c r="B114" s="3957"/>
      <c r="C114" s="4596" t="s">
        <v>299</v>
      </c>
      <c r="D114" s="4605">
        <v>1.18</v>
      </c>
      <c r="E114" s="4596" t="s">
        <v>206</v>
      </c>
      <c r="F114" s="4596" t="s">
        <v>295</v>
      </c>
      <c r="G114" s="4598">
        <v>1.57</v>
      </c>
      <c r="H114" s="4598">
        <v>1.57</v>
      </c>
      <c r="I114" s="4607">
        <v>1.1610405784297697E-2</v>
      </c>
      <c r="J114" s="4597">
        <v>30</v>
      </c>
      <c r="K114" s="4597" t="s">
        <v>296</v>
      </c>
      <c r="L114" s="4600">
        <v>1.4130137214985903</v>
      </c>
      <c r="M114" s="4600">
        <v>1.5543150936484493</v>
      </c>
      <c r="N114" s="4604">
        <v>62103.622397131672</v>
      </c>
      <c r="O114" s="4604">
        <v>62103.622397131672</v>
      </c>
      <c r="P114" s="4604">
        <v>87753.270601914221</v>
      </c>
      <c r="Q114" s="4604">
        <v>96528.597662105647</v>
      </c>
      <c r="R114" s="4599">
        <v>1.081</v>
      </c>
      <c r="S114" s="4592">
        <f t="shared" si="14"/>
        <v>29965.02</v>
      </c>
      <c r="T114" s="3923">
        <f t="shared" si="15"/>
        <v>29965.02</v>
      </c>
      <c r="U114" s="4587">
        <f t="shared" si="16"/>
        <v>59930.04</v>
      </c>
      <c r="V114" s="4589"/>
    </row>
    <row r="115" spans="2:22" ht="13.8" x14ac:dyDescent="0.3">
      <c r="B115" s="3957"/>
      <c r="C115" s="4596" t="s">
        <v>300</v>
      </c>
      <c r="D115" s="4605">
        <v>1.38</v>
      </c>
      <c r="E115" s="4596" t="s">
        <v>206</v>
      </c>
      <c r="F115" s="4596" t="s">
        <v>295</v>
      </c>
      <c r="G115" s="4598">
        <v>1.57</v>
      </c>
      <c r="H115" s="4598">
        <v>1.57</v>
      </c>
      <c r="I115" s="4607">
        <v>1.3826416460401494E-2</v>
      </c>
      <c r="J115" s="4597">
        <v>30</v>
      </c>
      <c r="K115" s="4597" t="s">
        <v>298</v>
      </c>
      <c r="L115" s="4600">
        <v>1.9514885815691403</v>
      </c>
      <c r="M115" s="4600">
        <v>2.1466374397260544</v>
      </c>
      <c r="N115" s="4604">
        <v>64388.740802230393</v>
      </c>
      <c r="O115" s="4604">
        <v>64388.740802230393</v>
      </c>
      <c r="P115" s="4604">
        <v>125653.89245716762</v>
      </c>
      <c r="Q115" s="4604">
        <v>138219.28170288439</v>
      </c>
      <c r="R115" s="4599">
        <v>1.081</v>
      </c>
      <c r="S115" s="4592">
        <f t="shared" si="14"/>
        <v>38834.263999999996</v>
      </c>
      <c r="T115" s="3923">
        <f t="shared" si="15"/>
        <v>22191.008000000002</v>
      </c>
      <c r="U115" s="4587">
        <f t="shared" si="16"/>
        <v>61025.271999999997</v>
      </c>
      <c r="V115" s="4589"/>
    </row>
    <row r="116" spans="2:22" ht="13.8" x14ac:dyDescent="0.3">
      <c r="B116" s="3957"/>
      <c r="C116" s="4596" t="s">
        <v>301</v>
      </c>
      <c r="D116" s="4606">
        <v>0.57999999999999996</v>
      </c>
      <c r="E116" s="4596" t="s">
        <v>206</v>
      </c>
      <c r="F116" s="4596" t="s">
        <v>295</v>
      </c>
      <c r="G116" s="4598">
        <v>0.95</v>
      </c>
      <c r="H116" s="4598">
        <v>0.95</v>
      </c>
      <c r="I116" s="4607">
        <v>2.9900501010114185E-7</v>
      </c>
      <c r="J116" s="4597">
        <v>30</v>
      </c>
      <c r="K116" s="4597" t="s">
        <v>296</v>
      </c>
      <c r="L116" s="4600">
        <v>1.171398314025859</v>
      </c>
      <c r="M116" s="4600">
        <v>1.288538145428445</v>
      </c>
      <c r="N116" s="4604">
        <v>1.9292556639139977</v>
      </c>
      <c r="O116" s="4604">
        <v>1.9292556639139977</v>
      </c>
      <c r="P116" s="4604">
        <v>2.2599268320336963</v>
      </c>
      <c r="Q116" s="4604">
        <v>2.4859195152370659</v>
      </c>
      <c r="R116" s="4599">
        <v>1.081</v>
      </c>
      <c r="S116" s="4592">
        <f t="shared" si="14"/>
        <v>0.95</v>
      </c>
      <c r="T116" s="3923">
        <f t="shared" si="15"/>
        <v>0.95</v>
      </c>
      <c r="U116" s="4587">
        <f t="shared" si="16"/>
        <v>1.9</v>
      </c>
      <c r="V116" s="4589"/>
    </row>
    <row r="117" spans="2:22" ht="13.8" x14ac:dyDescent="0.3">
      <c r="B117" s="3957"/>
      <c r="C117" s="4596" t="s">
        <v>302</v>
      </c>
      <c r="D117" s="4605">
        <v>0.56999999999999995</v>
      </c>
      <c r="E117" s="4596" t="s">
        <v>206</v>
      </c>
      <c r="F117" s="4596" t="s">
        <v>295</v>
      </c>
      <c r="G117" s="4598">
        <v>0.95</v>
      </c>
      <c r="H117" s="4598">
        <v>0.95</v>
      </c>
      <c r="I117" s="4607">
        <v>3.9546887230303739E-3</v>
      </c>
      <c r="J117" s="4597">
        <v>30</v>
      </c>
      <c r="K117" s="4597" t="s">
        <v>298</v>
      </c>
      <c r="L117" s="4600">
        <v>1.3863359160538435</v>
      </c>
      <c r="M117" s="4600">
        <v>1.5249695076592278</v>
      </c>
      <c r="N117" s="4604">
        <v>25924.485334983176</v>
      </c>
      <c r="O117" s="4604">
        <v>25924.485334983176</v>
      </c>
      <c r="P117" s="4604">
        <v>35940.045125098331</v>
      </c>
      <c r="Q117" s="4604">
        <v>39534.049637608165</v>
      </c>
      <c r="R117" s="4599">
        <v>1.081</v>
      </c>
      <c r="S117" s="4592">
        <f t="shared" si="14"/>
        <v>12785.289999999999</v>
      </c>
      <c r="T117" s="3923">
        <f t="shared" si="15"/>
        <v>12785.289999999999</v>
      </c>
      <c r="U117" s="4587">
        <f t="shared" si="16"/>
        <v>25570.579999999998</v>
      </c>
      <c r="V117" s="4589"/>
    </row>
    <row r="118" spans="2:22" ht="13.8" x14ac:dyDescent="0.3">
      <c r="B118" s="3957"/>
      <c r="C118" s="4596" t="s">
        <v>303</v>
      </c>
      <c r="D118" s="4605">
        <v>1.59</v>
      </c>
      <c r="E118" s="4596" t="s">
        <v>206</v>
      </c>
      <c r="F118" s="4596" t="s">
        <v>295</v>
      </c>
      <c r="G118" s="4608">
        <v>1.01</v>
      </c>
      <c r="H118" s="4608">
        <v>1.01</v>
      </c>
      <c r="I118" s="4607">
        <v>8.1968614838071654E-7</v>
      </c>
      <c r="J118" s="4597">
        <v>30</v>
      </c>
      <c r="K118" s="4597" t="s">
        <v>296</v>
      </c>
      <c r="L118" s="4600">
        <v>2.6485602486666395</v>
      </c>
      <c r="M118" s="4600">
        <v>2.9134162735333033</v>
      </c>
      <c r="N118" s="4604">
        <v>2.3391261963359922</v>
      </c>
      <c r="O118" s="4604">
        <v>2.3391261963359922</v>
      </c>
      <c r="P118" s="4604">
        <v>6.195316660230306</v>
      </c>
      <c r="Q118" s="4604">
        <v>6.8148483262533359</v>
      </c>
      <c r="R118" s="4599">
        <v>1.081</v>
      </c>
      <c r="S118" s="4592">
        <f t="shared" si="14"/>
        <v>1.01</v>
      </c>
      <c r="T118" s="3923">
        <f t="shared" si="15"/>
        <v>1.01</v>
      </c>
      <c r="U118" s="4587">
        <f t="shared" si="16"/>
        <v>2.02</v>
      </c>
      <c r="V118" s="4589"/>
    </row>
    <row r="119" spans="2:22" ht="13.8" x14ac:dyDescent="0.3">
      <c r="B119" s="3957"/>
      <c r="C119" s="4596" t="s">
        <v>304</v>
      </c>
      <c r="D119" s="4605">
        <v>0.56999999999999995</v>
      </c>
      <c r="E119" s="4596" t="s">
        <v>206</v>
      </c>
      <c r="F119" s="4596" t="s">
        <v>295</v>
      </c>
      <c r="G119" s="4608">
        <v>1.01</v>
      </c>
      <c r="H119" s="4608">
        <v>1.01</v>
      </c>
      <c r="I119" s="4607">
        <v>2.9384975130629458E-7</v>
      </c>
      <c r="J119" s="4597">
        <v>25</v>
      </c>
      <c r="K119" s="4597" t="s">
        <v>298</v>
      </c>
      <c r="L119" s="4600">
        <v>1.1807260650057367</v>
      </c>
      <c r="M119" s="4600">
        <v>1.29879867150631</v>
      </c>
      <c r="N119" s="4604">
        <v>2.0373049577879483</v>
      </c>
      <c r="O119" s="4604">
        <v>2.0373049577879483</v>
      </c>
      <c r="P119" s="4604">
        <v>2.4054990660256426</v>
      </c>
      <c r="Q119" s="4604">
        <v>2.6460489726282064</v>
      </c>
      <c r="R119" s="4599">
        <v>1.081</v>
      </c>
      <c r="S119" s="4592">
        <f t="shared" si="14"/>
        <v>1.01</v>
      </c>
      <c r="T119" s="3923">
        <f t="shared" si="15"/>
        <v>1.01</v>
      </c>
      <c r="U119" s="4587">
        <f t="shared" si="16"/>
        <v>2.02</v>
      </c>
      <c r="V119" s="4589"/>
    </row>
    <row r="120" spans="2:22" ht="13.8" x14ac:dyDescent="0.3">
      <c r="B120" s="3957"/>
      <c r="C120" s="4596" t="s">
        <v>305</v>
      </c>
      <c r="D120" s="4605">
        <v>1.54</v>
      </c>
      <c r="E120" s="4596" t="s">
        <v>206</v>
      </c>
      <c r="F120" s="4596" t="s">
        <v>295</v>
      </c>
      <c r="G120" s="4598">
        <v>1.01</v>
      </c>
      <c r="H120" s="4598">
        <v>1.01</v>
      </c>
      <c r="I120" s="4607">
        <v>2.3896686617635057E-3</v>
      </c>
      <c r="J120" s="4597">
        <v>30</v>
      </c>
      <c r="K120" s="4597" t="s">
        <v>298</v>
      </c>
      <c r="L120" s="4600">
        <v>3.1041273026403102</v>
      </c>
      <c r="M120" s="4600">
        <v>3.4145400329043412</v>
      </c>
      <c r="N120" s="4604">
        <v>6996.2364231267475</v>
      </c>
      <c r="O120" s="4604">
        <v>6996.2364231267475</v>
      </c>
      <c r="P120" s="4604">
        <v>21717.208496754323</v>
      </c>
      <c r="Q120" s="4604">
        <v>23888.929346429755</v>
      </c>
      <c r="R120" s="4599">
        <v>1.081</v>
      </c>
      <c r="S120" s="4592">
        <f t="shared" si="14"/>
        <v>3040.1</v>
      </c>
      <c r="T120" s="3923">
        <f t="shared" si="15"/>
        <v>3040.1</v>
      </c>
      <c r="U120" s="4587">
        <f t="shared" si="16"/>
        <v>6080.2</v>
      </c>
      <c r="V120" s="4589"/>
    </row>
    <row r="121" spans="2:22" ht="13.8" x14ac:dyDescent="0.3">
      <c r="B121" s="3957"/>
      <c r="C121" s="4596" t="s">
        <v>306</v>
      </c>
      <c r="D121" s="4605">
        <v>0.99</v>
      </c>
      <c r="E121" s="4596" t="s">
        <v>206</v>
      </c>
      <c r="F121" s="4596" t="s">
        <v>295</v>
      </c>
      <c r="G121" s="4598">
        <v>1.57</v>
      </c>
      <c r="H121" s="4598">
        <v>1.57</v>
      </c>
      <c r="I121" s="4607">
        <v>1.8706818508394452E-2</v>
      </c>
      <c r="J121" s="4597">
        <v>25</v>
      </c>
      <c r="K121" s="4597" t="s">
        <v>298</v>
      </c>
      <c r="L121" s="4600">
        <v>1.3065708839104915</v>
      </c>
      <c r="M121" s="4600">
        <v>1.4372279723015402</v>
      </c>
      <c r="N121" s="4604">
        <v>117205.18424581252</v>
      </c>
      <c r="O121" s="4604">
        <v>117205.18424581252</v>
      </c>
      <c r="P121" s="4604">
        <v>153136.88117894327</v>
      </c>
      <c r="Q121" s="4604">
        <v>168450.56929683755</v>
      </c>
      <c r="R121" s="4599">
        <v>1.081</v>
      </c>
      <c r="S121" s="4592">
        <f t="shared" si="14"/>
        <v>57545.838000000003</v>
      </c>
      <c r="T121" s="3923">
        <f t="shared" si="15"/>
        <v>57545.838000000003</v>
      </c>
      <c r="U121" s="4587">
        <f t="shared" si="16"/>
        <v>115091.67600000001</v>
      </c>
      <c r="V121" s="4589"/>
    </row>
    <row r="122" spans="2:22" ht="13.8" x14ac:dyDescent="0.3">
      <c r="B122" s="3957"/>
      <c r="C122" s="4596" t="s">
        <v>307</v>
      </c>
      <c r="D122" s="4605">
        <v>2.31</v>
      </c>
      <c r="E122" s="4596" t="s">
        <v>206</v>
      </c>
      <c r="F122" s="4596" t="s">
        <v>295</v>
      </c>
      <c r="G122" s="4608">
        <v>2</v>
      </c>
      <c r="H122" s="4608">
        <v>2</v>
      </c>
      <c r="I122" s="4607">
        <v>1.1908647816097203E-6</v>
      </c>
      <c r="J122" s="4597">
        <v>30</v>
      </c>
      <c r="K122" s="4597" t="s">
        <v>296</v>
      </c>
      <c r="L122" s="4600">
        <v>2.0531763824299385</v>
      </c>
      <c r="M122" s="4600">
        <v>2.258494020672932</v>
      </c>
      <c r="N122" s="4604">
        <v>4.3838138551728658</v>
      </c>
      <c r="O122" s="4604">
        <v>4.3838138551728658</v>
      </c>
      <c r="P122" s="4604">
        <v>9.0007430724100672</v>
      </c>
      <c r="Q122" s="4604">
        <v>9.9008173796510732</v>
      </c>
      <c r="R122" s="4599">
        <v>1.081</v>
      </c>
      <c r="S122" s="4592">
        <f t="shared" si="14"/>
        <v>2</v>
      </c>
      <c r="T122" s="3923">
        <f t="shared" si="15"/>
        <v>2</v>
      </c>
      <c r="U122" s="4587">
        <f t="shared" si="16"/>
        <v>4</v>
      </c>
      <c r="V122" s="4589"/>
    </row>
    <row r="123" spans="2:22" ht="13.8" x14ac:dyDescent="0.3">
      <c r="B123" s="3957"/>
      <c r="C123" s="4596" t="s">
        <v>308</v>
      </c>
      <c r="D123" s="4605">
        <v>2.2400000000000002</v>
      </c>
      <c r="E123" s="4596" t="s">
        <v>206</v>
      </c>
      <c r="F123" s="4596" t="s">
        <v>295</v>
      </c>
      <c r="G123" s="4608">
        <v>2</v>
      </c>
      <c r="H123" s="4608">
        <v>2</v>
      </c>
      <c r="I123" s="4607">
        <v>1.1547779700457894E-6</v>
      </c>
      <c r="J123" s="4597">
        <v>30</v>
      </c>
      <c r="K123" s="4597" t="s">
        <v>298</v>
      </c>
      <c r="L123" s="4600">
        <v>2.4053017808483577</v>
      </c>
      <c r="M123" s="4600">
        <v>2.6458319589331931</v>
      </c>
      <c r="N123" s="4604">
        <v>4.3631006329195685</v>
      </c>
      <c r="O123" s="4604">
        <v>4.3631006329195685</v>
      </c>
      <c r="P123" s="4604">
        <v>10.494573722382034</v>
      </c>
      <c r="Q123" s="4604">
        <v>11.544031094620237</v>
      </c>
      <c r="R123" s="4599">
        <v>1.081</v>
      </c>
      <c r="S123" s="4592">
        <f t="shared" si="14"/>
        <v>2</v>
      </c>
      <c r="T123" s="3923">
        <f t="shared" si="15"/>
        <v>2</v>
      </c>
      <c r="U123" s="4587">
        <f t="shared" si="16"/>
        <v>4</v>
      </c>
      <c r="V123" s="4589"/>
    </row>
    <row r="124" spans="2:22" ht="13.8" x14ac:dyDescent="0.3">
      <c r="B124" s="3957"/>
      <c r="C124" s="4596" t="s">
        <v>309</v>
      </c>
      <c r="D124" s="4605">
        <v>0.96</v>
      </c>
      <c r="E124" s="4596" t="s">
        <v>206</v>
      </c>
      <c r="F124" s="4596" t="s">
        <v>295</v>
      </c>
      <c r="G124" s="4608">
        <v>1.8</v>
      </c>
      <c r="H124" s="4608">
        <v>1.8</v>
      </c>
      <c r="I124" s="4607">
        <v>4.9490484430533824E-7</v>
      </c>
      <c r="J124" s="4597">
        <v>25</v>
      </c>
      <c r="K124" s="4597" t="s">
        <v>298</v>
      </c>
      <c r="L124" s="4600">
        <v>1.1209218929664668</v>
      </c>
      <c r="M124" s="4600">
        <v>1.2330140822631133</v>
      </c>
      <c r="N124" s="4604">
        <v>3.6143168167778725</v>
      </c>
      <c r="O124" s="4604">
        <v>3.6143168167778725</v>
      </c>
      <c r="P124" s="4604">
        <v>4.0513668480431875</v>
      </c>
      <c r="Q124" s="4604">
        <v>4.4565035328475053</v>
      </c>
      <c r="R124" s="4599">
        <v>1.081</v>
      </c>
      <c r="S124" s="4592">
        <f t="shared" si="14"/>
        <v>1.8</v>
      </c>
      <c r="T124" s="3923">
        <f t="shared" si="15"/>
        <v>1.8</v>
      </c>
      <c r="U124" s="4587">
        <f t="shared" si="16"/>
        <v>3.6</v>
      </c>
      <c r="V124" s="4589"/>
    </row>
    <row r="125" spans="2:22" ht="13.8" x14ac:dyDescent="0.3">
      <c r="B125" s="3957"/>
      <c r="C125" s="4596" t="s">
        <v>310</v>
      </c>
      <c r="D125" s="4605">
        <v>2.06</v>
      </c>
      <c r="E125" s="4596" t="s">
        <v>206</v>
      </c>
      <c r="F125" s="4596" t="s">
        <v>295</v>
      </c>
      <c r="G125" s="4608">
        <v>1.85</v>
      </c>
      <c r="H125" s="4608">
        <v>1.85</v>
      </c>
      <c r="I125" s="4607">
        <v>1.0619833117385385E-6</v>
      </c>
      <c r="J125" s="4597">
        <v>25</v>
      </c>
      <c r="K125" s="4597" t="s">
        <v>298</v>
      </c>
      <c r="L125" s="4600">
        <v>2.1559707470452429</v>
      </c>
      <c r="M125" s="4600">
        <v>2.3715678217497667</v>
      </c>
      <c r="N125" s="4604">
        <v>4.0323172473500355</v>
      </c>
      <c r="O125" s="4604">
        <v>4.0323172473500355</v>
      </c>
      <c r="P125" s="4604">
        <v>8.6935580280926743</v>
      </c>
      <c r="Q125" s="4604">
        <v>9.5629138309019392</v>
      </c>
      <c r="R125" s="4599">
        <v>1.081</v>
      </c>
      <c r="S125" s="4592">
        <f t="shared" si="14"/>
        <v>1.85</v>
      </c>
      <c r="T125" s="3923">
        <f t="shared" si="15"/>
        <v>1.85</v>
      </c>
      <c r="U125" s="4587">
        <f t="shared" si="16"/>
        <v>3.7</v>
      </c>
      <c r="V125" s="4589"/>
    </row>
    <row r="126" spans="2:22" ht="13.8" x14ac:dyDescent="0.3">
      <c r="B126" s="3957"/>
      <c r="C126" s="4596" t="s">
        <v>311</v>
      </c>
      <c r="D126" s="4596">
        <v>1.77</v>
      </c>
      <c r="E126" s="4596" t="s">
        <v>206</v>
      </c>
      <c r="F126" s="4596" t="s">
        <v>295</v>
      </c>
      <c r="G126" s="4608">
        <v>1.6</v>
      </c>
      <c r="H126" s="4608">
        <v>1.6</v>
      </c>
      <c r="I126" s="4607">
        <v>9.1248080668796745E-7</v>
      </c>
      <c r="J126" s="4597">
        <v>25</v>
      </c>
      <c r="K126" s="4597" t="s">
        <v>298</v>
      </c>
      <c r="L126" s="4600">
        <v>2.1440214070278962</v>
      </c>
      <c r="M126" s="4600">
        <v>2.3584235477306854</v>
      </c>
      <c r="N126" s="4604">
        <v>3.4839706364846186</v>
      </c>
      <c r="O126" s="4604">
        <v>3.4839706364846186</v>
      </c>
      <c r="P126" s="4604">
        <v>7.4697076260796278</v>
      </c>
      <c r="Q126" s="4604">
        <v>8.2166783886875887</v>
      </c>
      <c r="R126" s="4599">
        <v>1.081</v>
      </c>
      <c r="S126" s="4592">
        <f t="shared" si="14"/>
        <v>1.6</v>
      </c>
      <c r="T126" s="3923">
        <f t="shared" si="15"/>
        <v>1.6</v>
      </c>
      <c r="U126" s="4587">
        <f t="shared" si="16"/>
        <v>3.2</v>
      </c>
      <c r="V126" s="4589"/>
    </row>
    <row r="127" spans="2:22" ht="13.8" x14ac:dyDescent="0.3">
      <c r="B127" s="3957"/>
      <c r="C127" s="4596" t="s">
        <v>312</v>
      </c>
      <c r="D127" s="4596">
        <v>4.6500000000000004</v>
      </c>
      <c r="E127" s="4596" t="s">
        <v>206</v>
      </c>
      <c r="F127" s="4596" t="s">
        <v>295</v>
      </c>
      <c r="G127" s="4598">
        <v>5.75</v>
      </c>
      <c r="H127" s="4598">
        <v>5.75</v>
      </c>
      <c r="I127" s="4607">
        <v>2.3971953396039826E-6</v>
      </c>
      <c r="J127" s="4597">
        <v>30</v>
      </c>
      <c r="K127" s="4597" t="s">
        <v>296</v>
      </c>
      <c r="L127" s="4600">
        <v>1.5080743680725328</v>
      </c>
      <c r="M127" s="4600">
        <v>1.658881804879786</v>
      </c>
      <c r="N127" s="4604">
        <v>12.014247636309447</v>
      </c>
      <c r="O127" s="4604">
        <v>12.014247636309447</v>
      </c>
      <c r="P127" s="4604">
        <v>18.118378911994292</v>
      </c>
      <c r="Q127" s="4604">
        <v>19.930216803193719</v>
      </c>
      <c r="R127" s="4599">
        <v>1.081</v>
      </c>
      <c r="S127" s="4592">
        <f t="shared" si="14"/>
        <v>5.75</v>
      </c>
      <c r="T127" s="3923">
        <f t="shared" si="15"/>
        <v>5.75</v>
      </c>
      <c r="U127" s="4587">
        <f t="shared" si="16"/>
        <v>11.5</v>
      </c>
      <c r="V127" s="4589"/>
    </row>
    <row r="128" spans="2:22" ht="13.8" x14ac:dyDescent="0.3">
      <c r="B128" s="3957"/>
      <c r="C128" s="4596" t="s">
        <v>313</v>
      </c>
      <c r="D128" s="4596">
        <v>4.6500000000000004</v>
      </c>
      <c r="E128" s="4596" t="s">
        <v>206</v>
      </c>
      <c r="F128" s="4596" t="s">
        <v>295</v>
      </c>
      <c r="G128" s="4598">
        <v>5.75</v>
      </c>
      <c r="H128" s="4598">
        <v>5.75</v>
      </c>
      <c r="I128" s="4607">
        <v>2.6445858986511128E-3</v>
      </c>
      <c r="J128" s="4597">
        <v>30</v>
      </c>
      <c r="K128" s="4597" t="s">
        <v>298</v>
      </c>
      <c r="L128" s="4600">
        <v>1.8133145985114822</v>
      </c>
      <c r="M128" s="4600">
        <v>1.9946460583626304</v>
      </c>
      <c r="N128" s="4604">
        <v>13254.117992376579</v>
      </c>
      <c r="O128" s="4604">
        <v>13254.117992376579</v>
      </c>
      <c r="P128" s="4604">
        <v>24033.885645970149</v>
      </c>
      <c r="Q128" s="4604">
        <v>26437.274210567164</v>
      </c>
      <c r="R128" s="4599">
        <v>1.081</v>
      </c>
      <c r="S128" s="4592">
        <f t="shared" si="14"/>
        <v>6343.3999999999987</v>
      </c>
      <c r="T128" s="3923">
        <f t="shared" si="15"/>
        <v>6343.3999999999987</v>
      </c>
      <c r="U128" s="4587">
        <f t="shared" si="16"/>
        <v>12686.799999999997</v>
      </c>
      <c r="V128" s="4589"/>
    </row>
    <row r="129" spans="2:22" ht="13.8" x14ac:dyDescent="0.3">
      <c r="B129" s="3957"/>
      <c r="C129" s="4596" t="s">
        <v>314</v>
      </c>
      <c r="D129" s="4596">
        <v>1.04</v>
      </c>
      <c r="E129" s="4596" t="s">
        <v>206</v>
      </c>
      <c r="F129" s="4596" t="s">
        <v>295</v>
      </c>
      <c r="G129" s="4598">
        <v>1.87</v>
      </c>
      <c r="H129" s="4598">
        <v>1.87</v>
      </c>
      <c r="I129" s="4607">
        <v>8.2030477943609824E-4</v>
      </c>
      <c r="J129" s="4597">
        <v>30</v>
      </c>
      <c r="K129" s="4597" t="s">
        <v>296</v>
      </c>
      <c r="L129" s="4600">
        <v>1.0755896226348634</v>
      </c>
      <c r="M129" s="4600">
        <v>1.1831485848983496</v>
      </c>
      <c r="N129" s="4604">
        <v>5764.273139535504</v>
      </c>
      <c r="O129" s="4604">
        <v>5764.273139535504</v>
      </c>
      <c r="P129" s="4604">
        <v>6199.9923709172717</v>
      </c>
      <c r="Q129" s="4604">
        <v>6819.9916080089988</v>
      </c>
      <c r="R129" s="4599">
        <v>1.081</v>
      </c>
      <c r="S129" s="4592">
        <f t="shared" si="14"/>
        <v>2861.1000000000004</v>
      </c>
      <c r="T129" s="3923">
        <f t="shared" si="15"/>
        <v>2861.1000000000004</v>
      </c>
      <c r="U129" s="4587">
        <f t="shared" si="16"/>
        <v>5722.2000000000007</v>
      </c>
      <c r="V129" s="4589"/>
    </row>
    <row r="130" spans="2:22" ht="13.8" x14ac:dyDescent="0.3">
      <c r="B130" s="3957"/>
      <c r="C130" s="4596" t="s">
        <v>315</v>
      </c>
      <c r="D130" s="4596">
        <v>1.04</v>
      </c>
      <c r="E130" s="4596" t="s">
        <v>206</v>
      </c>
      <c r="F130" s="4596" t="s">
        <v>295</v>
      </c>
      <c r="G130" s="4598">
        <v>1.87</v>
      </c>
      <c r="H130" s="4598">
        <v>1.87</v>
      </c>
      <c r="I130" s="4607">
        <v>5.5079444837274009E-3</v>
      </c>
      <c r="J130" s="4597">
        <v>30</v>
      </c>
      <c r="K130" s="4597" t="s">
        <v>298</v>
      </c>
      <c r="L130" s="4600">
        <v>1.2932932261318351</v>
      </c>
      <c r="M130" s="4600">
        <v>1.4226225487450186</v>
      </c>
      <c r="N130" s="4604">
        <v>38704.268507892892</v>
      </c>
      <c r="O130" s="4604">
        <v>38704.268507892892</v>
      </c>
      <c r="P130" s="4604">
        <v>50055.968283645583</v>
      </c>
      <c r="Q130" s="4604">
        <v>55061.565112010139</v>
      </c>
      <c r="R130" s="4599">
        <v>1.081</v>
      </c>
      <c r="S130" s="4592">
        <f t="shared" si="14"/>
        <v>19210.883999999998</v>
      </c>
      <c r="T130" s="3923">
        <f t="shared" si="15"/>
        <v>19210.883999999998</v>
      </c>
      <c r="U130" s="4587">
        <f t="shared" si="16"/>
        <v>38421.767999999996</v>
      </c>
      <c r="V130" s="4589"/>
    </row>
    <row r="131" spans="2:22" ht="13.8" x14ac:dyDescent="0.3">
      <c r="B131" s="3957"/>
      <c r="C131" s="4596" t="s">
        <v>316</v>
      </c>
      <c r="D131" s="4596">
        <v>1.3</v>
      </c>
      <c r="E131" s="4596" t="s">
        <v>206</v>
      </c>
      <c r="F131" s="4596" t="s">
        <v>295</v>
      </c>
      <c r="G131" s="4598">
        <v>2.2000000000000002</v>
      </c>
      <c r="H131" s="4598">
        <v>2.2000000000000002</v>
      </c>
      <c r="I131" s="4607">
        <v>1.6454348811041732E-3</v>
      </c>
      <c r="J131" s="4597">
        <v>30</v>
      </c>
      <c r="K131" s="4597" t="s">
        <v>296</v>
      </c>
      <c r="L131" s="4600">
        <v>1.1370093526569809</v>
      </c>
      <c r="M131" s="4600">
        <v>1.2507102879226792</v>
      </c>
      <c r="N131" s="4604">
        <v>10937.865424001287</v>
      </c>
      <c r="O131" s="4604">
        <v>10937.865424001287</v>
      </c>
      <c r="P131" s="4604">
        <v>12436.455285192878</v>
      </c>
      <c r="Q131" s="4604">
        <v>13680.100813712168</v>
      </c>
      <c r="R131" s="4599">
        <v>1.081</v>
      </c>
      <c r="S131" s="4592">
        <f t="shared" si="14"/>
        <v>5401.44</v>
      </c>
      <c r="T131" s="3923">
        <f t="shared" si="15"/>
        <v>5401.44</v>
      </c>
      <c r="U131" s="4587">
        <f t="shared" si="16"/>
        <v>10802.88</v>
      </c>
      <c r="V131" s="4589"/>
    </row>
    <row r="132" spans="2:22" ht="13.8" x14ac:dyDescent="0.3">
      <c r="B132" s="3957"/>
      <c r="C132" s="4596" t="s">
        <v>317</v>
      </c>
      <c r="D132" s="4603">
        <v>1.29</v>
      </c>
      <c r="E132" s="4596" t="s">
        <v>206</v>
      </c>
      <c r="F132" s="4596" t="s">
        <v>295</v>
      </c>
      <c r="G132" s="4598">
        <v>2.2000000000000002</v>
      </c>
      <c r="H132" s="4598">
        <v>2.2000000000000002</v>
      </c>
      <c r="I132" s="4607">
        <v>7.8607685108841325E-3</v>
      </c>
      <c r="J132" s="4597">
        <v>30</v>
      </c>
      <c r="K132" s="4597" t="s">
        <v>298</v>
      </c>
      <c r="L132" s="4600">
        <v>1.3575297381748666</v>
      </c>
      <c r="M132" s="4600">
        <v>1.4932827119923533</v>
      </c>
      <c r="N132" s="4604">
        <v>52623.771162181358</v>
      </c>
      <c r="O132" s="4604">
        <v>52623.771162181358</v>
      </c>
      <c r="P132" s="4604">
        <v>71438.334287570149</v>
      </c>
      <c r="Q132" s="4604">
        <v>78582.167716327167</v>
      </c>
      <c r="R132" s="4599">
        <v>1.081</v>
      </c>
      <c r="S132" s="4592">
        <f t="shared" si="14"/>
        <v>26004.44</v>
      </c>
      <c r="T132" s="3923">
        <f t="shared" si="15"/>
        <v>26004.44</v>
      </c>
      <c r="U132" s="4587">
        <f t="shared" si="16"/>
        <v>52008.88</v>
      </c>
      <c r="V132" s="4589"/>
    </row>
    <row r="133" spans="2:22" ht="13.8" x14ac:dyDescent="0.3">
      <c r="B133" s="3957"/>
      <c r="C133" s="4596" t="s">
        <v>318</v>
      </c>
      <c r="D133" s="4603">
        <v>1.87</v>
      </c>
      <c r="E133" s="4596" t="s">
        <v>206</v>
      </c>
      <c r="F133" s="4596" t="s">
        <v>295</v>
      </c>
      <c r="G133" s="4608">
        <v>2.2000000000000002</v>
      </c>
      <c r="H133" s="4608">
        <v>2.2000000000000002</v>
      </c>
      <c r="I133" s="4607">
        <v>9.6403339463644024E-7</v>
      </c>
      <c r="J133" s="4597">
        <v>25</v>
      </c>
      <c r="K133" s="4597" t="s">
        <v>298</v>
      </c>
      <c r="L133" s="4600">
        <v>1.7068192636053854</v>
      </c>
      <c r="M133" s="4600">
        <v>1.8775011899659233</v>
      </c>
      <c r="N133" s="4604">
        <v>4.6236442102335475</v>
      </c>
      <c r="O133" s="4604">
        <v>4.6236442102335475</v>
      </c>
      <c r="P133" s="4604">
        <v>7.8917250060841271</v>
      </c>
      <c r="Q133" s="4604">
        <v>8.6808975066925367</v>
      </c>
      <c r="R133" s="4599">
        <v>1.081</v>
      </c>
      <c r="S133" s="4592">
        <f t="shared" si="14"/>
        <v>2.2000000000000002</v>
      </c>
      <c r="T133" s="3923">
        <f t="shared" si="15"/>
        <v>2.2000000000000002</v>
      </c>
      <c r="U133" s="4587">
        <f t="shared" si="16"/>
        <v>4.4000000000000004</v>
      </c>
      <c r="V133" s="4589"/>
    </row>
    <row r="134" spans="2:22" ht="13.8" x14ac:dyDescent="0.3">
      <c r="B134" s="3957"/>
      <c r="C134" s="4596" t="s">
        <v>319</v>
      </c>
      <c r="D134" s="4603">
        <v>1.77</v>
      </c>
      <c r="E134" s="4596" t="s">
        <v>206</v>
      </c>
      <c r="F134" s="4596" t="s">
        <v>295</v>
      </c>
      <c r="G134" s="4608">
        <v>2</v>
      </c>
      <c r="H134" s="4608">
        <v>2</v>
      </c>
      <c r="I134" s="4607">
        <v>5.5805501175422718E-2</v>
      </c>
      <c r="J134" s="4597">
        <v>25</v>
      </c>
      <c r="K134" s="4597" t="s">
        <v>298</v>
      </c>
      <c r="L134" s="4600">
        <v>1.7683857479477438</v>
      </c>
      <c r="M134" s="4600">
        <v>1.9452243227425179</v>
      </c>
      <c r="N134" s="4604">
        <v>258332.99070971555</v>
      </c>
      <c r="O134" s="4604">
        <v>258332.99070971555</v>
      </c>
      <c r="P134" s="4604">
        <v>456832.37899577792</v>
      </c>
      <c r="Q134" s="4604">
        <v>502515.61689535558</v>
      </c>
      <c r="R134" s="4599">
        <v>1.081</v>
      </c>
      <c r="S134" s="4592">
        <f t="shared" si="14"/>
        <v>122316</v>
      </c>
      <c r="T134" s="3923">
        <f t="shared" si="15"/>
        <v>122316</v>
      </c>
      <c r="U134" s="4587">
        <f t="shared" si="16"/>
        <v>244632</v>
      </c>
      <c r="V134" s="4589"/>
    </row>
    <row r="135" spans="2:22" ht="13.8" x14ac:dyDescent="0.3">
      <c r="B135" s="3957"/>
      <c r="C135" s="4596" t="s">
        <v>320</v>
      </c>
      <c r="D135" s="4603">
        <v>0.61</v>
      </c>
      <c r="E135" s="4596" t="s">
        <v>206</v>
      </c>
      <c r="F135" s="4596" t="s">
        <v>295</v>
      </c>
      <c r="G135" s="4608">
        <v>1</v>
      </c>
      <c r="H135" s="4608">
        <v>1</v>
      </c>
      <c r="I135" s="4607">
        <v>3.1447078648568369E-7</v>
      </c>
      <c r="J135" s="4597">
        <v>25</v>
      </c>
      <c r="K135" s="4597" t="s">
        <v>298</v>
      </c>
      <c r="L135" s="4600">
        <v>1.2677315535568128</v>
      </c>
      <c r="M135" s="4600">
        <v>1.3945047089124936</v>
      </c>
      <c r="N135" s="4604">
        <v>2.0306396971857623</v>
      </c>
      <c r="O135" s="4604">
        <v>2.0306396971857623</v>
      </c>
      <c r="P135" s="4604">
        <v>2.5743060180274422</v>
      </c>
      <c r="Q135" s="4604">
        <v>2.8317366198301857</v>
      </c>
      <c r="R135" s="4599">
        <v>1.081</v>
      </c>
      <c r="S135" s="4592">
        <f t="shared" si="14"/>
        <v>1</v>
      </c>
      <c r="T135" s="3923">
        <f t="shared" si="15"/>
        <v>1</v>
      </c>
      <c r="U135" s="4587">
        <f t="shared" si="16"/>
        <v>2</v>
      </c>
      <c r="V135" s="4589"/>
    </row>
    <row r="136" spans="2:22" ht="13.8" x14ac:dyDescent="0.3">
      <c r="B136" s="3957"/>
      <c r="C136" s="4596" t="s">
        <v>321</v>
      </c>
      <c r="D136" s="4603">
        <v>0.76</v>
      </c>
      <c r="E136" s="4596" t="s">
        <v>206</v>
      </c>
      <c r="F136" s="4596" t="s">
        <v>295</v>
      </c>
      <c r="G136" s="4598">
        <v>1.1299999999999999</v>
      </c>
      <c r="H136" s="4598">
        <v>1.1299999999999999</v>
      </c>
      <c r="I136" s="4607">
        <v>3.9179966840839282E-7</v>
      </c>
      <c r="J136" s="4597">
        <v>30</v>
      </c>
      <c r="K136" s="4597" t="s">
        <v>296</v>
      </c>
      <c r="L136" s="4600">
        <v>1.2788720242204754</v>
      </c>
      <c r="M136" s="4600">
        <v>1.4067592266425231</v>
      </c>
      <c r="N136" s="4604">
        <v>2.3155432122957413</v>
      </c>
      <c r="O136" s="4604">
        <v>2.3155432122957413</v>
      </c>
      <c r="P136" s="4604">
        <v>2.9612834350786366</v>
      </c>
      <c r="Q136" s="4604">
        <v>3.2574117785865004</v>
      </c>
      <c r="R136" s="4599">
        <v>1.081</v>
      </c>
      <c r="S136" s="4592">
        <f t="shared" si="14"/>
        <v>1.1299999999999999</v>
      </c>
      <c r="T136" s="3923">
        <f t="shared" si="15"/>
        <v>1.1299999999999999</v>
      </c>
      <c r="U136" s="4587">
        <f t="shared" si="16"/>
        <v>2.2599999999999998</v>
      </c>
      <c r="V136" s="4589"/>
    </row>
    <row r="137" spans="2:22" ht="13.8" x14ac:dyDescent="0.3">
      <c r="B137" s="3957"/>
      <c r="C137" s="4596" t="s">
        <v>322</v>
      </c>
      <c r="D137" s="4603">
        <v>0.92</v>
      </c>
      <c r="E137" s="4596" t="s">
        <v>206</v>
      </c>
      <c r="F137" s="4596" t="s">
        <v>295</v>
      </c>
      <c r="G137" s="4598">
        <v>1.38</v>
      </c>
      <c r="H137" s="4598">
        <v>1.38</v>
      </c>
      <c r="I137" s="4607">
        <v>4.7428380912594923E-7</v>
      </c>
      <c r="J137" s="4597">
        <v>30</v>
      </c>
      <c r="K137" s="4597" t="s">
        <v>298</v>
      </c>
      <c r="L137" s="4600">
        <v>1.5255316636517213</v>
      </c>
      <c r="M137" s="4600">
        <v>1.6780848300168931</v>
      </c>
      <c r="N137" s="4604">
        <v>2.8254224104050354</v>
      </c>
      <c r="O137" s="4604">
        <v>2.8254224104050354</v>
      </c>
      <c r="P137" s="4604">
        <v>4.3102713502640499</v>
      </c>
      <c r="Q137" s="4604">
        <v>4.7412984852904545</v>
      </c>
      <c r="R137" s="4599">
        <v>1.081</v>
      </c>
      <c r="S137" s="4592">
        <f t="shared" si="14"/>
        <v>1.38</v>
      </c>
      <c r="T137" s="3923">
        <f t="shared" si="15"/>
        <v>1.38</v>
      </c>
      <c r="U137" s="4587">
        <f t="shared" si="16"/>
        <v>2.76</v>
      </c>
      <c r="V137" s="4589"/>
    </row>
    <row r="138" spans="2:22" ht="13.8" x14ac:dyDescent="0.3">
      <c r="B138" s="3957"/>
      <c r="C138" s="4596" t="s">
        <v>323</v>
      </c>
      <c r="D138" s="4603">
        <v>2.2999999999999998</v>
      </c>
      <c r="E138" s="4596" t="s">
        <v>206</v>
      </c>
      <c r="F138" s="4596" t="s">
        <v>295</v>
      </c>
      <c r="G138" s="4598">
        <v>2.4300000000000002</v>
      </c>
      <c r="H138" s="4598">
        <v>2.4300000000000002</v>
      </c>
      <c r="I138" s="4607">
        <v>1.185709522814873E-6</v>
      </c>
      <c r="J138" s="4597">
        <v>30</v>
      </c>
      <c r="K138" s="4597" t="s">
        <v>296</v>
      </c>
      <c r="L138" s="4600">
        <v>1.7312714878822053</v>
      </c>
      <c r="M138" s="4600">
        <v>1.904398636670426</v>
      </c>
      <c r="N138" s="4604">
        <v>5.1764144903974181</v>
      </c>
      <c r="O138" s="4604">
        <v>5.1764144903974181</v>
      </c>
      <c r="P138" s="4604">
        <v>8.9617788166853458</v>
      </c>
      <c r="Q138" s="4604">
        <v>9.8579566983538811</v>
      </c>
      <c r="R138" s="4599">
        <v>1.081</v>
      </c>
      <c r="S138" s="4592">
        <f t="shared" si="14"/>
        <v>2.4300000000000002</v>
      </c>
      <c r="T138" s="3923">
        <f t="shared" si="15"/>
        <v>2.4300000000000002</v>
      </c>
      <c r="U138" s="4587">
        <f t="shared" si="16"/>
        <v>4.8600000000000003</v>
      </c>
      <c r="V138" s="4589"/>
    </row>
    <row r="139" spans="2:22" ht="13.8" x14ac:dyDescent="0.3">
      <c r="B139" s="3957"/>
      <c r="C139" s="4596" t="s">
        <v>324</v>
      </c>
      <c r="D139" s="4603">
        <v>1.3</v>
      </c>
      <c r="E139" s="4596" t="s">
        <v>206</v>
      </c>
      <c r="F139" s="4596" t="s">
        <v>295</v>
      </c>
      <c r="G139" s="4598">
        <v>1.91</v>
      </c>
      <c r="H139" s="4598">
        <v>1.91</v>
      </c>
      <c r="I139" s="4607">
        <v>6.3324312090978791E-3</v>
      </c>
      <c r="J139" s="4597">
        <v>30</v>
      </c>
      <c r="K139" s="4597" t="s">
        <v>296</v>
      </c>
      <c r="L139" s="4600">
        <v>1.2926966675916822</v>
      </c>
      <c r="M139" s="4600">
        <v>1.4219663343508506</v>
      </c>
      <c r="N139" s="4604">
        <v>37024.54793442841</v>
      </c>
      <c r="O139" s="4604">
        <v>37024.54793442841</v>
      </c>
      <c r="P139" s="4604">
        <v>47861.509733924111</v>
      </c>
      <c r="Q139" s="4604">
        <v>52647.660707316521</v>
      </c>
      <c r="R139" s="4599">
        <v>1.081</v>
      </c>
      <c r="S139" s="4592">
        <f t="shared" si="14"/>
        <v>18047.207999999999</v>
      </c>
      <c r="T139" s="3923">
        <f t="shared" si="15"/>
        <v>18047.207999999999</v>
      </c>
      <c r="U139" s="4587">
        <f t="shared" si="16"/>
        <v>36094.415999999997</v>
      </c>
      <c r="V139" s="4589"/>
    </row>
    <row r="140" spans="2:22" ht="13.8" x14ac:dyDescent="0.3">
      <c r="B140" s="3957"/>
      <c r="C140" s="4596" t="s">
        <v>325</v>
      </c>
      <c r="D140" s="4603">
        <v>1.52</v>
      </c>
      <c r="E140" s="4596" t="s">
        <v>206</v>
      </c>
      <c r="F140" s="4596" t="s">
        <v>295</v>
      </c>
      <c r="G140" s="4598">
        <v>1.91</v>
      </c>
      <c r="H140" s="4598">
        <v>1.91</v>
      </c>
      <c r="I140" s="4607">
        <v>9.4224685854871187E-3</v>
      </c>
      <c r="J140" s="4597">
        <v>30</v>
      </c>
      <c r="K140" s="4597" t="s">
        <v>298</v>
      </c>
      <c r="L140" s="4600">
        <v>1.7876867588796088</v>
      </c>
      <c r="M140" s="4600">
        <v>1.9664554347675698</v>
      </c>
      <c r="N140" s="4604">
        <v>47900.449332706106</v>
      </c>
      <c r="O140" s="4604">
        <v>47900.449332706106</v>
      </c>
      <c r="P140" s="4604">
        <v>85630.999016462301</v>
      </c>
      <c r="Q140" s="4604">
        <v>94194.098918108532</v>
      </c>
      <c r="R140" s="4599">
        <v>1.081</v>
      </c>
      <c r="S140" s="4592">
        <f t="shared" si="14"/>
        <v>22966.985999999997</v>
      </c>
      <c r="T140" s="3923">
        <f t="shared" si="15"/>
        <v>22966.985999999997</v>
      </c>
      <c r="U140" s="4587">
        <f t="shared" si="16"/>
        <v>45933.971999999994</v>
      </c>
      <c r="V140" s="4589"/>
    </row>
    <row r="141" spans="2:22" ht="13.8" x14ac:dyDescent="0.3">
      <c r="B141" s="3957"/>
      <c r="C141" s="4596" t="s">
        <v>326</v>
      </c>
      <c r="D141" s="4603">
        <v>1.39</v>
      </c>
      <c r="E141" s="4596" t="s">
        <v>206</v>
      </c>
      <c r="F141" s="4596" t="s">
        <v>295</v>
      </c>
      <c r="G141" s="4598">
        <v>1.59</v>
      </c>
      <c r="H141" s="4598">
        <v>1.59</v>
      </c>
      <c r="I141" s="4607">
        <v>7.1658097248377096E-7</v>
      </c>
      <c r="J141" s="4597">
        <v>25</v>
      </c>
      <c r="K141" s="4597" t="s">
        <v>298</v>
      </c>
      <c r="L141" s="4600">
        <v>1.7494768927977462</v>
      </c>
      <c r="M141" s="4600">
        <v>1.9244245820775201</v>
      </c>
      <c r="N141" s="4604">
        <v>3.3530260423626497</v>
      </c>
      <c r="O141" s="4604">
        <v>3.3530260423626497</v>
      </c>
      <c r="P141" s="4604">
        <v>5.8660415820625325</v>
      </c>
      <c r="Q141" s="4604">
        <v>6.4526457402687836</v>
      </c>
      <c r="R141" s="4599">
        <v>1.081</v>
      </c>
      <c r="S141" s="4592">
        <f t="shared" si="14"/>
        <v>1.59</v>
      </c>
      <c r="T141" s="3923">
        <f t="shared" si="15"/>
        <v>1.59</v>
      </c>
      <c r="U141" s="4587">
        <f t="shared" si="16"/>
        <v>3.18</v>
      </c>
      <c r="V141" s="4589"/>
    </row>
    <row r="142" spans="2:22" ht="13.8" x14ac:dyDescent="0.3">
      <c r="B142" s="3957"/>
      <c r="C142" s="4596" t="s">
        <v>1306</v>
      </c>
      <c r="D142" s="4603">
        <v>307</v>
      </c>
      <c r="E142" s="4596" t="s">
        <v>206</v>
      </c>
      <c r="F142" s="4596" t="s">
        <v>211</v>
      </c>
      <c r="G142" s="4608">
        <v>40.5</v>
      </c>
      <c r="H142" s="4608">
        <v>40.5</v>
      </c>
      <c r="I142" s="4607">
        <v>2.3739966750271695E-4</v>
      </c>
      <c r="J142" s="4597">
        <v>30</v>
      </c>
      <c r="K142" s="4597" t="s">
        <v>298</v>
      </c>
      <c r="L142" s="4600">
        <v>8.6764414248737225</v>
      </c>
      <c r="M142" s="4600">
        <v>9.544085567361094</v>
      </c>
      <c r="N142" s="4604">
        <v>248.6593418039173</v>
      </c>
      <c r="O142" s="4604">
        <v>248.6593418039173</v>
      </c>
      <c r="P142" s="4604">
        <v>2157.4782139093422</v>
      </c>
      <c r="Q142" s="4604">
        <v>2373.2260353002762</v>
      </c>
      <c r="R142" s="4599">
        <v>1.081</v>
      </c>
      <c r="S142" s="4592">
        <f t="shared" si="14"/>
        <v>40.5</v>
      </c>
      <c r="T142" s="3923">
        <f t="shared" si="15"/>
        <v>81</v>
      </c>
      <c r="U142" s="4587">
        <f t="shared" si="16"/>
        <v>121.5</v>
      </c>
      <c r="V142" s="4589"/>
    </row>
    <row r="143" spans="2:22" ht="13.8" x14ac:dyDescent="0.3">
      <c r="B143" s="3957"/>
      <c r="C143" s="4596" t="s">
        <v>328</v>
      </c>
      <c r="D143" s="4603">
        <v>139</v>
      </c>
      <c r="E143" s="4596" t="s">
        <v>206</v>
      </c>
      <c r="F143" s="4596" t="s">
        <v>211</v>
      </c>
      <c r="G143" s="4598">
        <v>40.5</v>
      </c>
      <c r="H143" s="4598">
        <v>40.5</v>
      </c>
      <c r="I143" s="4607">
        <v>2.8663238899350841E-2</v>
      </c>
      <c r="J143" s="4597">
        <v>10</v>
      </c>
      <c r="K143" s="4597" t="s">
        <v>259</v>
      </c>
      <c r="L143" s="4600">
        <v>1.6821022214792578</v>
      </c>
      <c r="M143" s="4600">
        <v>1.8503124436271836</v>
      </c>
      <c r="N143" s="4604">
        <v>46424.464451212734</v>
      </c>
      <c r="O143" s="4604">
        <v>46424.464451212734</v>
      </c>
      <c r="P143" s="4604">
        <v>78090.694784369771</v>
      </c>
      <c r="Q143" s="4604">
        <v>85899.764262806755</v>
      </c>
      <c r="R143" s="4599">
        <v>1.081</v>
      </c>
      <c r="S143" s="4592">
        <f t="shared" si="14"/>
        <v>16200</v>
      </c>
      <c r="T143" s="3923">
        <f t="shared" si="15"/>
        <v>16200</v>
      </c>
      <c r="U143" s="4587">
        <f t="shared" si="16"/>
        <v>32400</v>
      </c>
      <c r="V143" s="4589"/>
    </row>
    <row r="144" spans="2:22" ht="13.8" x14ac:dyDescent="0.3">
      <c r="B144" s="3957"/>
      <c r="C144" s="4596" t="s">
        <v>329</v>
      </c>
      <c r="D144" s="4603">
        <v>139</v>
      </c>
      <c r="E144" s="4596" t="s">
        <v>206</v>
      </c>
      <c r="F144" s="4596" t="s">
        <v>211</v>
      </c>
      <c r="G144" s="4598">
        <v>40.5</v>
      </c>
      <c r="H144" s="4598">
        <v>40.5</v>
      </c>
      <c r="I144" s="4607">
        <v>7.1658097248377102E-3</v>
      </c>
      <c r="J144" s="4597">
        <v>10</v>
      </c>
      <c r="K144" s="4597" t="s">
        <v>259</v>
      </c>
      <c r="L144" s="4600">
        <v>1.6821022214792578</v>
      </c>
      <c r="M144" s="4600">
        <v>1.8503124436271836</v>
      </c>
      <c r="N144" s="4604">
        <v>11606.116112803184</v>
      </c>
      <c r="O144" s="4604">
        <v>11606.116112803184</v>
      </c>
      <c r="P144" s="4604">
        <v>19522.673696092443</v>
      </c>
      <c r="Q144" s="4604">
        <v>21474.941065701689</v>
      </c>
      <c r="R144" s="4599">
        <v>1.081</v>
      </c>
      <c r="S144" s="4592">
        <f t="shared" si="14"/>
        <v>4050</v>
      </c>
      <c r="T144" s="3923">
        <f t="shared" si="15"/>
        <v>4050</v>
      </c>
      <c r="U144" s="4587">
        <f t="shared" si="16"/>
        <v>8100</v>
      </c>
      <c r="V144" s="4589"/>
    </row>
    <row r="145" spans="2:22" ht="13.8" x14ac:dyDescent="0.3">
      <c r="B145" s="3957"/>
      <c r="C145" s="4596" t="s">
        <v>330</v>
      </c>
      <c r="D145" s="4603">
        <v>139</v>
      </c>
      <c r="E145" s="4596" t="s">
        <v>206</v>
      </c>
      <c r="F145" s="4596" t="s">
        <v>211</v>
      </c>
      <c r="G145" s="4598">
        <v>40.5</v>
      </c>
      <c r="H145" s="4598">
        <v>40.5</v>
      </c>
      <c r="I145" s="4607">
        <v>3.5829048624188551E-3</v>
      </c>
      <c r="J145" s="4597">
        <v>10</v>
      </c>
      <c r="K145" s="4597" t="s">
        <v>259</v>
      </c>
      <c r="L145" s="4600">
        <v>1.6821022214792578</v>
      </c>
      <c r="M145" s="4600">
        <v>1.8503124436271836</v>
      </c>
      <c r="N145" s="4604">
        <v>5803.0580564015918</v>
      </c>
      <c r="O145" s="4604">
        <v>5803.0580564015918</v>
      </c>
      <c r="P145" s="4604">
        <v>9761.3368480462213</v>
      </c>
      <c r="Q145" s="4604">
        <v>10737.470532850844</v>
      </c>
      <c r="R145" s="4599">
        <v>1.081</v>
      </c>
      <c r="S145" s="4592">
        <f t="shared" si="14"/>
        <v>2025</v>
      </c>
      <c r="T145" s="3923">
        <f t="shared" si="15"/>
        <v>2025</v>
      </c>
      <c r="U145" s="4587">
        <f t="shared" si="16"/>
        <v>4050</v>
      </c>
      <c r="V145" s="4589"/>
    </row>
    <row r="146" spans="2:22" ht="13.8" x14ac:dyDescent="0.3">
      <c r="B146" s="3957"/>
      <c r="C146" s="4596" t="s">
        <v>331</v>
      </c>
      <c r="D146" s="4603">
        <v>49</v>
      </c>
      <c r="E146" s="4596" t="s">
        <v>206</v>
      </c>
      <c r="F146" s="4596" t="s">
        <v>211</v>
      </c>
      <c r="G146" s="4598">
        <v>50</v>
      </c>
      <c r="H146" s="4598">
        <v>50</v>
      </c>
      <c r="I146" s="4607">
        <v>2.5260768094751643E-5</v>
      </c>
      <c r="J146" s="4597">
        <v>15</v>
      </c>
      <c r="K146" s="4597" t="s">
        <v>208</v>
      </c>
      <c r="L146" s="4600">
        <v>0.87410920629591637</v>
      </c>
      <c r="M146" s="4600">
        <v>0.96152012692550781</v>
      </c>
      <c r="N146" s="4604">
        <v>107.0061935976595</v>
      </c>
      <c r="O146" s="4604">
        <v>107.0061935976595</v>
      </c>
      <c r="P146" s="4604">
        <v>93.535098954397313</v>
      </c>
      <c r="Q146" s="4604">
        <v>102.88860884983703</v>
      </c>
      <c r="R146" s="4599">
        <v>1.081</v>
      </c>
      <c r="S146" s="4592">
        <f t="shared" si="14"/>
        <v>50</v>
      </c>
      <c r="T146" s="3923">
        <f t="shared" si="15"/>
        <v>50</v>
      </c>
      <c r="U146" s="4587">
        <f t="shared" si="16"/>
        <v>100</v>
      </c>
      <c r="V146" s="4589"/>
    </row>
    <row r="147" spans="2:22" ht="13.8" x14ac:dyDescent="0.3">
      <c r="B147" s="3957"/>
      <c r="C147" s="4596" t="s">
        <v>332</v>
      </c>
      <c r="D147" s="4603">
        <v>49</v>
      </c>
      <c r="E147" s="4596" t="s">
        <v>206</v>
      </c>
      <c r="F147" s="4596" t="s">
        <v>211</v>
      </c>
      <c r="G147" s="4598">
        <v>50</v>
      </c>
      <c r="H147" s="4598">
        <v>50</v>
      </c>
      <c r="I147" s="4607">
        <v>2.5260768094751643E-5</v>
      </c>
      <c r="J147" s="4597">
        <v>15</v>
      </c>
      <c r="K147" s="4597" t="s">
        <v>208</v>
      </c>
      <c r="L147" s="4600">
        <v>0.87410920629591637</v>
      </c>
      <c r="M147" s="4600">
        <v>0.96152012692550781</v>
      </c>
      <c r="N147" s="4604">
        <v>107.0061935976595</v>
      </c>
      <c r="O147" s="4604">
        <v>107.0061935976595</v>
      </c>
      <c r="P147" s="4604">
        <v>93.535098954397313</v>
      </c>
      <c r="Q147" s="4604">
        <v>102.88860884983703</v>
      </c>
      <c r="R147" s="4599">
        <v>1.081</v>
      </c>
      <c r="S147" s="4592">
        <f t="shared" si="14"/>
        <v>50</v>
      </c>
      <c r="T147" s="3923">
        <f t="shared" si="15"/>
        <v>50</v>
      </c>
      <c r="U147" s="4587">
        <f t="shared" si="16"/>
        <v>100</v>
      </c>
      <c r="V147" s="4589"/>
    </row>
    <row r="148" spans="2:22" ht="13.8" x14ac:dyDescent="0.3">
      <c r="B148" s="3957"/>
      <c r="C148" s="4596" t="s">
        <v>333</v>
      </c>
      <c r="D148" s="4603">
        <v>49</v>
      </c>
      <c r="E148" s="4596" t="s">
        <v>206</v>
      </c>
      <c r="F148" s="4596" t="s">
        <v>211</v>
      </c>
      <c r="G148" s="4598">
        <v>50</v>
      </c>
      <c r="H148" s="4598">
        <v>50</v>
      </c>
      <c r="I148" s="4607">
        <v>0.14113191134537742</v>
      </c>
      <c r="J148" s="4597">
        <v>15</v>
      </c>
      <c r="K148" s="4597" t="s">
        <v>208</v>
      </c>
      <c r="L148" s="4600">
        <v>0.87410920629591637</v>
      </c>
      <c r="M148" s="4600">
        <v>0.96152012692550781</v>
      </c>
      <c r="N148" s="4604">
        <v>597843.60363012366</v>
      </c>
      <c r="O148" s="4604">
        <v>597843.60363012366</v>
      </c>
      <c r="P148" s="4604">
        <v>522580.59785821784</v>
      </c>
      <c r="Q148" s="4604">
        <v>574838.65764403949</v>
      </c>
      <c r="R148" s="4599">
        <v>1.081</v>
      </c>
      <c r="S148" s="4592">
        <f t="shared" si="14"/>
        <v>279350</v>
      </c>
      <c r="T148" s="3923">
        <f t="shared" si="15"/>
        <v>279350</v>
      </c>
      <c r="U148" s="4587">
        <f t="shared" si="16"/>
        <v>558700</v>
      </c>
      <c r="V148" s="4589"/>
    </row>
    <row r="149" spans="2:22" ht="13.8" x14ac:dyDescent="0.3">
      <c r="B149" s="3957"/>
      <c r="C149" s="4596" t="s">
        <v>334</v>
      </c>
      <c r="D149" s="4603">
        <v>23</v>
      </c>
      <c r="E149" s="4596" t="s">
        <v>206</v>
      </c>
      <c r="F149" s="4596" t="s">
        <v>211</v>
      </c>
      <c r="G149" s="4598">
        <v>10.8</v>
      </c>
      <c r="H149" s="4598">
        <v>10.8</v>
      </c>
      <c r="I149" s="4607">
        <v>2.845702854755695E-4</v>
      </c>
      <c r="J149" s="4597">
        <v>5</v>
      </c>
      <c r="K149" s="4597" t="s">
        <v>208</v>
      </c>
      <c r="L149" s="4600">
        <v>0.69586891472749479</v>
      </c>
      <c r="M149" s="4600">
        <v>0.76545580620024412</v>
      </c>
      <c r="N149" s="4604">
        <v>642.89451932350232</v>
      </c>
      <c r="O149" s="4604">
        <v>642.89451932350232</v>
      </c>
      <c r="P149" s="4604">
        <v>447.37031144589997</v>
      </c>
      <c r="Q149" s="4604">
        <v>492.10734259048991</v>
      </c>
      <c r="R149" s="4599">
        <v>1.081</v>
      </c>
      <c r="S149" s="4592">
        <f t="shared" si="14"/>
        <v>259.20000000000005</v>
      </c>
      <c r="T149" s="3923">
        <f t="shared" si="15"/>
        <v>259.20000000000005</v>
      </c>
      <c r="U149" s="4587">
        <f t="shared" si="16"/>
        <v>518.40000000000009</v>
      </c>
      <c r="V149" s="4589"/>
    </row>
    <row r="150" spans="2:22" ht="13.8" x14ac:dyDescent="0.3">
      <c r="B150" s="3957"/>
      <c r="C150" s="4596" t="s">
        <v>335</v>
      </c>
      <c r="D150" s="4603">
        <v>23</v>
      </c>
      <c r="E150" s="4596" t="s">
        <v>206</v>
      </c>
      <c r="F150" s="4596" t="s">
        <v>211</v>
      </c>
      <c r="G150" s="4598">
        <v>10.8</v>
      </c>
      <c r="H150" s="4598">
        <v>10.8</v>
      </c>
      <c r="I150" s="4607">
        <v>7.707111898296674E-3</v>
      </c>
      <c r="J150" s="4597">
        <v>5</v>
      </c>
      <c r="K150" s="4597" t="s">
        <v>208</v>
      </c>
      <c r="L150" s="4600">
        <v>0.69586891472749479</v>
      </c>
      <c r="M150" s="4600">
        <v>0.76545580620024423</v>
      </c>
      <c r="N150" s="4604">
        <v>17411.726565011522</v>
      </c>
      <c r="O150" s="4604">
        <v>17411.726565011522</v>
      </c>
      <c r="P150" s="4604">
        <v>12116.279268326458</v>
      </c>
      <c r="Q150" s="4604">
        <v>13327.907195159103</v>
      </c>
      <c r="R150" s="4599">
        <v>1.081</v>
      </c>
      <c r="S150" s="4592">
        <f t="shared" si="14"/>
        <v>7020.0000000000009</v>
      </c>
      <c r="T150" s="3923">
        <f t="shared" si="15"/>
        <v>7020.0000000000009</v>
      </c>
      <c r="U150" s="4587">
        <f t="shared" si="16"/>
        <v>14040.000000000002</v>
      </c>
      <c r="V150" s="4589"/>
    </row>
    <row r="151" spans="2:22" ht="13.8" x14ac:dyDescent="0.3">
      <c r="B151" s="3957"/>
      <c r="C151" s="4596" t="s">
        <v>336</v>
      </c>
      <c r="D151" s="4603">
        <v>23</v>
      </c>
      <c r="E151" s="4596" t="s">
        <v>206</v>
      </c>
      <c r="F151" s="4596" t="s">
        <v>211</v>
      </c>
      <c r="G151" s="4598">
        <v>10.8</v>
      </c>
      <c r="H151" s="4598">
        <v>10.8</v>
      </c>
      <c r="I151" s="4607">
        <v>7.0668287559766431E-3</v>
      </c>
      <c r="J151" s="4597">
        <v>5</v>
      </c>
      <c r="K151" s="4597" t="s">
        <v>208</v>
      </c>
      <c r="L151" s="4600">
        <v>0.69586891472749479</v>
      </c>
      <c r="M151" s="4600">
        <v>0.76545580620024423</v>
      </c>
      <c r="N151" s="4604">
        <v>15965.21389653364</v>
      </c>
      <c r="O151" s="4604">
        <v>15965.21389653364</v>
      </c>
      <c r="P151" s="4604">
        <v>11109.696067573183</v>
      </c>
      <c r="Q151" s="4604">
        <v>12220.665674330499</v>
      </c>
      <c r="R151" s="4599">
        <v>1.081</v>
      </c>
      <c r="S151" s="4592">
        <f t="shared" si="14"/>
        <v>6436.8</v>
      </c>
      <c r="T151" s="3923">
        <f t="shared" si="15"/>
        <v>6436.8</v>
      </c>
      <c r="U151" s="4587">
        <f t="shared" si="16"/>
        <v>12873.6</v>
      </c>
      <c r="V151" s="4589"/>
    </row>
    <row r="152" spans="2:22" ht="13.8" x14ac:dyDescent="0.3">
      <c r="B152" s="3957"/>
      <c r="C152" s="4596" t="s">
        <v>337</v>
      </c>
      <c r="D152" s="4603">
        <v>23</v>
      </c>
      <c r="E152" s="4596" t="s">
        <v>206</v>
      </c>
      <c r="F152" s="4596" t="s">
        <v>211</v>
      </c>
      <c r="G152" s="4598">
        <v>12.8</v>
      </c>
      <c r="H152" s="4598">
        <v>12.8</v>
      </c>
      <c r="I152" s="4607">
        <v>1.1857095228148729E-5</v>
      </c>
      <c r="J152" s="4597">
        <v>15</v>
      </c>
      <c r="K152" s="4597" t="s">
        <v>208</v>
      </c>
      <c r="L152" s="4600">
        <v>1.440070826685941</v>
      </c>
      <c r="M152" s="4600">
        <v>1.5840779093545345</v>
      </c>
      <c r="N152" s="4604">
        <v>30.487549159293323</v>
      </c>
      <c r="O152" s="4604">
        <v>30.487549159293323</v>
      </c>
      <c r="P152" s="4604">
        <v>43.904230121451803</v>
      </c>
      <c r="Q152" s="4604">
        <v>48.294653133596967</v>
      </c>
      <c r="R152" s="4599">
        <v>1.081</v>
      </c>
      <c r="S152" s="4592">
        <f t="shared" si="14"/>
        <v>12.8</v>
      </c>
      <c r="T152" s="3923">
        <f t="shared" si="15"/>
        <v>12.8</v>
      </c>
      <c r="U152" s="4587">
        <f t="shared" si="16"/>
        <v>25.6</v>
      </c>
      <c r="V152" s="4589"/>
    </row>
    <row r="153" spans="2:22" ht="13.8" x14ac:dyDescent="0.3">
      <c r="B153" s="3957"/>
      <c r="C153" s="4596" t="s">
        <v>338</v>
      </c>
      <c r="D153" s="4603">
        <v>23</v>
      </c>
      <c r="E153" s="4596" t="s">
        <v>206</v>
      </c>
      <c r="F153" s="4596" t="s">
        <v>211</v>
      </c>
      <c r="G153" s="4598">
        <v>12.8</v>
      </c>
      <c r="H153" s="4598">
        <v>12.8</v>
      </c>
      <c r="I153" s="4607">
        <v>1.1857095228148729E-5</v>
      </c>
      <c r="J153" s="4597">
        <v>15</v>
      </c>
      <c r="K153" s="4597" t="s">
        <v>208</v>
      </c>
      <c r="L153" s="4600">
        <v>1.440070826685941</v>
      </c>
      <c r="M153" s="4600">
        <v>1.5840779093545345</v>
      </c>
      <c r="N153" s="4604">
        <v>30.487549159293323</v>
      </c>
      <c r="O153" s="4604">
        <v>30.487549159293323</v>
      </c>
      <c r="P153" s="4604">
        <v>43.904230121451803</v>
      </c>
      <c r="Q153" s="4604">
        <v>48.294653133596967</v>
      </c>
      <c r="R153" s="4599">
        <v>1.081</v>
      </c>
      <c r="S153" s="4592">
        <f t="shared" si="14"/>
        <v>12.8</v>
      </c>
      <c r="T153" s="3923">
        <f t="shared" si="15"/>
        <v>12.8</v>
      </c>
      <c r="U153" s="4587">
        <f t="shared" si="16"/>
        <v>25.6</v>
      </c>
      <c r="V153" s="4589"/>
    </row>
    <row r="154" spans="2:22" ht="13.8" x14ac:dyDescent="0.3">
      <c r="B154" s="3957"/>
      <c r="C154" s="4596" t="s">
        <v>339</v>
      </c>
      <c r="D154" s="4603">
        <v>23</v>
      </c>
      <c r="E154" s="4596" t="s">
        <v>206</v>
      </c>
      <c r="F154" s="4596" t="s">
        <v>211</v>
      </c>
      <c r="G154" s="4598">
        <v>12.8</v>
      </c>
      <c r="H154" s="4598">
        <v>12.8</v>
      </c>
      <c r="I154" s="4607">
        <v>1.1857095228148729E-5</v>
      </c>
      <c r="J154" s="4597">
        <v>15</v>
      </c>
      <c r="K154" s="4597" t="s">
        <v>208</v>
      </c>
      <c r="L154" s="4600">
        <v>1.440070826685941</v>
      </c>
      <c r="M154" s="4600">
        <v>1.5840779093545345</v>
      </c>
      <c r="N154" s="4604">
        <v>30.487549159293323</v>
      </c>
      <c r="O154" s="4604">
        <v>30.487549159293323</v>
      </c>
      <c r="P154" s="4604">
        <v>43.904230121451803</v>
      </c>
      <c r="Q154" s="4604">
        <v>48.294653133596967</v>
      </c>
      <c r="R154" s="4599">
        <v>1.081</v>
      </c>
      <c r="S154" s="4592">
        <f t="shared" si="14"/>
        <v>12.8</v>
      </c>
      <c r="T154" s="3923">
        <f t="shared" si="15"/>
        <v>12.8</v>
      </c>
      <c r="U154" s="4587">
        <f t="shared" si="16"/>
        <v>25.6</v>
      </c>
      <c r="V154" s="4589"/>
    </row>
    <row r="155" spans="2:22" ht="13.8" x14ac:dyDescent="0.3">
      <c r="B155" s="3957"/>
      <c r="C155" s="4596" t="s">
        <v>340</v>
      </c>
      <c r="D155" s="4603">
        <v>54135</v>
      </c>
      <c r="E155" s="4596" t="s">
        <v>206</v>
      </c>
      <c r="F155" s="4596" t="s">
        <v>341</v>
      </c>
      <c r="G155" s="4598">
        <v>16055</v>
      </c>
      <c r="H155" s="4598">
        <v>8000</v>
      </c>
      <c r="I155" s="4607">
        <v>6.6979184366173727E-2</v>
      </c>
      <c r="J155" s="4597">
        <v>15</v>
      </c>
      <c r="K155" s="4597" t="s">
        <v>208</v>
      </c>
      <c r="L155" s="4600">
        <v>3.3529451881331753</v>
      </c>
      <c r="M155" s="4600">
        <v>2.4860938790117806</v>
      </c>
      <c r="N155" s="4604">
        <v>73967.588314634602</v>
      </c>
      <c r="O155" s="4604">
        <v>109734.47083082332</v>
      </c>
      <c r="P155" s="4604">
        <v>248009.26931736976</v>
      </c>
      <c r="Q155" s="4604">
        <v>272810.19624910667</v>
      </c>
      <c r="R155" s="4599">
        <v>1.081</v>
      </c>
      <c r="S155" s="4592">
        <f t="shared" si="14"/>
        <v>19200.000000000004</v>
      </c>
      <c r="T155" s="3923">
        <f t="shared" si="15"/>
        <v>19200.000000000004</v>
      </c>
      <c r="U155" s="4587">
        <f t="shared" si="16"/>
        <v>38400.000000000007</v>
      </c>
      <c r="V155" s="4589"/>
    </row>
    <row r="156" spans="2:22" ht="13.8" x14ac:dyDescent="0.3">
      <c r="B156" s="3957"/>
      <c r="C156" s="4596" t="s">
        <v>342</v>
      </c>
      <c r="D156" s="4603">
        <v>1082</v>
      </c>
      <c r="E156" s="4596" t="s">
        <v>206</v>
      </c>
      <c r="F156" s="4596" t="s">
        <v>211</v>
      </c>
      <c r="G156" s="4598">
        <v>472.5</v>
      </c>
      <c r="H156" s="4598">
        <v>472.5</v>
      </c>
      <c r="I156" s="4607">
        <v>8.47854482435762E-2</v>
      </c>
      <c r="J156" s="4597">
        <v>20</v>
      </c>
      <c r="K156" s="4597" t="s">
        <v>298</v>
      </c>
      <c r="L156" s="4600">
        <v>3.3805290516358992</v>
      </c>
      <c r="M156" s="4600">
        <v>3.7185819567994889</v>
      </c>
      <c r="N156" s="4604">
        <v>181542.38555337943</v>
      </c>
      <c r="O156" s="4604">
        <v>181542.38555337943</v>
      </c>
      <c r="P156" s="4604">
        <v>613709.30846648454</v>
      </c>
      <c r="Q156" s="4604">
        <v>675080.23931313294</v>
      </c>
      <c r="R156" s="4599">
        <v>1.081</v>
      </c>
      <c r="S156" s="4592">
        <f t="shared" si="14"/>
        <v>71820</v>
      </c>
      <c r="T156" s="3923">
        <f t="shared" si="15"/>
        <v>71820</v>
      </c>
      <c r="U156" s="4587">
        <f t="shared" si="16"/>
        <v>143640</v>
      </c>
      <c r="V156" s="4589"/>
    </row>
    <row r="157" spans="2:22" ht="13.8" x14ac:dyDescent="0.3">
      <c r="B157" s="3957"/>
      <c r="C157" s="4596" t="s">
        <v>343</v>
      </c>
      <c r="D157" s="4603">
        <v>1244</v>
      </c>
      <c r="E157" s="4596" t="s">
        <v>206</v>
      </c>
      <c r="F157" s="4596" t="s">
        <v>211</v>
      </c>
      <c r="G157" s="4598">
        <v>472.5</v>
      </c>
      <c r="H157" s="4598">
        <v>472.5</v>
      </c>
      <c r="I157" s="4607">
        <v>1.1543655493422015E-2</v>
      </c>
      <c r="J157" s="4597">
        <v>20</v>
      </c>
      <c r="K157" s="4597" t="s">
        <v>298</v>
      </c>
      <c r="L157" s="4600">
        <v>3.7366964084435406</v>
      </c>
      <c r="M157" s="4600">
        <v>4.1103660492878946</v>
      </c>
      <c r="N157" s="4604">
        <v>22361.294052916488</v>
      </c>
      <c r="O157" s="4604">
        <v>22361.294052916488</v>
      </c>
      <c r="P157" s="4604">
        <v>83557.367175682943</v>
      </c>
      <c r="Q157" s="4604">
        <v>91913.103893251246</v>
      </c>
      <c r="R157" s="4599">
        <v>1.081</v>
      </c>
      <c r="S157" s="4592">
        <f t="shared" si="14"/>
        <v>8505</v>
      </c>
      <c r="T157" s="3923">
        <f t="shared" si="15"/>
        <v>8505</v>
      </c>
      <c r="U157" s="4587">
        <f t="shared" si="16"/>
        <v>17010</v>
      </c>
      <c r="V157" s="4589"/>
    </row>
    <row r="158" spans="2:22" ht="13.8" x14ac:dyDescent="0.3">
      <c r="B158" s="3957"/>
      <c r="C158" s="4596" t="s">
        <v>344</v>
      </c>
      <c r="D158" s="4603">
        <v>1.61</v>
      </c>
      <c r="E158" s="4596" t="s">
        <v>206</v>
      </c>
      <c r="F158" s="4596" t="s">
        <v>341</v>
      </c>
      <c r="G158" s="4598">
        <v>0.81</v>
      </c>
      <c r="H158" s="4598">
        <v>0.81</v>
      </c>
      <c r="I158" s="4607">
        <v>7.6060230472195692E-2</v>
      </c>
      <c r="J158" s="4597">
        <v>25</v>
      </c>
      <c r="K158" s="4597" t="s">
        <v>298</v>
      </c>
      <c r="L158" s="4600">
        <v>3.4402141913203015</v>
      </c>
      <c r="M158" s="4600">
        <v>3.7842356104523303</v>
      </c>
      <c r="N158" s="4604">
        <v>180988.9327575104</v>
      </c>
      <c r="O158" s="4604">
        <v>180988.9327575104</v>
      </c>
      <c r="P158" s="4604">
        <v>622640.69494430302</v>
      </c>
      <c r="Q158" s="4604">
        <v>684904.76443873311</v>
      </c>
      <c r="R158" s="4599">
        <v>1.081</v>
      </c>
      <c r="S158" s="4592">
        <f t="shared" si="14"/>
        <v>74227.752000000008</v>
      </c>
      <c r="T158" s="3923">
        <f t="shared" si="15"/>
        <v>74227.752000000008</v>
      </c>
      <c r="U158" s="4587">
        <f t="shared" si="16"/>
        <v>148455.50400000002</v>
      </c>
      <c r="V158" s="4589"/>
    </row>
    <row r="159" spans="2:22" ht="13.8" x14ac:dyDescent="0.3">
      <c r="B159" s="3957"/>
      <c r="C159" s="4596" t="s">
        <v>345</v>
      </c>
      <c r="D159" s="4603">
        <v>0.9</v>
      </c>
      <c r="E159" s="4596" t="s">
        <v>206</v>
      </c>
      <c r="F159" s="4596" t="s">
        <v>341</v>
      </c>
      <c r="G159" s="4598">
        <v>0.81</v>
      </c>
      <c r="H159" s="4598">
        <v>0.81</v>
      </c>
      <c r="I159" s="4607">
        <v>1.6745352859493273E-2</v>
      </c>
      <c r="J159" s="4597">
        <v>20</v>
      </c>
      <c r="K159" s="4597" t="s">
        <v>298</v>
      </c>
      <c r="L159" s="4600">
        <v>1.9028653325695046</v>
      </c>
      <c r="M159" s="4600">
        <v>2.0931518658264547</v>
      </c>
      <c r="N159" s="4604">
        <v>63698.270308111758</v>
      </c>
      <c r="O159" s="4604">
        <v>63698.270308111758</v>
      </c>
      <c r="P159" s="4604">
        <v>121209.23031394728</v>
      </c>
      <c r="Q159" s="4604">
        <v>133330.153345342</v>
      </c>
      <c r="R159" s="4599">
        <v>1.081</v>
      </c>
      <c r="S159" s="4592">
        <f t="shared" si="14"/>
        <v>29233.871999999999</v>
      </c>
      <c r="T159" s="3923">
        <f t="shared" si="15"/>
        <v>29233.871999999999</v>
      </c>
      <c r="U159" s="4587">
        <f t="shared" si="16"/>
        <v>58467.743999999999</v>
      </c>
      <c r="V159" s="4589"/>
    </row>
    <row r="160" spans="2:22" ht="13.8" x14ac:dyDescent="0.3">
      <c r="B160" s="3957"/>
      <c r="C160" s="4614" t="s">
        <v>346</v>
      </c>
      <c r="D160" s="4603">
        <v>1.1000000000000001</v>
      </c>
      <c r="E160" s="4596" t="s">
        <v>206</v>
      </c>
      <c r="F160" s="4596" t="s">
        <v>341</v>
      </c>
      <c r="G160" s="4612">
        <v>0</v>
      </c>
      <c r="H160" s="4612">
        <v>0</v>
      </c>
      <c r="I160" s="4607">
        <v>0</v>
      </c>
      <c r="J160" s="4615">
        <v>20</v>
      </c>
      <c r="K160" s="4597" t="s">
        <v>296</v>
      </c>
      <c r="L160" s="4600" t="e">
        <v>#DIV/0!</v>
      </c>
      <c r="M160" s="4600" t="e">
        <v>#DIV/0!</v>
      </c>
      <c r="N160" s="4604">
        <v>0</v>
      </c>
      <c r="O160" s="4604">
        <v>0</v>
      </c>
      <c r="P160" s="4604">
        <v>0</v>
      </c>
      <c r="Q160" s="4604">
        <v>0</v>
      </c>
      <c r="R160" s="4599">
        <v>1.081</v>
      </c>
      <c r="S160" s="4592">
        <f t="shared" si="14"/>
        <v>0</v>
      </c>
      <c r="T160" s="3923">
        <f t="shared" si="15"/>
        <v>0</v>
      </c>
      <c r="U160" s="4587">
        <f t="shared" si="16"/>
        <v>0</v>
      </c>
      <c r="V160" s="4589"/>
    </row>
    <row r="161" spans="2:22" ht="13.8" x14ac:dyDescent="0.3">
      <c r="B161" s="3957"/>
      <c r="C161" s="4596" t="s">
        <v>347</v>
      </c>
      <c r="D161" s="4603">
        <v>27000</v>
      </c>
      <c r="E161" s="4596" t="s">
        <v>206</v>
      </c>
      <c r="F161" s="4596" t="s">
        <v>341</v>
      </c>
      <c r="G161" s="4598">
        <v>12665</v>
      </c>
      <c r="H161" s="4598">
        <v>8000</v>
      </c>
      <c r="I161" s="4607">
        <v>0</v>
      </c>
      <c r="J161" s="4597">
        <v>12</v>
      </c>
      <c r="K161" s="4597" t="s">
        <v>348</v>
      </c>
      <c r="L161" s="4600" t="e">
        <v>#DIV/0!</v>
      </c>
      <c r="M161" s="4600" t="e">
        <v>#DIV/0!</v>
      </c>
      <c r="N161" s="4604">
        <v>0</v>
      </c>
      <c r="O161" s="4604">
        <v>0</v>
      </c>
      <c r="P161" s="4604">
        <v>0</v>
      </c>
      <c r="Q161" s="4604">
        <v>0</v>
      </c>
      <c r="R161" s="4599">
        <v>1.081</v>
      </c>
      <c r="S161" s="4592">
        <f t="shared" si="14"/>
        <v>0</v>
      </c>
      <c r="T161" s="3923">
        <f t="shared" si="15"/>
        <v>0</v>
      </c>
      <c r="U161" s="4587">
        <f t="shared" si="16"/>
        <v>0</v>
      </c>
      <c r="V161" s="4589"/>
    </row>
    <row r="162" spans="2:22" ht="13.8" x14ac:dyDescent="0.3">
      <c r="B162" s="3957"/>
      <c r="C162" s="4596" t="s">
        <v>349</v>
      </c>
      <c r="D162" s="4603">
        <v>435.8</v>
      </c>
      <c r="E162" s="4596" t="s">
        <v>206</v>
      </c>
      <c r="F162" s="4596" t="s">
        <v>211</v>
      </c>
      <c r="G162" s="4598">
        <v>202.5</v>
      </c>
      <c r="H162" s="4598">
        <v>202.5</v>
      </c>
      <c r="I162" s="4607">
        <v>2.2017285471385532E-2</v>
      </c>
      <c r="J162" s="4597">
        <v>15</v>
      </c>
      <c r="K162" s="4597" t="s">
        <v>298</v>
      </c>
      <c r="L162" s="4600">
        <v>2.7412622142890961</v>
      </c>
      <c r="M162" s="4600">
        <v>3.0153884357180045</v>
      </c>
      <c r="N162" s="4604">
        <v>49353.554861459153</v>
      </c>
      <c r="O162" s="4604">
        <v>49353.554861459153</v>
      </c>
      <c r="P162" s="4604">
        <v>135291.0350825619</v>
      </c>
      <c r="Q162" s="4604">
        <v>148820.13859081804</v>
      </c>
      <c r="R162" s="4599">
        <v>1.081</v>
      </c>
      <c r="S162" s="4592">
        <f t="shared" si="14"/>
        <v>19845</v>
      </c>
      <c r="T162" s="3923">
        <f t="shared" si="15"/>
        <v>19845</v>
      </c>
      <c r="U162" s="4587">
        <f t="shared" si="16"/>
        <v>39690</v>
      </c>
      <c r="V162" s="4589"/>
    </row>
    <row r="163" spans="2:22" ht="13.8" x14ac:dyDescent="0.3">
      <c r="B163" s="3957"/>
      <c r="C163" s="4596" t="s">
        <v>350</v>
      </c>
      <c r="D163" s="4603">
        <v>435.8</v>
      </c>
      <c r="E163" s="4596" t="s">
        <v>206</v>
      </c>
      <c r="F163" s="4596" t="s">
        <v>211</v>
      </c>
      <c r="G163" s="4598">
        <v>202.5</v>
      </c>
      <c r="H163" s="4598">
        <v>202.5</v>
      </c>
      <c r="I163" s="4607">
        <v>2.2466617827944417E-3</v>
      </c>
      <c r="J163" s="4597">
        <v>15</v>
      </c>
      <c r="K163" s="4597" t="s">
        <v>298</v>
      </c>
      <c r="L163" s="4600">
        <v>2.7412622142890966</v>
      </c>
      <c r="M163" s="4600">
        <v>3.0153884357180054</v>
      </c>
      <c r="N163" s="4604">
        <v>5036.0770266795043</v>
      </c>
      <c r="O163" s="4604">
        <v>5036.0770266795043</v>
      </c>
      <c r="P163" s="4604">
        <v>13805.207661485907</v>
      </c>
      <c r="Q163" s="4604">
        <v>15185.728427634494</v>
      </c>
      <c r="R163" s="4599">
        <v>1.081</v>
      </c>
      <c r="S163" s="4592">
        <f t="shared" si="14"/>
        <v>2025</v>
      </c>
      <c r="T163" s="3923">
        <f t="shared" si="15"/>
        <v>2025</v>
      </c>
      <c r="U163" s="4587">
        <f t="shared" si="16"/>
        <v>4050</v>
      </c>
      <c r="V163" s="4589"/>
    </row>
    <row r="164" spans="2:22" ht="13.8" x14ac:dyDescent="0.3">
      <c r="B164" s="3957"/>
      <c r="C164" s="4596" t="s">
        <v>351</v>
      </c>
      <c r="D164" s="4603">
        <v>131</v>
      </c>
      <c r="E164" s="4596" t="s">
        <v>206</v>
      </c>
      <c r="F164" s="4596" t="s">
        <v>211</v>
      </c>
      <c r="G164" s="4598">
        <v>67</v>
      </c>
      <c r="H164" s="4598">
        <v>67</v>
      </c>
      <c r="I164" s="4607">
        <v>1.3506778042499858E-4</v>
      </c>
      <c r="J164" s="4597">
        <v>15</v>
      </c>
      <c r="K164" s="4597" t="s">
        <v>259</v>
      </c>
      <c r="L164" s="4600">
        <v>1.5003977056240942</v>
      </c>
      <c r="M164" s="4600">
        <v>1.6504374761865037</v>
      </c>
      <c r="N164" s="4604">
        <v>325.44522575688268</v>
      </c>
      <c r="O164" s="4604">
        <v>325.44522575688268</v>
      </c>
      <c r="P164" s="4604">
        <v>488.29727003194216</v>
      </c>
      <c r="Q164" s="4604">
        <v>537.12699703513636</v>
      </c>
      <c r="R164" s="4599">
        <v>1.081</v>
      </c>
      <c r="S164" s="4592">
        <f t="shared" si="14"/>
        <v>134</v>
      </c>
      <c r="T164" s="3923">
        <f t="shared" si="15"/>
        <v>134</v>
      </c>
      <c r="U164" s="4587">
        <f t="shared" si="16"/>
        <v>268</v>
      </c>
      <c r="V164" s="4589"/>
    </row>
    <row r="165" spans="2:22" ht="13.8" x14ac:dyDescent="0.3">
      <c r="B165" s="3957"/>
      <c r="C165" s="4596" t="s">
        <v>352</v>
      </c>
      <c r="D165" s="4603">
        <v>131</v>
      </c>
      <c r="E165" s="4596" t="s">
        <v>206</v>
      </c>
      <c r="F165" s="4596" t="s">
        <v>211</v>
      </c>
      <c r="G165" s="4598">
        <v>67</v>
      </c>
      <c r="H165" s="4598">
        <v>67</v>
      </c>
      <c r="I165" s="4607">
        <v>1.3506778042499858E-4</v>
      </c>
      <c r="J165" s="4597">
        <v>15</v>
      </c>
      <c r="K165" s="4597" t="s">
        <v>259</v>
      </c>
      <c r="L165" s="4600">
        <v>1.5003977056240942</v>
      </c>
      <c r="M165" s="4600">
        <v>1.6504374761865037</v>
      </c>
      <c r="N165" s="4604">
        <v>325.44522575688268</v>
      </c>
      <c r="O165" s="4604">
        <v>325.44522575688268</v>
      </c>
      <c r="P165" s="4604">
        <v>488.29727003194216</v>
      </c>
      <c r="Q165" s="4604">
        <v>537.12699703513636</v>
      </c>
      <c r="R165" s="4599">
        <v>1.081</v>
      </c>
      <c r="S165" s="4592">
        <f t="shared" si="14"/>
        <v>134</v>
      </c>
      <c r="T165" s="3923">
        <f t="shared" si="15"/>
        <v>134</v>
      </c>
      <c r="U165" s="4587">
        <f t="shared" si="16"/>
        <v>268</v>
      </c>
      <c r="V165" s="4589"/>
    </row>
    <row r="166" spans="2:22" ht="13.8" x14ac:dyDescent="0.3">
      <c r="B166" s="3957"/>
      <c r="C166" s="4596" t="s">
        <v>353</v>
      </c>
      <c r="D166" s="4603">
        <v>131</v>
      </c>
      <c r="E166" s="4596" t="s">
        <v>206</v>
      </c>
      <c r="F166" s="4596" t="s">
        <v>211</v>
      </c>
      <c r="G166" s="4598">
        <v>67</v>
      </c>
      <c r="H166" s="4598">
        <v>67</v>
      </c>
      <c r="I166" s="4607">
        <v>1.3506778042499858E-4</v>
      </c>
      <c r="J166" s="4597">
        <v>15</v>
      </c>
      <c r="K166" s="4597" t="s">
        <v>259</v>
      </c>
      <c r="L166" s="4600">
        <v>1.5003977056240942</v>
      </c>
      <c r="M166" s="4600">
        <v>1.6504374761865037</v>
      </c>
      <c r="N166" s="4604">
        <v>325.44522575688268</v>
      </c>
      <c r="O166" s="4604">
        <v>325.44522575688268</v>
      </c>
      <c r="P166" s="4604">
        <v>488.29727003194216</v>
      </c>
      <c r="Q166" s="4604">
        <v>537.12699703513636</v>
      </c>
      <c r="R166" s="4599">
        <v>1.081</v>
      </c>
      <c r="S166" s="4592">
        <f t="shared" si="14"/>
        <v>134</v>
      </c>
      <c r="T166" s="3923">
        <f t="shared" si="15"/>
        <v>134</v>
      </c>
      <c r="U166" s="4587">
        <f t="shared" si="16"/>
        <v>268</v>
      </c>
      <c r="V166" s="4589"/>
    </row>
    <row r="167" spans="2:22" ht="13.8" x14ac:dyDescent="0.3">
      <c r="B167" s="3957"/>
      <c r="C167" s="4596" t="s">
        <v>354</v>
      </c>
      <c r="D167" s="4603">
        <v>3500</v>
      </c>
      <c r="E167" s="4596" t="s">
        <v>206</v>
      </c>
      <c r="F167" s="4596" t="s">
        <v>211</v>
      </c>
      <c r="G167" s="4598">
        <v>3407</v>
      </c>
      <c r="H167" s="4598">
        <v>3407</v>
      </c>
      <c r="I167" s="4607">
        <v>4.5108514454913649E-3</v>
      </c>
      <c r="J167" s="4597">
        <v>20</v>
      </c>
      <c r="K167" s="4597" t="s">
        <v>298</v>
      </c>
      <c r="L167" s="4600">
        <v>1.7795822093128366</v>
      </c>
      <c r="M167" s="4600">
        <v>1.9575404302441202</v>
      </c>
      <c r="N167" s="4604">
        <v>18347.709673429021</v>
      </c>
      <c r="O167" s="4604">
        <v>18347.709673429021</v>
      </c>
      <c r="P167" s="4604">
        <v>32651.257716471322</v>
      </c>
      <c r="Q167" s="4604">
        <v>35916.383488118452</v>
      </c>
      <c r="R167" s="4599">
        <v>1.081</v>
      </c>
      <c r="S167" s="4592">
        <f t="shared" si="14"/>
        <v>6814</v>
      </c>
      <c r="T167" s="3923">
        <f t="shared" si="15"/>
        <v>10221</v>
      </c>
      <c r="U167" s="4587">
        <f t="shared" si="16"/>
        <v>17035</v>
      </c>
      <c r="V167" s="4589"/>
    </row>
    <row r="168" spans="2:22" ht="13.8" x14ac:dyDescent="0.3">
      <c r="B168" s="3957"/>
      <c r="C168" s="4614" t="s">
        <v>355</v>
      </c>
      <c r="D168" s="4617">
        <v>0</v>
      </c>
      <c r="E168" s="4596" t="s">
        <v>206</v>
      </c>
      <c r="F168" s="4596" t="s">
        <v>211</v>
      </c>
      <c r="G168" s="4612">
        <v>0</v>
      </c>
      <c r="H168" s="4612">
        <v>0</v>
      </c>
      <c r="I168" s="4607">
        <v>0</v>
      </c>
      <c r="J168" s="4597">
        <v>20</v>
      </c>
      <c r="K168" s="4597" t="s">
        <v>296</v>
      </c>
      <c r="L168" s="4600" t="e">
        <v>#DIV/0!</v>
      </c>
      <c r="M168" s="4600" t="e">
        <v>#DIV/0!</v>
      </c>
      <c r="N168" s="4604">
        <v>0</v>
      </c>
      <c r="O168" s="4604">
        <v>0</v>
      </c>
      <c r="P168" s="4604">
        <v>0</v>
      </c>
      <c r="Q168" s="4604">
        <v>0</v>
      </c>
      <c r="R168" s="4599">
        <v>1.081</v>
      </c>
      <c r="S168" s="4592">
        <f t="shared" si="14"/>
        <v>0</v>
      </c>
      <c r="T168" s="3923">
        <f t="shared" si="15"/>
        <v>0</v>
      </c>
      <c r="U168" s="4587">
        <f t="shared" si="16"/>
        <v>0</v>
      </c>
      <c r="V168" s="4589"/>
    </row>
    <row r="169" spans="2:22" ht="13.8" x14ac:dyDescent="0.3">
      <c r="B169" s="3957"/>
      <c r="C169" s="4614" t="s">
        <v>356</v>
      </c>
      <c r="D169" s="4617">
        <v>0</v>
      </c>
      <c r="E169" s="4596" t="s">
        <v>206</v>
      </c>
      <c r="F169" s="4596" t="s">
        <v>211</v>
      </c>
      <c r="G169" s="4612">
        <v>0</v>
      </c>
      <c r="H169" s="4612">
        <v>0</v>
      </c>
      <c r="I169" s="4607">
        <v>0</v>
      </c>
      <c r="J169" s="4597">
        <v>20</v>
      </c>
      <c r="K169" s="4597" t="s">
        <v>298</v>
      </c>
      <c r="L169" s="4600" t="e">
        <v>#DIV/0!</v>
      </c>
      <c r="M169" s="4600" t="e">
        <v>#DIV/0!</v>
      </c>
      <c r="N169" s="4604">
        <v>0</v>
      </c>
      <c r="O169" s="4604">
        <v>0</v>
      </c>
      <c r="P169" s="4604">
        <v>0</v>
      </c>
      <c r="Q169" s="4604">
        <v>0</v>
      </c>
      <c r="R169" s="4599">
        <v>1.081</v>
      </c>
      <c r="S169" s="4592">
        <f t="shared" si="14"/>
        <v>0</v>
      </c>
      <c r="T169" s="3923">
        <f t="shared" si="15"/>
        <v>0</v>
      </c>
      <c r="U169" s="4587">
        <f t="shared" si="16"/>
        <v>0</v>
      </c>
      <c r="V169" s="4589"/>
    </row>
    <row r="170" spans="2:22" ht="13.8" x14ac:dyDescent="0.3">
      <c r="B170" s="3957"/>
      <c r="C170" s="4596" t="s">
        <v>357</v>
      </c>
      <c r="D170" s="4603">
        <v>20</v>
      </c>
      <c r="E170" s="4596" t="s">
        <v>206</v>
      </c>
      <c r="F170" s="4596" t="s">
        <v>211</v>
      </c>
      <c r="G170" s="4598">
        <v>13.5</v>
      </c>
      <c r="H170" s="4598">
        <v>13.5</v>
      </c>
      <c r="I170" s="4607">
        <v>8.2484140717556373E-5</v>
      </c>
      <c r="J170" s="4597">
        <v>15</v>
      </c>
      <c r="K170" s="4597" t="s">
        <v>259</v>
      </c>
      <c r="L170" s="4600">
        <v>1.2064954541771644</v>
      </c>
      <c r="M170" s="4600">
        <v>1.3271449995948807</v>
      </c>
      <c r="N170" s="4604">
        <v>247.15949413149553</v>
      </c>
      <c r="O170" s="4604">
        <v>247.15949413149553</v>
      </c>
      <c r="P170" s="4604">
        <v>298.19680612637688</v>
      </c>
      <c r="Q170" s="4604">
        <v>328.01648673901457</v>
      </c>
      <c r="R170" s="4599">
        <v>1.081</v>
      </c>
      <c r="S170" s="4592">
        <f t="shared" si="14"/>
        <v>108</v>
      </c>
      <c r="T170" s="3923">
        <f t="shared" si="15"/>
        <v>108</v>
      </c>
      <c r="U170" s="4587">
        <f t="shared" si="16"/>
        <v>216</v>
      </c>
      <c r="V170" s="4589"/>
    </row>
    <row r="171" spans="2:22" ht="13.8" x14ac:dyDescent="0.3">
      <c r="B171" s="3957"/>
      <c r="C171" s="4596" t="s">
        <v>358</v>
      </c>
      <c r="D171" s="4603">
        <v>20</v>
      </c>
      <c r="E171" s="4596" t="s">
        <v>206</v>
      </c>
      <c r="F171" s="4596" t="s">
        <v>211</v>
      </c>
      <c r="G171" s="4598">
        <v>13.5</v>
      </c>
      <c r="H171" s="4598">
        <v>13.5</v>
      </c>
      <c r="I171" s="4607">
        <v>2.2889349049121897E-3</v>
      </c>
      <c r="J171" s="4597">
        <v>15</v>
      </c>
      <c r="K171" s="4597" t="s">
        <v>259</v>
      </c>
      <c r="L171" s="4600">
        <v>1.2064954541771644</v>
      </c>
      <c r="M171" s="4600">
        <v>1.3271449995948807</v>
      </c>
      <c r="N171" s="4604">
        <v>6858.675962149001</v>
      </c>
      <c r="O171" s="4604">
        <v>6858.675962149001</v>
      </c>
      <c r="P171" s="4604">
        <v>8274.9613700069585</v>
      </c>
      <c r="Q171" s="4604">
        <v>9102.4575070076535</v>
      </c>
      <c r="R171" s="4599">
        <v>1.081</v>
      </c>
      <c r="S171" s="4592">
        <f t="shared" si="14"/>
        <v>2997</v>
      </c>
      <c r="T171" s="3923">
        <f t="shared" si="15"/>
        <v>2997</v>
      </c>
      <c r="U171" s="4587">
        <f t="shared" si="16"/>
        <v>5994</v>
      </c>
      <c r="V171" s="4589"/>
    </row>
    <row r="172" spans="2:22" ht="13.8" x14ac:dyDescent="0.3">
      <c r="B172" s="3957"/>
      <c r="C172" s="4596" t="s">
        <v>359</v>
      </c>
      <c r="D172" s="4603">
        <v>20</v>
      </c>
      <c r="E172" s="4596" t="s">
        <v>206</v>
      </c>
      <c r="F172" s="4596" t="s">
        <v>211</v>
      </c>
      <c r="G172" s="4598">
        <v>13.5</v>
      </c>
      <c r="H172" s="4598">
        <v>13.5</v>
      </c>
      <c r="I172" s="4607">
        <v>1.1341569348664003E-3</v>
      </c>
      <c r="J172" s="4597">
        <v>15</v>
      </c>
      <c r="K172" s="4597" t="s">
        <v>259</v>
      </c>
      <c r="L172" s="4600">
        <v>1.2064954541771644</v>
      </c>
      <c r="M172" s="4600">
        <v>1.3271449995948807</v>
      </c>
      <c r="N172" s="4604">
        <v>3398.4430443080637</v>
      </c>
      <c r="O172" s="4604">
        <v>3398.4430443080637</v>
      </c>
      <c r="P172" s="4604">
        <v>4100.2060842376823</v>
      </c>
      <c r="Q172" s="4604">
        <v>4510.2266926614502</v>
      </c>
      <c r="R172" s="4599">
        <v>1.081</v>
      </c>
      <c r="S172" s="4592">
        <f t="shared" si="14"/>
        <v>1485</v>
      </c>
      <c r="T172" s="3923">
        <f t="shared" si="15"/>
        <v>1485</v>
      </c>
      <c r="U172" s="4587">
        <f t="shared" si="16"/>
        <v>2970</v>
      </c>
      <c r="V172" s="4589"/>
    </row>
    <row r="173" spans="2:22" ht="13.8" x14ac:dyDescent="0.3">
      <c r="B173" s="3957"/>
      <c r="C173" s="4596" t="s">
        <v>360</v>
      </c>
      <c r="D173" s="4603">
        <v>11.94</v>
      </c>
      <c r="E173" s="4596" t="s">
        <v>206</v>
      </c>
      <c r="F173" s="4596" t="s">
        <v>295</v>
      </c>
      <c r="G173" s="4598">
        <v>21.64</v>
      </c>
      <c r="H173" s="4598">
        <v>6</v>
      </c>
      <c r="I173" s="4607">
        <v>9.5085832656583588E-2</v>
      </c>
      <c r="J173" s="4597">
        <v>30</v>
      </c>
      <c r="K173" s="4597" t="s">
        <v>296</v>
      </c>
      <c r="L173" s="4600">
        <v>3.1791435616518839</v>
      </c>
      <c r="M173" s="4600">
        <v>1.1745593677266297</v>
      </c>
      <c r="N173" s="4604">
        <v>226058.88810066166</v>
      </c>
      <c r="O173" s="4604">
        <v>673053.27107938507</v>
      </c>
      <c r="P173" s="4604">
        <v>718673.65865940216</v>
      </c>
      <c r="Q173" s="4604">
        <v>790541.02452534239</v>
      </c>
      <c r="R173" s="4599">
        <v>1.081</v>
      </c>
      <c r="S173" s="4592">
        <f t="shared" si="14"/>
        <v>92685.599999999991</v>
      </c>
      <c r="T173" s="3923">
        <f t="shared" si="15"/>
        <v>92685.599999999991</v>
      </c>
      <c r="U173" s="4587">
        <f t="shared" si="16"/>
        <v>185371.19999999998</v>
      </c>
      <c r="V173" s="4589"/>
    </row>
    <row r="174" spans="2:22" ht="13.8" x14ac:dyDescent="0.3">
      <c r="B174" s="3957"/>
      <c r="C174" s="4596" t="s">
        <v>361</v>
      </c>
      <c r="D174" s="4603">
        <v>12.72</v>
      </c>
      <c r="E174" s="4596" t="s">
        <v>206</v>
      </c>
      <c r="F174" s="4596" t="s">
        <v>295</v>
      </c>
      <c r="G174" s="4598">
        <v>21.64</v>
      </c>
      <c r="H174" s="4598">
        <v>10</v>
      </c>
      <c r="I174" s="4607">
        <v>3.286613580547321E-3</v>
      </c>
      <c r="J174" s="4597">
        <v>25</v>
      </c>
      <c r="K174" s="4597" t="s">
        <v>298</v>
      </c>
      <c r="L174" s="4600">
        <v>2.4109564489147957</v>
      </c>
      <c r="M174" s="4600">
        <v>1.3481157630353799</v>
      </c>
      <c r="N174" s="4604">
        <v>11159.356326523523</v>
      </c>
      <c r="O174" s="4604">
        <v>21953.006650297808</v>
      </c>
      <c r="P174" s="4604">
        <v>26904.722101170009</v>
      </c>
      <c r="Q174" s="4604">
        <v>29595.194311286999</v>
      </c>
      <c r="R174" s="4599">
        <v>1.081</v>
      </c>
      <c r="S174" s="4592">
        <f t="shared" ref="S174:S197" si="17">M77*H174</f>
        <v>5012</v>
      </c>
      <c r="T174" s="3923">
        <f t="shared" ref="T174:T197" si="18">N77*H174</f>
        <v>5012</v>
      </c>
      <c r="U174" s="4587">
        <f t="shared" ref="U174:U197" si="19">S174+T174</f>
        <v>10024</v>
      </c>
      <c r="V174" s="4589"/>
    </row>
    <row r="175" spans="2:22" ht="13.8" x14ac:dyDescent="0.3">
      <c r="B175" s="3957"/>
      <c r="C175" s="4596" t="s">
        <v>362</v>
      </c>
      <c r="D175" s="4603">
        <v>11.53</v>
      </c>
      <c r="E175" s="4596" t="s">
        <v>206</v>
      </c>
      <c r="F175" s="4596" t="s">
        <v>295</v>
      </c>
      <c r="G175" s="4598">
        <v>21.64</v>
      </c>
      <c r="H175" s="4598">
        <v>10</v>
      </c>
      <c r="I175" s="4607">
        <v>2.0304749741807621E-3</v>
      </c>
      <c r="J175" s="4597">
        <v>30</v>
      </c>
      <c r="K175" s="4597" t="s">
        <v>298</v>
      </c>
      <c r="L175" s="4600">
        <v>2.465138111877867</v>
      </c>
      <c r="M175" s="4600">
        <v>1.3676070363184687</v>
      </c>
      <c r="N175" s="4604">
        <v>7485.5324541433311</v>
      </c>
      <c r="O175" s="4604">
        <v>14842.098596604017</v>
      </c>
      <c r="P175" s="4604">
        <v>18452.871340407386</v>
      </c>
      <c r="Q175" s="4604">
        <v>20298.158474448122</v>
      </c>
      <c r="R175" s="4599">
        <v>1.081</v>
      </c>
      <c r="S175" s="4592">
        <f t="shared" si="17"/>
        <v>3415.9999999999995</v>
      </c>
      <c r="T175" s="3923">
        <f t="shared" si="18"/>
        <v>3415.9999999999995</v>
      </c>
      <c r="U175" s="4587">
        <f t="shared" si="19"/>
        <v>6831.9999999999991</v>
      </c>
      <c r="V175" s="4589"/>
    </row>
    <row r="176" spans="2:22" ht="13.8" x14ac:dyDescent="0.3">
      <c r="B176" s="3957"/>
      <c r="C176" s="4596" t="s">
        <v>363</v>
      </c>
      <c r="D176" s="4603">
        <v>21.65</v>
      </c>
      <c r="E176" s="4596" t="s">
        <v>206</v>
      </c>
      <c r="F176" s="4596" t="s">
        <v>295</v>
      </c>
      <c r="G176" s="4598">
        <v>21.64</v>
      </c>
      <c r="H176" s="4598">
        <v>16.2</v>
      </c>
      <c r="I176" s="4607">
        <v>3.0724373228636314E-2</v>
      </c>
      <c r="J176" s="4597">
        <v>30</v>
      </c>
      <c r="K176" s="4597" t="s">
        <v>296</v>
      </c>
      <c r="L176" s="4600">
        <v>2.3188832374700139</v>
      </c>
      <c r="M176" s="4600">
        <v>1.9979924336027268</v>
      </c>
      <c r="N176" s="4604">
        <v>100142.87700514341</v>
      </c>
      <c r="O176" s="4604">
        <v>127849.13417443112</v>
      </c>
      <c r="P176" s="4604">
        <v>232219.63883924836</v>
      </c>
      <c r="Q176" s="4604">
        <v>255441.60272317319</v>
      </c>
      <c r="R176" s="4599">
        <v>1.081</v>
      </c>
      <c r="S176" s="4592">
        <f t="shared" si="17"/>
        <v>44595.359999999993</v>
      </c>
      <c r="T176" s="3923">
        <f t="shared" si="18"/>
        <v>44595.359999999993</v>
      </c>
      <c r="U176" s="4587">
        <f t="shared" si="19"/>
        <v>89190.719999999987</v>
      </c>
      <c r="V176" s="4589"/>
    </row>
    <row r="177" spans="2:22" ht="13.8" x14ac:dyDescent="0.3">
      <c r="B177" s="3957"/>
      <c r="C177" s="4596" t="s">
        <v>364</v>
      </c>
      <c r="D177" s="4603">
        <v>20.22</v>
      </c>
      <c r="E177" s="4596" t="s">
        <v>206</v>
      </c>
      <c r="F177" s="4596" t="s">
        <v>295</v>
      </c>
      <c r="G177" s="4598">
        <v>21.64</v>
      </c>
      <c r="H177" s="4598">
        <v>12</v>
      </c>
      <c r="I177" s="4607">
        <v>1.3061188403826028E-2</v>
      </c>
      <c r="J177" s="4597">
        <v>25</v>
      </c>
      <c r="K177" s="4597" t="s">
        <v>298</v>
      </c>
      <c r="L177" s="4600">
        <v>3.0275833608967364</v>
      </c>
      <c r="M177" s="4600">
        <v>2.0396516551447452</v>
      </c>
      <c r="N177" s="4604">
        <v>35315.588637393957</v>
      </c>
      <c r="O177" s="4604">
        <v>57663.26671324965</v>
      </c>
      <c r="P177" s="4604">
        <v>106920.88853884779</v>
      </c>
      <c r="Q177" s="4604">
        <v>117612.97739273253</v>
      </c>
      <c r="R177" s="4599">
        <v>1.081</v>
      </c>
      <c r="S177" s="4592">
        <f t="shared" si="17"/>
        <v>15036</v>
      </c>
      <c r="T177" s="3923">
        <f t="shared" si="18"/>
        <v>15036</v>
      </c>
      <c r="U177" s="4587">
        <f t="shared" si="19"/>
        <v>30072</v>
      </c>
      <c r="V177" s="4589"/>
    </row>
    <row r="178" spans="2:22" ht="13.8" x14ac:dyDescent="0.3">
      <c r="B178" s="3957"/>
      <c r="C178" s="4596" t="s">
        <v>365</v>
      </c>
      <c r="D178" s="4603">
        <v>20.84</v>
      </c>
      <c r="E178" s="4596" t="s">
        <v>206</v>
      </c>
      <c r="F178" s="4596" t="s">
        <v>295</v>
      </c>
      <c r="G178" s="4598">
        <v>21.64</v>
      </c>
      <c r="H178" s="4598">
        <v>13</v>
      </c>
      <c r="I178" s="4607">
        <v>1.2032786447877124E-4</v>
      </c>
      <c r="J178" s="4597">
        <v>30</v>
      </c>
      <c r="K178" s="4597" t="s">
        <v>298</v>
      </c>
      <c r="L178" s="4600">
        <v>3.2310424132104925</v>
      </c>
      <c r="M178" s="4600">
        <v>2.3245084773003186</v>
      </c>
      <c r="N178" s="4604">
        <v>338.4463717966575</v>
      </c>
      <c r="O178" s="4604">
        <v>517.48059936372499</v>
      </c>
      <c r="P178" s="4604">
        <v>1093.5345818722078</v>
      </c>
      <c r="Q178" s="4604">
        <v>1202.8880400594287</v>
      </c>
      <c r="R178" s="4599">
        <v>1.081</v>
      </c>
      <c r="S178" s="4592">
        <f t="shared" si="17"/>
        <v>145.6</v>
      </c>
      <c r="T178" s="3923">
        <f t="shared" si="18"/>
        <v>145.6</v>
      </c>
      <c r="U178" s="4587">
        <f t="shared" si="19"/>
        <v>291.2</v>
      </c>
      <c r="V178" s="4589"/>
    </row>
    <row r="179" spans="2:22" ht="13.8" x14ac:dyDescent="0.3">
      <c r="B179" s="3957"/>
      <c r="C179" s="4596" t="s">
        <v>366</v>
      </c>
      <c r="D179" s="4603">
        <v>23.58</v>
      </c>
      <c r="E179" s="4596" t="s">
        <v>206</v>
      </c>
      <c r="F179" s="4596" t="s">
        <v>295</v>
      </c>
      <c r="G179" s="4598">
        <v>26.62</v>
      </c>
      <c r="H179" s="4598">
        <v>18</v>
      </c>
      <c r="I179" s="4607">
        <v>1.215610023824987E-5</v>
      </c>
      <c r="J179" s="4597">
        <v>30</v>
      </c>
      <c r="K179" s="4597" t="s">
        <v>296</v>
      </c>
      <c r="L179" s="4600">
        <v>2.2809820138326429</v>
      </c>
      <c r="M179" s="4600">
        <v>1.7974198535845913</v>
      </c>
      <c r="N179" s="4604">
        <v>40.279894554937201</v>
      </c>
      <c r="O179" s="4604">
        <v>56.228090669645802</v>
      </c>
      <c r="P179" s="4604">
        <v>91.877714998887157</v>
      </c>
      <c r="Q179" s="4604">
        <v>101.06548649877588</v>
      </c>
      <c r="R179" s="4599">
        <v>1.081</v>
      </c>
      <c r="S179" s="4592">
        <f t="shared" si="17"/>
        <v>18</v>
      </c>
      <c r="T179" s="3923">
        <f t="shared" si="18"/>
        <v>18</v>
      </c>
      <c r="U179" s="4587">
        <f t="shared" si="19"/>
        <v>36</v>
      </c>
      <c r="V179" s="4589"/>
    </row>
    <row r="180" spans="2:22" ht="13.8" x14ac:dyDescent="0.3">
      <c r="B180" s="3957"/>
      <c r="C180" s="4596" t="s">
        <v>367</v>
      </c>
      <c r="D180" s="4603">
        <v>22.73</v>
      </c>
      <c r="E180" s="4596" t="s">
        <v>206</v>
      </c>
      <c r="F180" s="4596" t="s">
        <v>295</v>
      </c>
      <c r="G180" s="4598">
        <v>26.62</v>
      </c>
      <c r="H180" s="4608">
        <v>18</v>
      </c>
      <c r="I180" s="4607">
        <v>1.1717903240687854E-5</v>
      </c>
      <c r="J180" s="4597">
        <v>30</v>
      </c>
      <c r="K180" s="4597" t="s">
        <v>298</v>
      </c>
      <c r="L180" s="4600">
        <v>2.6604079700647634</v>
      </c>
      <c r="M180" s="4600">
        <v>2.0926789169377038</v>
      </c>
      <c r="N180" s="4604">
        <v>40.028376856147162</v>
      </c>
      <c r="O180" s="4604">
        <v>55.976572970855777</v>
      </c>
      <c r="P180" s="4604">
        <v>106.49181281684983</v>
      </c>
      <c r="Q180" s="4604">
        <v>117.14099409853482</v>
      </c>
      <c r="R180" s="4599">
        <v>1.081</v>
      </c>
      <c r="S180" s="4592">
        <f t="shared" si="17"/>
        <v>18</v>
      </c>
      <c r="T180" s="3923">
        <f t="shared" si="18"/>
        <v>18</v>
      </c>
      <c r="U180" s="4587">
        <f t="shared" si="19"/>
        <v>36</v>
      </c>
      <c r="V180" s="4589"/>
    </row>
    <row r="181" spans="2:22" ht="13.8" x14ac:dyDescent="0.3">
      <c r="B181" s="3957"/>
      <c r="C181" s="4596" t="s">
        <v>368</v>
      </c>
      <c r="D181" s="4603">
        <v>13.87</v>
      </c>
      <c r="E181" s="4596" t="s">
        <v>206</v>
      </c>
      <c r="F181" s="4596" t="s">
        <v>295</v>
      </c>
      <c r="G181" s="4598">
        <v>26.62</v>
      </c>
      <c r="H181" s="4598">
        <v>8</v>
      </c>
      <c r="I181" s="4607">
        <v>7.1503439484531683E-6</v>
      </c>
      <c r="J181" s="4597">
        <v>30</v>
      </c>
      <c r="K181" s="4597" t="s">
        <v>296</v>
      </c>
      <c r="L181" s="4600">
        <v>2.8586406725184079</v>
      </c>
      <c r="M181" s="4600">
        <v>1.1141956493071365</v>
      </c>
      <c r="N181" s="4604">
        <v>18.905287121159542</v>
      </c>
      <c r="O181" s="4604">
        <v>53.354870839938449</v>
      </c>
      <c r="P181" s="4604">
        <v>54.04342269018511</v>
      </c>
      <c r="Q181" s="4604">
        <v>59.447764959203624</v>
      </c>
      <c r="R181" s="4599">
        <v>1.081</v>
      </c>
      <c r="S181" s="4592">
        <f t="shared" si="17"/>
        <v>8</v>
      </c>
      <c r="T181" s="3923">
        <f t="shared" si="18"/>
        <v>8</v>
      </c>
      <c r="U181" s="4587">
        <f t="shared" si="19"/>
        <v>16</v>
      </c>
      <c r="V181" s="4589"/>
    </row>
    <row r="182" spans="2:22" ht="13.8" x14ac:dyDescent="0.3">
      <c r="B182" s="3957"/>
      <c r="C182" s="4596" t="s">
        <v>369</v>
      </c>
      <c r="D182" s="4603">
        <v>13.41</v>
      </c>
      <c r="E182" s="4596" t="s">
        <v>206</v>
      </c>
      <c r="F182" s="4596" t="s">
        <v>295</v>
      </c>
      <c r="G182" s="4598">
        <v>26.62</v>
      </c>
      <c r="H182" s="4608">
        <v>8</v>
      </c>
      <c r="I182" s="4607">
        <v>6.9132020438901944E-6</v>
      </c>
      <c r="J182" s="4597">
        <v>30</v>
      </c>
      <c r="K182" s="4597" t="s">
        <v>298</v>
      </c>
      <c r="L182" s="4600">
        <v>3.3473448452395886</v>
      </c>
      <c r="M182" s="4600">
        <v>1.2985944243849741</v>
      </c>
      <c r="N182" s="4604">
        <v>18.769171660637873</v>
      </c>
      <c r="O182" s="4604">
        <v>53.218755379416784</v>
      </c>
      <c r="P182" s="4604">
        <v>62.826890007653155</v>
      </c>
      <c r="Q182" s="4604">
        <v>69.109579008418478</v>
      </c>
      <c r="R182" s="4599">
        <v>1.081</v>
      </c>
      <c r="S182" s="4592">
        <f t="shared" si="17"/>
        <v>8</v>
      </c>
      <c r="T182" s="3923">
        <f t="shared" si="18"/>
        <v>8</v>
      </c>
      <c r="U182" s="4587">
        <f t="shared" si="19"/>
        <v>16</v>
      </c>
      <c r="V182" s="4589"/>
    </row>
    <row r="183" spans="2:22" ht="13.8" x14ac:dyDescent="0.3">
      <c r="B183" s="3957"/>
      <c r="C183" s="4606" t="s">
        <v>370</v>
      </c>
      <c r="D183" s="4611">
        <v>128</v>
      </c>
      <c r="E183" s="4596" t="s">
        <v>206</v>
      </c>
      <c r="F183" s="4596" t="s">
        <v>211</v>
      </c>
      <c r="G183" s="4608">
        <v>50</v>
      </c>
      <c r="H183" s="4608">
        <v>50</v>
      </c>
      <c r="I183" s="4607">
        <v>2.9694290658320296E-2</v>
      </c>
      <c r="J183" s="4609">
        <v>15</v>
      </c>
      <c r="K183" s="4597" t="s">
        <v>296</v>
      </c>
      <c r="L183" s="4600">
        <v>2.6976630635771577</v>
      </c>
      <c r="M183" s="4600">
        <v>2.9674293699348744</v>
      </c>
      <c r="N183" s="4604">
        <v>58672.144991871231</v>
      </c>
      <c r="O183" s="4604">
        <v>58672.144991871231</v>
      </c>
      <c r="P183" s="4604">
        <v>158277.67840541454</v>
      </c>
      <c r="Q183" s="4604">
        <v>174105.44624595603</v>
      </c>
      <c r="R183" s="4599">
        <v>1.081</v>
      </c>
      <c r="S183" s="4592">
        <f t="shared" si="17"/>
        <v>22500</v>
      </c>
      <c r="T183" s="3923">
        <f t="shared" si="18"/>
        <v>22500</v>
      </c>
      <c r="U183" s="4587">
        <f t="shared" si="19"/>
        <v>45000</v>
      </c>
      <c r="V183" s="4589"/>
    </row>
    <row r="184" spans="2:22" ht="13.8" x14ac:dyDescent="0.3">
      <c r="B184" s="3957"/>
      <c r="C184" s="4606" t="s">
        <v>371</v>
      </c>
      <c r="D184" s="4611">
        <v>128</v>
      </c>
      <c r="E184" s="4596" t="s">
        <v>206</v>
      </c>
      <c r="F184" s="4596" t="s">
        <v>211</v>
      </c>
      <c r="G184" s="4608">
        <v>50</v>
      </c>
      <c r="H184" s="4608">
        <v>50</v>
      </c>
      <c r="I184" s="4607">
        <v>3.299365628702255E-3</v>
      </c>
      <c r="J184" s="4609">
        <v>15</v>
      </c>
      <c r="K184" s="4597" t="s">
        <v>298</v>
      </c>
      <c r="L184" s="4600">
        <v>3.1098986473338304</v>
      </c>
      <c r="M184" s="4600">
        <v>3.4208885120672132</v>
      </c>
      <c r="N184" s="4604">
        <v>6519.1272213190259</v>
      </c>
      <c r="O184" s="4604">
        <v>6519.1272213190259</v>
      </c>
      <c r="P184" s="4604">
        <v>20273.824927377191</v>
      </c>
      <c r="Q184" s="4604">
        <v>22301.207420114908</v>
      </c>
      <c r="R184" s="4599">
        <v>1.081</v>
      </c>
      <c r="S184" s="4592">
        <f t="shared" si="17"/>
        <v>2500</v>
      </c>
      <c r="T184" s="3923">
        <f t="shared" si="18"/>
        <v>2500</v>
      </c>
      <c r="U184" s="4587">
        <f t="shared" si="19"/>
        <v>5000</v>
      </c>
      <c r="V184" s="4589"/>
    </row>
    <row r="185" spans="2:22" ht="13.8" x14ac:dyDescent="0.3">
      <c r="B185" s="3957"/>
      <c r="C185" s="4606" t="s">
        <v>372</v>
      </c>
      <c r="D185" s="4611">
        <v>128</v>
      </c>
      <c r="E185" s="4596" t="s">
        <v>206</v>
      </c>
      <c r="F185" s="4596" t="s">
        <v>211</v>
      </c>
      <c r="G185" s="4608">
        <v>50</v>
      </c>
      <c r="H185" s="4608">
        <v>50</v>
      </c>
      <c r="I185" s="4607">
        <v>6.5987312574045101E-3</v>
      </c>
      <c r="J185" s="4609">
        <v>15</v>
      </c>
      <c r="K185" s="4597" t="s">
        <v>298</v>
      </c>
      <c r="L185" s="4600">
        <v>3.1098986473338304</v>
      </c>
      <c r="M185" s="4600">
        <v>3.4208885120672132</v>
      </c>
      <c r="N185" s="4604">
        <v>13038.254442638052</v>
      </c>
      <c r="O185" s="4604">
        <v>13038.254442638052</v>
      </c>
      <c r="P185" s="4604">
        <v>40547.649854754382</v>
      </c>
      <c r="Q185" s="4604">
        <v>44602.414840229816</v>
      </c>
      <c r="R185" s="4599">
        <v>1.081</v>
      </c>
      <c r="S185" s="4592">
        <f t="shared" si="17"/>
        <v>5000</v>
      </c>
      <c r="T185" s="3923">
        <f t="shared" si="18"/>
        <v>5000</v>
      </c>
      <c r="U185" s="4587">
        <f t="shared" si="19"/>
        <v>10000</v>
      </c>
      <c r="V185" s="4589"/>
    </row>
    <row r="186" spans="2:22" ht="13.8" x14ac:dyDescent="0.3">
      <c r="B186" s="3957"/>
      <c r="C186" s="4596" t="s">
        <v>373</v>
      </c>
      <c r="D186" s="4603">
        <v>100</v>
      </c>
      <c r="E186" s="4596" t="s">
        <v>206</v>
      </c>
      <c r="F186" s="4596" t="s">
        <v>211</v>
      </c>
      <c r="G186" s="4598">
        <v>21</v>
      </c>
      <c r="H186" s="4598">
        <v>21</v>
      </c>
      <c r="I186" s="4607">
        <v>6.4440734935590918E-3</v>
      </c>
      <c r="J186" s="4597">
        <v>4</v>
      </c>
      <c r="K186" s="4597" t="s">
        <v>348</v>
      </c>
      <c r="L186" s="4600">
        <v>0.96861275578654704</v>
      </c>
      <c r="M186" s="4600">
        <v>1.0654740313652016</v>
      </c>
      <c r="N186" s="4604">
        <v>8555.4039341572225</v>
      </c>
      <c r="O186" s="4604">
        <v>8555.4039341572225</v>
      </c>
      <c r="P186" s="4604">
        <v>8286.8733815310934</v>
      </c>
      <c r="Q186" s="4604">
        <v>9115.5607196842011</v>
      </c>
      <c r="R186" s="4599">
        <v>1.081</v>
      </c>
      <c r="S186" s="4592">
        <f t="shared" si="17"/>
        <v>2625</v>
      </c>
      <c r="T186" s="3923">
        <f t="shared" si="18"/>
        <v>2625</v>
      </c>
      <c r="U186" s="4587">
        <f t="shared" si="19"/>
        <v>5250</v>
      </c>
      <c r="V186" s="4589"/>
    </row>
    <row r="187" spans="2:22" ht="13.8" x14ac:dyDescent="0.3">
      <c r="B187" s="3957"/>
      <c r="C187" s="4596" t="s">
        <v>374</v>
      </c>
      <c r="D187" s="4603">
        <v>100</v>
      </c>
      <c r="E187" s="4596" t="s">
        <v>206</v>
      </c>
      <c r="F187" s="4596" t="s">
        <v>211</v>
      </c>
      <c r="G187" s="4598">
        <v>21</v>
      </c>
      <c r="H187" s="4598">
        <v>21</v>
      </c>
      <c r="I187" s="4607">
        <v>1.2888146987118183E-3</v>
      </c>
      <c r="J187" s="4597">
        <v>4</v>
      </c>
      <c r="K187" s="4597" t="s">
        <v>348</v>
      </c>
      <c r="L187" s="4600">
        <v>0.96861275578654704</v>
      </c>
      <c r="M187" s="4600">
        <v>1.0654740313652016</v>
      </c>
      <c r="N187" s="4604">
        <v>1711.0807868314444</v>
      </c>
      <c r="O187" s="4604">
        <v>1711.0807868314444</v>
      </c>
      <c r="P187" s="4604">
        <v>1657.3746763062186</v>
      </c>
      <c r="Q187" s="4604">
        <v>1823.1121439368403</v>
      </c>
      <c r="R187" s="4599">
        <v>1.081</v>
      </c>
      <c r="S187" s="4592">
        <f t="shared" si="17"/>
        <v>525</v>
      </c>
      <c r="T187" s="3923">
        <f t="shared" si="18"/>
        <v>525</v>
      </c>
      <c r="U187" s="4587">
        <f t="shared" si="19"/>
        <v>1050</v>
      </c>
      <c r="V187" s="4589"/>
    </row>
    <row r="188" spans="2:22" ht="13.8" x14ac:dyDescent="0.3">
      <c r="B188" s="3957"/>
      <c r="C188" s="4596" t="s">
        <v>375</v>
      </c>
      <c r="D188" s="4603">
        <v>100</v>
      </c>
      <c r="E188" s="4596" t="s">
        <v>206</v>
      </c>
      <c r="F188" s="4596" t="s">
        <v>211</v>
      </c>
      <c r="G188" s="4598">
        <v>21</v>
      </c>
      <c r="H188" s="4598">
        <v>21</v>
      </c>
      <c r="I188" s="4607">
        <v>1.2888146987118183E-3</v>
      </c>
      <c r="J188" s="4597">
        <v>4</v>
      </c>
      <c r="K188" s="4597" t="s">
        <v>348</v>
      </c>
      <c r="L188" s="4600">
        <v>0.96861275578654704</v>
      </c>
      <c r="M188" s="4600">
        <v>1.0654740313652016</v>
      </c>
      <c r="N188" s="4604">
        <v>1711.0807868314444</v>
      </c>
      <c r="O188" s="4604">
        <v>1711.0807868314444</v>
      </c>
      <c r="P188" s="4604">
        <v>1657.3746763062186</v>
      </c>
      <c r="Q188" s="4604">
        <v>1823.1121439368403</v>
      </c>
      <c r="R188" s="4599">
        <v>1.081</v>
      </c>
      <c r="S188" s="4592">
        <f t="shared" si="17"/>
        <v>525</v>
      </c>
      <c r="T188" s="3923">
        <f t="shared" si="18"/>
        <v>525</v>
      </c>
      <c r="U188" s="4587">
        <f t="shared" si="19"/>
        <v>1050</v>
      </c>
      <c r="V188" s="4589"/>
    </row>
    <row r="189" spans="2:22" ht="13.8" x14ac:dyDescent="0.3">
      <c r="B189" s="3957"/>
      <c r="C189" s="4596" t="s">
        <v>376</v>
      </c>
      <c r="D189" s="4603">
        <v>34.1</v>
      </c>
      <c r="E189" s="4596" t="s">
        <v>206</v>
      </c>
      <c r="F189" s="4596" t="s">
        <v>211</v>
      </c>
      <c r="G189" s="4598">
        <v>40</v>
      </c>
      <c r="H189" s="4598">
        <v>40</v>
      </c>
      <c r="I189" s="4607">
        <v>2.6369148735643803E-3</v>
      </c>
      <c r="J189" s="4597">
        <v>21</v>
      </c>
      <c r="K189" s="4597" t="s">
        <v>208</v>
      </c>
      <c r="L189" s="4600">
        <v>0.94483964302171064</v>
      </c>
      <c r="M189" s="4600">
        <v>1.0393236073238814</v>
      </c>
      <c r="N189" s="4604">
        <v>12614.377302808107</v>
      </c>
      <c r="O189" s="4604">
        <v>12614.377302808107</v>
      </c>
      <c r="P189" s="4604">
        <v>11918.563747726381</v>
      </c>
      <c r="Q189" s="4604">
        <v>13110.420122499016</v>
      </c>
      <c r="R189" s="4599">
        <v>1.081</v>
      </c>
      <c r="S189" s="4592">
        <f t="shared" si="17"/>
        <v>6000</v>
      </c>
      <c r="T189" s="3923">
        <f t="shared" si="18"/>
        <v>6000</v>
      </c>
      <c r="U189" s="4587">
        <f t="shared" si="19"/>
        <v>12000</v>
      </c>
      <c r="V189" s="4589"/>
    </row>
    <row r="190" spans="2:22" ht="13.8" x14ac:dyDescent="0.3">
      <c r="B190" s="3957"/>
      <c r="C190" s="4596" t="s">
        <v>377</v>
      </c>
      <c r="D190" s="4603">
        <v>34.1</v>
      </c>
      <c r="E190" s="4596" t="s">
        <v>206</v>
      </c>
      <c r="F190" s="4596" t="s">
        <v>211</v>
      </c>
      <c r="G190" s="4598">
        <v>40</v>
      </c>
      <c r="H190" s="4598">
        <v>40</v>
      </c>
      <c r="I190" s="4607">
        <v>1.7579432490429204E-5</v>
      </c>
      <c r="J190" s="4597">
        <v>21</v>
      </c>
      <c r="K190" s="4597" t="s">
        <v>208</v>
      </c>
      <c r="L190" s="4600">
        <v>0.94483964302171075</v>
      </c>
      <c r="M190" s="4600">
        <v>1.0393236073238814</v>
      </c>
      <c r="N190" s="4604">
        <v>84.095848685387381</v>
      </c>
      <c r="O190" s="4604">
        <v>84.095848685387381</v>
      </c>
      <c r="P190" s="4604">
        <v>79.457091651509216</v>
      </c>
      <c r="Q190" s="4604">
        <v>87.402800816660104</v>
      </c>
      <c r="R190" s="4599">
        <v>1.081</v>
      </c>
      <c r="S190" s="4592">
        <f t="shared" si="17"/>
        <v>40</v>
      </c>
      <c r="T190" s="3923">
        <f t="shared" si="18"/>
        <v>40</v>
      </c>
      <c r="U190" s="4587">
        <f t="shared" si="19"/>
        <v>80</v>
      </c>
      <c r="V190" s="4589"/>
    </row>
    <row r="191" spans="2:22" ht="13.8" x14ac:dyDescent="0.3">
      <c r="B191" s="3957"/>
      <c r="C191" s="4596" t="s">
        <v>378</v>
      </c>
      <c r="D191" s="4603">
        <v>34.1</v>
      </c>
      <c r="E191" s="4596" t="s">
        <v>206</v>
      </c>
      <c r="F191" s="4596" t="s">
        <v>211</v>
      </c>
      <c r="G191" s="4598">
        <v>40</v>
      </c>
      <c r="H191" s="4598">
        <v>40</v>
      </c>
      <c r="I191" s="4607">
        <v>1.7579432490429204E-5</v>
      </c>
      <c r="J191" s="4597">
        <v>21</v>
      </c>
      <c r="K191" s="4597" t="s">
        <v>208</v>
      </c>
      <c r="L191" s="4600">
        <v>0.94483964302171075</v>
      </c>
      <c r="M191" s="4600">
        <v>1.0393236073238814</v>
      </c>
      <c r="N191" s="4604">
        <v>84.095848685387381</v>
      </c>
      <c r="O191" s="4604">
        <v>84.095848685387381</v>
      </c>
      <c r="P191" s="4604">
        <v>79.457091651509216</v>
      </c>
      <c r="Q191" s="4604">
        <v>87.402800816660104</v>
      </c>
      <c r="R191" s="4599">
        <v>1.081</v>
      </c>
      <c r="S191" s="4592">
        <f t="shared" si="17"/>
        <v>40</v>
      </c>
      <c r="T191" s="3923">
        <f t="shared" si="18"/>
        <v>40</v>
      </c>
      <c r="U191" s="4587">
        <f t="shared" si="19"/>
        <v>80</v>
      </c>
      <c r="V191" s="4589"/>
    </row>
    <row r="192" spans="2:22" ht="13.8" x14ac:dyDescent="0.3">
      <c r="B192" s="3957"/>
      <c r="C192" s="4596" t="s">
        <v>1307</v>
      </c>
      <c r="D192" s="4603">
        <v>61</v>
      </c>
      <c r="E192" s="4596" t="s">
        <v>206</v>
      </c>
      <c r="F192" s="4596" t="s">
        <v>211</v>
      </c>
      <c r="G192" s="4598">
        <v>60</v>
      </c>
      <c r="H192" s="4598">
        <v>60</v>
      </c>
      <c r="I192" s="4607">
        <v>4.7170617972852559E-3</v>
      </c>
      <c r="J192" s="4597">
        <v>29</v>
      </c>
      <c r="K192" s="4597" t="s">
        <v>208</v>
      </c>
      <c r="L192" s="4600">
        <v>2.4722730829263266</v>
      </c>
      <c r="M192" s="4600">
        <v>2.7195003912189595</v>
      </c>
      <c r="N192" s="4604">
        <v>10056.137765433512</v>
      </c>
      <c r="O192" s="4604">
        <v>10056.137765433512</v>
      </c>
      <c r="P192" s="4604">
        <v>24861.518715680169</v>
      </c>
      <c r="Q192" s="4604">
        <v>27347.670587248187</v>
      </c>
      <c r="R192" s="4599">
        <v>2.081</v>
      </c>
      <c r="S192" s="4592">
        <f t="shared" si="17"/>
        <v>9000</v>
      </c>
      <c r="T192" s="3923">
        <f t="shared" si="18"/>
        <v>9000</v>
      </c>
      <c r="U192" s="4587">
        <f t="shared" si="19"/>
        <v>18000</v>
      </c>
      <c r="V192" s="4589"/>
    </row>
    <row r="193" spans="2:22" ht="13.8" x14ac:dyDescent="0.3">
      <c r="B193" s="3957"/>
      <c r="C193" s="4596" t="s">
        <v>1308</v>
      </c>
      <c r="D193" s="4603">
        <v>61</v>
      </c>
      <c r="E193" s="4596" t="s">
        <v>206</v>
      </c>
      <c r="F193" s="4596" t="s">
        <v>211</v>
      </c>
      <c r="G193" s="4598">
        <v>60</v>
      </c>
      <c r="H193" s="4598">
        <v>60</v>
      </c>
      <c r="I193" s="4607">
        <v>3.144707864856837E-5</v>
      </c>
      <c r="J193" s="4597">
        <v>29</v>
      </c>
      <c r="K193" s="4597" t="s">
        <v>208</v>
      </c>
      <c r="L193" s="4600">
        <v>3.6602947469947202</v>
      </c>
      <c r="M193" s="4600">
        <v>4.0263242216941917</v>
      </c>
      <c r="N193" s="4604">
        <v>45.281451238487804</v>
      </c>
      <c r="O193" s="4604">
        <v>45.281451238487804</v>
      </c>
      <c r="P193" s="4604">
        <v>165.74345810453448</v>
      </c>
      <c r="Q193" s="4604">
        <v>182.31780391498791</v>
      </c>
      <c r="R193" s="4599">
        <v>3.081</v>
      </c>
      <c r="S193" s="4592">
        <f t="shared" si="17"/>
        <v>60</v>
      </c>
      <c r="T193" s="3923">
        <f t="shared" si="18"/>
        <v>60</v>
      </c>
      <c r="U193" s="4587">
        <f t="shared" si="19"/>
        <v>120</v>
      </c>
      <c r="V193" s="4589"/>
    </row>
    <row r="194" spans="2:22" ht="13.8" x14ac:dyDescent="0.3">
      <c r="B194" s="3957"/>
      <c r="C194" s="4596" t="s">
        <v>1309</v>
      </c>
      <c r="D194" s="4603">
        <v>61</v>
      </c>
      <c r="E194" s="4596" t="s">
        <v>206</v>
      </c>
      <c r="F194" s="4596" t="s">
        <v>211</v>
      </c>
      <c r="G194" s="4598">
        <v>60</v>
      </c>
      <c r="H194" s="4598">
        <v>60</v>
      </c>
      <c r="I194" s="4607">
        <v>3.144707864856837E-5</v>
      </c>
      <c r="J194" s="4597">
        <v>29</v>
      </c>
      <c r="K194" s="4597" t="s">
        <v>208</v>
      </c>
      <c r="L194" s="4600">
        <v>4.8483164110631147</v>
      </c>
      <c r="M194" s="4600">
        <v>5.3331480521694248</v>
      </c>
      <c r="N194" s="4604">
        <v>34.185775855373905</v>
      </c>
      <c r="O194" s="4604">
        <v>34.185775855373905</v>
      </c>
      <c r="P194" s="4604">
        <v>165.74345810453448</v>
      </c>
      <c r="Q194" s="4604">
        <v>182.31780391498791</v>
      </c>
      <c r="R194" s="4599">
        <v>4.0810000000000004</v>
      </c>
      <c r="S194" s="4592">
        <f t="shared" si="17"/>
        <v>60</v>
      </c>
      <c r="T194" s="3923">
        <f t="shared" si="18"/>
        <v>60</v>
      </c>
      <c r="U194" s="4587">
        <f t="shared" si="19"/>
        <v>120</v>
      </c>
      <c r="V194" s="4589"/>
    </row>
    <row r="195" spans="2:22" ht="13.8" x14ac:dyDescent="0.3">
      <c r="B195" s="3957"/>
      <c r="C195" s="4606" t="s">
        <v>379</v>
      </c>
      <c r="D195" s="4603">
        <v>0</v>
      </c>
      <c r="E195" s="4596" t="s">
        <v>206</v>
      </c>
      <c r="F195" s="4596" t="s">
        <v>211</v>
      </c>
      <c r="G195" s="4598">
        <v>0</v>
      </c>
      <c r="H195" s="4598">
        <v>0</v>
      </c>
      <c r="I195" s="4607">
        <v>0</v>
      </c>
      <c r="J195" s="4615">
        <v>30</v>
      </c>
      <c r="K195" s="4597" t="s">
        <v>296</v>
      </c>
      <c r="L195" s="4600" t="e">
        <v>#DIV/0!</v>
      </c>
      <c r="M195" s="4600" t="e">
        <v>#DIV/0!</v>
      </c>
      <c r="N195" s="4604">
        <v>0</v>
      </c>
      <c r="O195" s="4604">
        <v>0</v>
      </c>
      <c r="P195" s="4604">
        <v>0</v>
      </c>
      <c r="Q195" s="4604">
        <v>0</v>
      </c>
      <c r="R195" s="4599">
        <v>5.0810000000000004</v>
      </c>
      <c r="S195" s="4592">
        <f t="shared" si="17"/>
        <v>0</v>
      </c>
      <c r="T195" s="3923">
        <f t="shared" si="18"/>
        <v>0</v>
      </c>
      <c r="U195" s="4587">
        <f t="shared" si="19"/>
        <v>0</v>
      </c>
      <c r="V195" s="4588"/>
    </row>
    <row r="196" spans="2:22" ht="13.8" x14ac:dyDescent="0.3">
      <c r="B196" s="3957"/>
      <c r="C196" s="4614" t="s">
        <v>1310</v>
      </c>
      <c r="D196" s="4613">
        <v>379521</v>
      </c>
      <c r="E196" s="4596" t="s">
        <v>206</v>
      </c>
      <c r="F196" s="4596" t="s">
        <v>211</v>
      </c>
      <c r="G196" s="4598">
        <v>448800</v>
      </c>
      <c r="H196" s="4598">
        <v>448800</v>
      </c>
      <c r="I196" s="4607">
        <v>9.7826448653961603E-2</v>
      </c>
      <c r="J196" s="4615">
        <v>25</v>
      </c>
      <c r="K196" s="4597" t="s">
        <v>298</v>
      </c>
      <c r="L196" s="4600">
        <v>9.5580185312535111</v>
      </c>
      <c r="M196" s="4600">
        <v>10.51382038437886</v>
      </c>
      <c r="N196" s="4604">
        <v>83785.387919561908</v>
      </c>
      <c r="O196" s="4604">
        <v>83785.387919561908</v>
      </c>
      <c r="P196" s="4604">
        <v>800822.29038343683</v>
      </c>
      <c r="Q196" s="4604">
        <v>880904.51942178037</v>
      </c>
      <c r="R196" s="4599">
        <v>6.0810000000000004</v>
      </c>
      <c r="S196" s="4592">
        <f t="shared" si="17"/>
        <v>448800</v>
      </c>
      <c r="T196" s="3923">
        <f t="shared" si="18"/>
        <v>0</v>
      </c>
      <c r="U196" s="4587">
        <f t="shared" si="19"/>
        <v>448800</v>
      </c>
      <c r="V196" s="3372"/>
    </row>
    <row r="197" spans="2:22" ht="13.8" x14ac:dyDescent="0.3">
      <c r="B197" s="3957"/>
      <c r="C197" s="4606" t="s">
        <v>1048</v>
      </c>
      <c r="D197" s="4603">
        <v>0</v>
      </c>
      <c r="E197" s="4596" t="s">
        <v>206</v>
      </c>
      <c r="F197" s="4596" t="s">
        <v>211</v>
      </c>
      <c r="G197" s="4598">
        <v>607800</v>
      </c>
      <c r="H197" s="4598">
        <v>607800</v>
      </c>
      <c r="I197" s="4607">
        <v>0</v>
      </c>
      <c r="J197" s="4615">
        <v>30</v>
      </c>
      <c r="K197" s="4597" t="s">
        <v>298</v>
      </c>
      <c r="L197" s="4600">
        <v>0</v>
      </c>
      <c r="M197" s="4600">
        <v>0</v>
      </c>
      <c r="N197" s="4604">
        <v>171670.66798474791</v>
      </c>
      <c r="O197" s="4604">
        <v>171670.66798474791</v>
      </c>
      <c r="P197" s="4604">
        <v>0</v>
      </c>
      <c r="Q197" s="4604">
        <v>0</v>
      </c>
      <c r="R197" s="4599">
        <v>7.0810000000000004</v>
      </c>
      <c r="S197" s="4592">
        <f t="shared" si="17"/>
        <v>607800</v>
      </c>
      <c r="T197" s="3923">
        <f t="shared" si="18"/>
        <v>607800</v>
      </c>
      <c r="U197" s="4587">
        <f t="shared" si="19"/>
        <v>1215600</v>
      </c>
      <c r="V197" s="4588"/>
    </row>
    <row r="198" spans="2:22" ht="13.8" x14ac:dyDescent="0.3">
      <c r="B198" s="4595"/>
      <c r="C198" s="4595"/>
      <c r="D198" s="4595"/>
      <c r="E198" s="4595"/>
      <c r="F198" s="4595"/>
      <c r="G198" s="4595"/>
      <c r="H198" s="4616">
        <v>1</v>
      </c>
      <c r="I198" s="4595"/>
      <c r="J198" s="4595"/>
      <c r="K198" s="4602">
        <v>2.0548424094201496</v>
      </c>
      <c r="L198" s="4602">
        <v>1.7401441538748055</v>
      </c>
      <c r="M198" s="4601">
        <v>3048145.8889715346</v>
      </c>
      <c r="N198" s="4601">
        <v>3599391.135965059</v>
      </c>
      <c r="O198" s="4601">
        <v>6263459.4427583925</v>
      </c>
      <c r="P198" s="4601">
        <v>6889805.3870342309</v>
      </c>
      <c r="Q198" s="4595"/>
      <c r="S198" s="4593">
        <f>SUM(S109:S197)</f>
        <v>2297882.9340000004</v>
      </c>
      <c r="T198" s="4591">
        <f>SUM(T109:T197)</f>
        <v>1835887.1780000003</v>
      </c>
      <c r="U198" s="4586">
        <f>S198+T198</f>
        <v>4133770.1120000007</v>
      </c>
    </row>
  </sheetData>
  <customSheetViews>
    <customSheetView guid="{074EB09C-6289-46D7-9513-012B68BCA7BF}" showPageBreaks="1">
      <pageMargins left="0.7" right="0.7" top="0.75" bottom="0.75" header="0.3" footer="0.3"/>
      <pageSetup orientation="portrait" r:id="rId1"/>
    </customSheetView>
  </customSheetViews>
  <mergeCells count="12">
    <mergeCell ref="V2:V3"/>
    <mergeCell ref="D9:E9"/>
    <mergeCell ref="I9:L9"/>
    <mergeCell ref="C10:F10"/>
    <mergeCell ref="I10:L10"/>
    <mergeCell ref="M10:O10"/>
    <mergeCell ref="P10:R10"/>
    <mergeCell ref="I11:K11"/>
    <mergeCell ref="D105:H105"/>
    <mergeCell ref="L106:R106"/>
    <mergeCell ref="Q2:R2"/>
    <mergeCell ref="S2:U2"/>
  </mergeCells>
  <pageMargins left="0.17" right="0.24" top="0.43" bottom="0.39" header="0.3" footer="0.3"/>
  <pageSetup paperSize="17" scale="28" orientation="landscape" r:id="rId2"/>
  <drawing r:id="rId3"/>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RowHeight="13.2" x14ac:dyDescent="0.25"/>
  <cols>
    <col min="1" max="1" width="15.6640625" style="71" customWidth="1"/>
    <col min="2" max="2" width="23.109375" style="106" customWidth="1"/>
    <col min="3" max="3" width="23.88671875" style="106" customWidth="1"/>
    <col min="4" max="4" width="23" style="2" customWidth="1"/>
    <col min="5" max="5" width="18.88671875" style="3" customWidth="1"/>
    <col min="6" max="10" width="18.88671875" customWidth="1"/>
    <col min="11" max="11" width="17.5546875" customWidth="1"/>
    <col min="12" max="12" width="24.44140625" customWidth="1"/>
    <col min="13" max="13" width="19.44140625" customWidth="1"/>
    <col min="14" max="14" width="17.88671875" customWidth="1"/>
    <col min="15" max="15" width="21.33203125" customWidth="1"/>
  </cols>
  <sheetData>
    <row r="1" spans="1:15" ht="41.25" customHeight="1" x14ac:dyDescent="0.25"/>
    <row r="2" spans="1:15" ht="18" thickBot="1" x14ac:dyDescent="0.35">
      <c r="B2" s="100" t="s">
        <v>80</v>
      </c>
      <c r="C2" s="101"/>
    </row>
    <row r="3" spans="1:15" ht="15.6" thickBot="1" x14ac:dyDescent="0.3">
      <c r="B3" s="102" t="s">
        <v>5</v>
      </c>
      <c r="C3" s="103"/>
      <c r="D3" s="6" t="s">
        <v>6</v>
      </c>
      <c r="E3" s="104">
        <v>18230811</v>
      </c>
    </row>
    <row r="4" spans="1:15" x14ac:dyDescent="0.25">
      <c r="B4" s="103"/>
      <c r="C4" s="103"/>
      <c r="D4" s="105"/>
    </row>
    <row r="5" spans="1:15" ht="13.8" thickBot="1" x14ac:dyDescent="0.3">
      <c r="E5" s="107" t="s">
        <v>1286</v>
      </c>
    </row>
    <row r="6" spans="1:15" ht="39.6" x14ac:dyDescent="0.3">
      <c r="B6" s="3882"/>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B7" s="113"/>
      <c r="C7" s="113"/>
      <c r="D7" s="114" t="s">
        <v>20</v>
      </c>
      <c r="E7" s="115"/>
      <c r="F7" s="115"/>
      <c r="G7" s="115"/>
      <c r="H7" s="116"/>
      <c r="I7" s="117"/>
      <c r="J7" s="115"/>
      <c r="K7" s="115"/>
      <c r="L7" s="115"/>
      <c r="M7" s="115"/>
      <c r="N7" s="118">
        <v>218210</v>
      </c>
      <c r="O7" s="26" t="s">
        <v>21</v>
      </c>
    </row>
    <row r="8" spans="1:15" s="55" customFormat="1" x14ac:dyDescent="0.25">
      <c r="A8" s="112"/>
      <c r="B8" s="113"/>
      <c r="C8" s="113"/>
      <c r="D8" s="114" t="s">
        <v>22</v>
      </c>
      <c r="E8" s="119">
        <v>133825</v>
      </c>
      <c r="F8" s="119">
        <v>0</v>
      </c>
      <c r="G8" s="119">
        <v>84309.75</v>
      </c>
      <c r="H8" s="119">
        <v>0</v>
      </c>
      <c r="I8" s="119">
        <v>18760</v>
      </c>
      <c r="J8" s="119">
        <v>5250</v>
      </c>
      <c r="K8" s="119">
        <v>1400</v>
      </c>
      <c r="L8" s="119">
        <v>0</v>
      </c>
      <c r="M8" s="119">
        <v>0</v>
      </c>
      <c r="N8" s="120">
        <v>243544.75</v>
      </c>
      <c r="O8" s="30">
        <f>(N8-N7)/N7</f>
        <v>0.11610260757985427</v>
      </c>
    </row>
    <row r="9" spans="1:15" s="55" customFormat="1" x14ac:dyDescent="0.25">
      <c r="A9" s="112"/>
      <c r="B9" s="113"/>
      <c r="C9" s="113"/>
      <c r="D9" s="55">
        <v>2012</v>
      </c>
      <c r="E9" s="121">
        <f>SUM(B24:B26)</f>
        <v>166842</v>
      </c>
      <c r="F9" s="121">
        <f>SUM(B30:B32)</f>
        <v>0</v>
      </c>
      <c r="G9" s="121">
        <f>(SUM(B24:B26)+SUM(B30:B32))*0.63</f>
        <v>105110.46</v>
      </c>
      <c r="H9" s="121">
        <f>SUM(B44:B48)+SUM(B52:B57)</f>
        <v>0</v>
      </c>
      <c r="I9" s="122">
        <f>SUM(B60:B64)</f>
        <v>5220</v>
      </c>
      <c r="J9" s="121">
        <f>SUM(B68:B73)</f>
        <v>5655</v>
      </c>
      <c r="K9" s="121">
        <f>SUM(B76:B82)</f>
        <v>0</v>
      </c>
      <c r="L9" s="121">
        <f>SUM(B85:B90)</f>
        <v>0</v>
      </c>
      <c r="M9" s="123"/>
      <c r="N9" s="124">
        <f>SUM(E9:M9)</f>
        <v>282827.46000000002</v>
      </c>
      <c r="O9" s="30">
        <f>(N9-N8)/N8</f>
        <v>0.16129565511061117</v>
      </c>
    </row>
    <row r="10" spans="1:15" s="55" customFormat="1" x14ac:dyDescent="0.25">
      <c r="A10" s="112"/>
      <c r="B10" s="113"/>
      <c r="C10" s="113"/>
      <c r="D10" s="55">
        <v>2013</v>
      </c>
      <c r="E10" s="121">
        <f>SUM(C24:C26)</f>
        <v>171852</v>
      </c>
      <c r="F10" s="121">
        <f>SUM(C30:C32)</f>
        <v>0</v>
      </c>
      <c r="G10" s="121">
        <f>(SUM(C24:C26)+SUM(C30:C32))*0.63</f>
        <v>108266.76</v>
      </c>
      <c r="H10" s="121">
        <f>SUM(C44:C48)+SUM(C52:C57)</f>
        <v>0</v>
      </c>
      <c r="I10" s="122">
        <f>SUM(C60:C64)</f>
        <v>8700</v>
      </c>
      <c r="J10" s="121">
        <f>SUM(C68:C73)</f>
        <v>5655</v>
      </c>
      <c r="K10" s="121">
        <f>SUM(C76:C82)</f>
        <v>0</v>
      </c>
      <c r="L10" s="121">
        <f>SUM(C85:C90)</f>
        <v>0</v>
      </c>
      <c r="M10" s="123"/>
      <c r="N10" s="124">
        <f>SUM(E10:M10)</f>
        <v>294473.76</v>
      </c>
      <c r="O10" s="30">
        <f>(N10-N9)/N9</f>
        <v>4.1178109084598742E-2</v>
      </c>
    </row>
    <row r="11" spans="1:15" s="19" customFormat="1" ht="13.8" thickBot="1" x14ac:dyDescent="0.3">
      <c r="A11" s="71"/>
      <c r="B11" s="125"/>
      <c r="C11" s="125"/>
      <c r="D11" s="126" t="s">
        <v>23</v>
      </c>
      <c r="E11" s="127">
        <f>SUM(E9:E10)</f>
        <v>338694</v>
      </c>
      <c r="F11" s="127">
        <f t="shared" ref="F11:M11" si="0">SUM(F9:F10)</f>
        <v>0</v>
      </c>
      <c r="G11" s="127">
        <f t="shared" si="0"/>
        <v>213377.22</v>
      </c>
      <c r="H11" s="127">
        <f t="shared" si="0"/>
        <v>0</v>
      </c>
      <c r="I11" s="127">
        <f t="shared" si="0"/>
        <v>13920</v>
      </c>
      <c r="J11" s="127">
        <f t="shared" si="0"/>
        <v>11310</v>
      </c>
      <c r="K11" s="127">
        <f t="shared" si="0"/>
        <v>0</v>
      </c>
      <c r="L11" s="127">
        <f t="shared" si="0"/>
        <v>0</v>
      </c>
      <c r="M11" s="128">
        <f t="shared" si="0"/>
        <v>0</v>
      </c>
      <c r="N11" s="129">
        <f>SUM(N9:N10)</f>
        <v>577301.22</v>
      </c>
    </row>
    <row r="12" spans="1:15" ht="18" customHeight="1" x14ac:dyDescent="0.25">
      <c r="M12" s="71" t="s">
        <v>24</v>
      </c>
    </row>
    <row r="13" spans="1:15" x14ac:dyDescent="0.25">
      <c r="M13" s="71" t="s">
        <v>25</v>
      </c>
    </row>
    <row r="14" spans="1:15" ht="15.6" x14ac:dyDescent="0.3">
      <c r="B14" s="4781" t="s">
        <v>26</v>
      </c>
      <c r="C14" s="4783"/>
      <c r="D14" s="4783"/>
      <c r="E14" s="4782"/>
      <c r="F14" s="3839"/>
      <c r="G14" s="3839"/>
    </row>
    <row r="15" spans="1:15" s="55" customFormat="1" ht="15.6" x14ac:dyDescent="0.3">
      <c r="A15" s="112"/>
      <c r="B15" s="130"/>
      <c r="C15" s="131"/>
      <c r="D15" s="132"/>
      <c r="E15" s="132"/>
      <c r="F15" s="132"/>
      <c r="G15" s="132"/>
    </row>
    <row r="16" spans="1:15" s="55" customFormat="1" ht="15.6" x14ac:dyDescent="0.3">
      <c r="A16" s="112"/>
      <c r="B16" s="131"/>
      <c r="C16" s="131"/>
      <c r="D16" s="132"/>
      <c r="E16" s="132"/>
      <c r="F16" s="132"/>
      <c r="G16" s="132"/>
    </row>
    <row r="17" spans="1:10" ht="15.6" x14ac:dyDescent="0.3">
      <c r="B17" s="4800" t="s">
        <v>27</v>
      </c>
      <c r="C17" s="4800"/>
      <c r="D17" s="45" t="s">
        <v>28</v>
      </c>
      <c r="E17" s="46" t="s">
        <v>29</v>
      </c>
    </row>
    <row r="18" spans="1:10" ht="15.6" x14ac:dyDescent="0.3">
      <c r="B18" s="4780" t="s">
        <v>30</v>
      </c>
      <c r="C18" s="4780"/>
      <c r="D18" s="45"/>
      <c r="E18" s="46"/>
    </row>
    <row r="19" spans="1:10" ht="46.8" x14ac:dyDescent="0.3">
      <c r="B19" s="47">
        <v>2012</v>
      </c>
      <c r="C19" s="47">
        <v>2013</v>
      </c>
      <c r="D19" s="133" t="s">
        <v>31</v>
      </c>
      <c r="E19" s="134" t="s">
        <v>32</v>
      </c>
      <c r="H19" s="135"/>
      <c r="I19" s="135"/>
      <c r="J19" s="135"/>
    </row>
    <row r="20" spans="1:10" s="55" customFormat="1" x14ac:dyDescent="0.25">
      <c r="A20" s="136"/>
      <c r="B20" s="137"/>
      <c r="C20" s="137"/>
      <c r="D20" s="138"/>
      <c r="E20" s="139"/>
      <c r="H20" s="135"/>
      <c r="I20" s="135"/>
      <c r="J20" s="135"/>
    </row>
    <row r="21" spans="1:10" ht="13.5" customHeight="1" x14ac:dyDescent="0.25">
      <c r="B21" s="140" t="s">
        <v>9</v>
      </c>
      <c r="C21" s="140" t="s">
        <v>9</v>
      </c>
      <c r="D21" s="141"/>
      <c r="E21" s="142">
        <f>SUM(B24:B26)+SUM(C24:C26)</f>
        <v>338694</v>
      </c>
      <c r="H21" s="143"/>
      <c r="I21" s="135"/>
      <c r="J21" s="135"/>
    </row>
    <row r="22" spans="1:10" ht="7.5" customHeight="1" x14ac:dyDescent="0.25">
      <c r="B22" s="144"/>
      <c r="C22" s="144"/>
      <c r="E22" s="54"/>
      <c r="H22" s="143"/>
      <c r="I22" s="135"/>
      <c r="J22" s="135"/>
    </row>
    <row r="23" spans="1:10" x14ac:dyDescent="0.25">
      <c r="B23" s="145" t="s">
        <v>33</v>
      </c>
      <c r="C23" s="145" t="s">
        <v>33</v>
      </c>
      <c r="D23" s="146" t="s">
        <v>7</v>
      </c>
      <c r="E23" s="54"/>
      <c r="F23" s="147" t="s">
        <v>7</v>
      </c>
      <c r="H23" s="143"/>
      <c r="I23" s="135"/>
      <c r="J23" s="135"/>
    </row>
    <row r="24" spans="1:10" x14ac:dyDescent="0.25">
      <c r="B24" s="4522">
        <v>166842</v>
      </c>
      <c r="C24" s="4523">
        <v>171852</v>
      </c>
      <c r="D24" s="148" t="s">
        <v>81</v>
      </c>
      <c r="E24" s="54"/>
      <c r="F24" s="149"/>
      <c r="H24" s="143"/>
      <c r="I24" s="135"/>
      <c r="J24" s="135"/>
    </row>
    <row r="25" spans="1:10" ht="15" x14ac:dyDescent="0.4">
      <c r="B25" s="150"/>
      <c r="D25" s="151"/>
      <c r="E25" s="54"/>
      <c r="H25" s="152"/>
      <c r="I25" s="135"/>
      <c r="J25" s="135"/>
    </row>
    <row r="26" spans="1:10" x14ac:dyDescent="0.25">
      <c r="B26" s="150"/>
      <c r="D26" s="153"/>
      <c r="E26" s="54"/>
      <c r="H26" s="143"/>
      <c r="I26" s="135"/>
      <c r="J26" s="135"/>
    </row>
    <row r="27" spans="1:10" s="55" customFormat="1" ht="21" customHeight="1" x14ac:dyDescent="0.25">
      <c r="A27" s="112"/>
      <c r="B27" s="140" t="s">
        <v>10</v>
      </c>
      <c r="C27" s="140" t="s">
        <v>10</v>
      </c>
      <c r="D27" s="141"/>
      <c r="E27" s="142">
        <f>SUM(B30:B32)+SUM(C30:C32)</f>
        <v>0</v>
      </c>
    </row>
    <row r="28" spans="1:10" ht="8.25" customHeight="1" x14ac:dyDescent="0.25">
      <c r="B28" s="154"/>
      <c r="C28" s="154"/>
      <c r="D28" s="155"/>
      <c r="E28" s="54"/>
    </row>
    <row r="29" spans="1:10" s="55" customFormat="1" ht="13.5" customHeight="1" x14ac:dyDescent="0.25">
      <c r="A29" s="112"/>
      <c r="B29" s="145" t="s">
        <v>33</v>
      </c>
      <c r="C29" s="145" t="s">
        <v>33</v>
      </c>
      <c r="D29" s="155"/>
      <c r="E29" s="54"/>
    </row>
    <row r="30" spans="1:10" x14ac:dyDescent="0.25">
      <c r="B30" s="156"/>
      <c r="C30" s="157"/>
      <c r="D30" s="153"/>
      <c r="E30" s="54"/>
    </row>
    <row r="31" spans="1:10" x14ac:dyDescent="0.25">
      <c r="B31" s="157"/>
      <c r="C31" s="157"/>
      <c r="D31" s="153"/>
      <c r="E31" s="54"/>
    </row>
    <row r="32" spans="1:10" x14ac:dyDescent="0.25">
      <c r="B32" s="125"/>
      <c r="C32" s="125"/>
      <c r="D32" s="153"/>
      <c r="E32" s="54"/>
    </row>
    <row r="33" spans="1:6" x14ac:dyDescent="0.25">
      <c r="A33" s="158"/>
      <c r="B33" s="140" t="s">
        <v>11</v>
      </c>
      <c r="C33" s="140" t="s">
        <v>11</v>
      </c>
      <c r="D33" s="141"/>
      <c r="E33" s="159">
        <f>E21*0.63</f>
        <v>213377.22</v>
      </c>
      <c r="F33" s="158"/>
    </row>
    <row r="34" spans="1:6" ht="15" customHeight="1" x14ac:dyDescent="0.25">
      <c r="B34" s="144"/>
      <c r="C34" s="144"/>
      <c r="E34" s="70"/>
    </row>
    <row r="35" spans="1:6" x14ac:dyDescent="0.25">
      <c r="B35" s="160" t="s">
        <v>38</v>
      </c>
      <c r="C35" s="160" t="s">
        <v>38</v>
      </c>
      <c r="D35" s="146" t="s">
        <v>7</v>
      </c>
      <c r="E35" s="54"/>
      <c r="F35" s="161"/>
    </row>
    <row r="36" spans="1:6" x14ac:dyDescent="0.25">
      <c r="B36" s="125"/>
      <c r="C36" s="125"/>
      <c r="D36" s="153" t="s">
        <v>7</v>
      </c>
      <c r="E36" s="54"/>
    </row>
    <row r="37" spans="1:6" s="55" customFormat="1" x14ac:dyDescent="0.25">
      <c r="A37" s="112"/>
      <c r="B37" s="140" t="s">
        <v>39</v>
      </c>
      <c r="C37" s="140" t="s">
        <v>39</v>
      </c>
      <c r="D37" s="141"/>
      <c r="E37" s="142">
        <f>SUM(B39:B41)+SUM(C39:C41)</f>
        <v>0</v>
      </c>
    </row>
    <row r="38" spans="1:6" ht="7.5" customHeight="1" x14ac:dyDescent="0.25">
      <c r="B38" s="154"/>
      <c r="C38" s="154"/>
      <c r="D38" s="155"/>
      <c r="E38" s="54"/>
    </row>
    <row r="39" spans="1:6" x14ac:dyDescent="0.25">
      <c r="C39" s="157"/>
      <c r="D39" s="153"/>
      <c r="E39" s="54"/>
    </row>
    <row r="40" spans="1:6" ht="26.25" customHeight="1" x14ac:dyDescent="0.25">
      <c r="B40" s="125"/>
      <c r="C40" s="125"/>
      <c r="D40" s="153"/>
      <c r="E40" s="54"/>
    </row>
    <row r="41" spans="1:6" ht="26.25" customHeight="1" x14ac:dyDescent="0.25">
      <c r="B41" s="125"/>
      <c r="C41" s="125"/>
      <c r="D41" s="153"/>
      <c r="E41" s="54"/>
    </row>
    <row r="42" spans="1:6" x14ac:dyDescent="0.25">
      <c r="B42" s="140" t="s">
        <v>12</v>
      </c>
      <c r="C42" s="140" t="s">
        <v>12</v>
      </c>
      <c r="D42" s="141"/>
      <c r="E42" s="142">
        <f>SUM(B44:B49)+SUM(C44:C49)</f>
        <v>0</v>
      </c>
    </row>
    <row r="43" spans="1:6" ht="6.75" customHeight="1" x14ac:dyDescent="0.25">
      <c r="B43" s="162"/>
      <c r="C43" s="162"/>
      <c r="D43" s="153"/>
      <c r="E43" s="54"/>
    </row>
    <row r="44" spans="1:6" x14ac:dyDescent="0.25">
      <c r="B44" s="125">
        <v>0</v>
      </c>
      <c r="C44" s="125">
        <v>0</v>
      </c>
      <c r="D44" s="151" t="s">
        <v>82</v>
      </c>
      <c r="E44" s="54"/>
    </row>
    <row r="45" spans="1:6" x14ac:dyDescent="0.25">
      <c r="B45" s="125"/>
      <c r="C45" s="125"/>
      <c r="D45" s="153"/>
      <c r="E45" s="54"/>
    </row>
    <row r="46" spans="1:6" x14ac:dyDescent="0.25">
      <c r="B46" s="125"/>
      <c r="C46" s="125"/>
      <c r="D46" s="153"/>
      <c r="E46" s="54"/>
    </row>
    <row r="47" spans="1:6" x14ac:dyDescent="0.25">
      <c r="B47" s="125"/>
      <c r="C47" s="125"/>
      <c r="D47" s="153"/>
      <c r="E47" s="54"/>
    </row>
    <row r="48" spans="1:6" ht="27.75" customHeight="1" x14ac:dyDescent="0.25">
      <c r="B48" s="125"/>
      <c r="C48" s="125"/>
      <c r="D48" s="153"/>
      <c r="E48" s="54"/>
    </row>
    <row r="49" spans="2:5" ht="27.75" customHeight="1" x14ac:dyDescent="0.25">
      <c r="B49" s="125"/>
      <c r="C49" s="125"/>
      <c r="D49" s="153"/>
      <c r="E49" s="54"/>
    </row>
    <row r="50" spans="2:5" x14ac:dyDescent="0.25">
      <c r="B50" s="140" t="s">
        <v>40</v>
      </c>
      <c r="C50" s="140" t="s">
        <v>40</v>
      </c>
      <c r="D50" s="141"/>
      <c r="E50" s="142">
        <f>SUM(B52:B57)+SUM(C52:C57)</f>
        <v>0</v>
      </c>
    </row>
    <row r="51" spans="2:5" ht="6.75" customHeight="1" x14ac:dyDescent="0.25">
      <c r="B51" s="154"/>
      <c r="C51" s="154"/>
      <c r="D51"/>
      <c r="E51" s="75"/>
    </row>
    <row r="52" spans="2:5" x14ac:dyDescent="0.25">
      <c r="B52" s="163"/>
      <c r="C52" s="163"/>
      <c r="D52"/>
      <c r="E52" s="75"/>
    </row>
    <row r="53" spans="2:5" ht="12.75" customHeight="1" x14ac:dyDescent="0.25">
      <c r="B53" s="163"/>
      <c r="C53" s="163"/>
      <c r="D53"/>
      <c r="E53" s="75"/>
    </row>
    <row r="54" spans="2:5" x14ac:dyDescent="0.25">
      <c r="B54" s="163"/>
      <c r="C54" s="163"/>
      <c r="D54"/>
      <c r="E54" s="75"/>
    </row>
    <row r="55" spans="2:5" x14ac:dyDescent="0.25">
      <c r="B55" s="163"/>
      <c r="C55" s="163"/>
      <c r="D55"/>
      <c r="E55" s="75"/>
    </row>
    <row r="56" spans="2:5" x14ac:dyDescent="0.25">
      <c r="D56"/>
      <c r="E56" s="75"/>
    </row>
    <row r="57" spans="2:5" x14ac:dyDescent="0.25">
      <c r="E57" s="54"/>
    </row>
    <row r="58" spans="2:5" x14ac:dyDescent="0.25">
      <c r="B58" s="140" t="s">
        <v>13</v>
      </c>
      <c r="C58" s="140" t="s">
        <v>13</v>
      </c>
      <c r="D58" s="141"/>
      <c r="E58" s="142">
        <f>SUM(B60:B65)+SUM(C60:C65)</f>
        <v>13920</v>
      </c>
    </row>
    <row r="59" spans="2:5" ht="6.75" customHeight="1" x14ac:dyDescent="0.25">
      <c r="B59" s="144"/>
      <c r="C59" s="144"/>
      <c r="E59" s="54"/>
    </row>
    <row r="60" spans="2:5" x14ac:dyDescent="0.25">
      <c r="B60" s="106">
        <v>870</v>
      </c>
      <c r="C60" s="106">
        <v>4350</v>
      </c>
      <c r="D60" s="164" t="s">
        <v>83</v>
      </c>
      <c r="E60" s="54"/>
    </row>
    <row r="61" spans="2:5" x14ac:dyDescent="0.25">
      <c r="B61" s="106" t="s">
        <v>7</v>
      </c>
      <c r="D61" s="164" t="s">
        <v>42</v>
      </c>
      <c r="E61" s="54"/>
    </row>
    <row r="62" spans="2:5" ht="26.4" x14ac:dyDescent="0.25">
      <c r="B62" s="106">
        <v>4350</v>
      </c>
      <c r="C62" s="106">
        <v>4350</v>
      </c>
      <c r="D62" s="164" t="s">
        <v>84</v>
      </c>
      <c r="E62" s="54"/>
    </row>
    <row r="63" spans="2:5" x14ac:dyDescent="0.25">
      <c r="D63" s="164" t="s">
        <v>62</v>
      </c>
      <c r="E63" s="54"/>
    </row>
    <row r="64" spans="2:5" x14ac:dyDescent="0.25">
      <c r="B64" s="165"/>
      <c r="C64" s="165"/>
      <c r="D64" s="164" t="s">
        <v>45</v>
      </c>
      <c r="E64" s="54"/>
    </row>
    <row r="65" spans="1:5" x14ac:dyDescent="0.25">
      <c r="B65" s="165"/>
      <c r="C65" s="165"/>
      <c r="D65" s="164"/>
      <c r="E65" s="54"/>
    </row>
    <row r="66" spans="1:5" x14ac:dyDescent="0.25">
      <c r="B66" s="140" t="s">
        <v>14</v>
      </c>
      <c r="C66" s="140" t="s">
        <v>14</v>
      </c>
      <c r="D66" s="141"/>
      <c r="E66" s="142">
        <f>SUM(B68:B73)+SUM(C68:C73)</f>
        <v>11310</v>
      </c>
    </row>
    <row r="67" spans="1:5" ht="6" customHeight="1" x14ac:dyDescent="0.25">
      <c r="A67" s="166"/>
      <c r="B67" s="144"/>
      <c r="C67" s="144"/>
      <c r="E67" s="54"/>
    </row>
    <row r="68" spans="1:5" x14ac:dyDescent="0.25">
      <c r="B68" s="106">
        <v>5655</v>
      </c>
      <c r="C68" s="106">
        <v>5655</v>
      </c>
      <c r="D68" s="164" t="s">
        <v>1288</v>
      </c>
      <c r="E68" s="54"/>
    </row>
    <row r="69" spans="1:5" x14ac:dyDescent="0.25">
      <c r="E69" s="54"/>
    </row>
    <row r="70" spans="1:5" x14ac:dyDescent="0.25">
      <c r="E70" s="54"/>
    </row>
    <row r="71" spans="1:5" x14ac:dyDescent="0.25">
      <c r="E71" s="54"/>
    </row>
    <row r="72" spans="1:5" x14ac:dyDescent="0.25">
      <c r="E72" s="54"/>
    </row>
    <row r="73" spans="1:5" x14ac:dyDescent="0.25">
      <c r="B73" s="106" t="s">
        <v>7</v>
      </c>
      <c r="E73" s="54"/>
    </row>
    <row r="74" spans="1:5" x14ac:dyDescent="0.25">
      <c r="B74" s="140" t="s">
        <v>15</v>
      </c>
      <c r="C74" s="140" t="s">
        <v>15</v>
      </c>
      <c r="D74" s="141"/>
      <c r="E74" s="142">
        <f>SUM(B76:B82)+SUM(C76:C82)</f>
        <v>0</v>
      </c>
    </row>
    <row r="75" spans="1:5" ht="6.75" customHeight="1" x14ac:dyDescent="0.25">
      <c r="B75" s="154"/>
      <c r="C75" s="154"/>
      <c r="E75" s="54"/>
    </row>
    <row r="76" spans="1:5" s="55" customFormat="1" ht="12.75" customHeight="1" x14ac:dyDescent="0.25">
      <c r="A76" s="112"/>
      <c r="B76" s="163"/>
      <c r="C76" s="163"/>
      <c r="D76" s="167"/>
      <c r="E76" s="54"/>
    </row>
    <row r="77" spans="1:5" s="55" customFormat="1" ht="12.75" customHeight="1" x14ac:dyDescent="0.25">
      <c r="A77" s="112"/>
      <c r="B77" s="163"/>
      <c r="C77" s="163"/>
      <c r="D77" s="167"/>
      <c r="E77" s="54"/>
    </row>
    <row r="78" spans="1:5" s="55" customFormat="1" ht="12.75" customHeight="1" x14ac:dyDescent="0.25">
      <c r="A78" s="112"/>
      <c r="B78" s="163"/>
      <c r="C78" s="163"/>
      <c r="D78" s="167"/>
      <c r="E78" s="54"/>
    </row>
    <row r="79" spans="1:5" s="55" customFormat="1" ht="12.75" customHeight="1" x14ac:dyDescent="0.25">
      <c r="A79" s="112"/>
      <c r="B79" s="163"/>
      <c r="C79" s="163"/>
      <c r="D79" s="167"/>
      <c r="E79" s="54"/>
    </row>
    <row r="80" spans="1:5" s="55" customFormat="1" ht="12.75" customHeight="1" x14ac:dyDescent="0.25">
      <c r="A80" s="112"/>
      <c r="B80" s="163"/>
      <c r="C80" s="163"/>
      <c r="D80" s="167"/>
      <c r="E80" s="54"/>
    </row>
    <row r="81" spans="1:5" x14ac:dyDescent="0.25">
      <c r="D81" s="153"/>
      <c r="E81" s="54"/>
    </row>
    <row r="82" spans="1:5" x14ac:dyDescent="0.25">
      <c r="D82" s="153"/>
      <c r="E82" s="54"/>
    </row>
    <row r="83" spans="1:5" x14ac:dyDescent="0.25">
      <c r="B83" s="140" t="s">
        <v>16</v>
      </c>
      <c r="C83" s="140" t="s">
        <v>16</v>
      </c>
      <c r="D83" s="141"/>
      <c r="E83" s="142">
        <f>SUM(B85:B90)+SUM(C85:C90)</f>
        <v>0</v>
      </c>
    </row>
    <row r="84" spans="1:5" s="55" customFormat="1" ht="6.75" customHeight="1" x14ac:dyDescent="0.25">
      <c r="A84" s="112"/>
      <c r="B84" s="154"/>
      <c r="C84" s="154"/>
      <c r="D84" s="167"/>
      <c r="E84" s="54"/>
    </row>
    <row r="85" spans="1:5" s="55" customFormat="1" ht="12.75" customHeight="1" x14ac:dyDescent="0.25">
      <c r="A85" s="112"/>
      <c r="B85" s="168"/>
      <c r="C85" s="168"/>
      <c r="D85" s="169"/>
      <c r="E85" s="54"/>
    </row>
    <row r="86" spans="1:5" s="55" customFormat="1" ht="12.75" customHeight="1" x14ac:dyDescent="0.25">
      <c r="A86" s="112"/>
      <c r="B86" s="168"/>
      <c r="C86" s="168"/>
      <c r="D86" s="167"/>
      <c r="E86" s="54"/>
    </row>
    <row r="87" spans="1:5" s="55" customFormat="1" ht="12.75" customHeight="1" x14ac:dyDescent="0.25">
      <c r="A87" s="112"/>
      <c r="B87" s="168"/>
      <c r="C87" s="168"/>
      <c r="D87" s="167"/>
      <c r="E87" s="54"/>
    </row>
    <row r="88" spans="1:5" s="55" customFormat="1" x14ac:dyDescent="0.25">
      <c r="A88" s="112"/>
      <c r="B88" s="168"/>
      <c r="C88" s="168"/>
      <c r="D88" s="167"/>
      <c r="E88" s="54"/>
    </row>
    <row r="89" spans="1:5" s="55" customFormat="1" x14ac:dyDescent="0.25">
      <c r="A89" s="112"/>
      <c r="B89" s="168"/>
      <c r="C89" s="168"/>
      <c r="D89" s="167"/>
      <c r="E89" s="54"/>
    </row>
    <row r="90" spans="1:5" x14ac:dyDescent="0.25">
      <c r="B90" s="150"/>
      <c r="C90" s="150"/>
      <c r="E90" s="54"/>
    </row>
    <row r="91" spans="1:5" ht="26.4" x14ac:dyDescent="0.25">
      <c r="B91" s="140" t="s">
        <v>17</v>
      </c>
      <c r="C91" s="140" t="s">
        <v>17</v>
      </c>
      <c r="E91" s="54"/>
    </row>
    <row r="92" spans="1:5" s="55" customFormat="1" ht="6.75" customHeight="1" x14ac:dyDescent="0.25">
      <c r="A92" s="112"/>
      <c r="B92" s="154"/>
      <c r="C92" s="154"/>
      <c r="D92" s="167"/>
      <c r="E92" s="54"/>
    </row>
    <row r="93" spans="1:5" s="55" customFormat="1" x14ac:dyDescent="0.25">
      <c r="A93" s="112"/>
      <c r="B93" s="163"/>
      <c r="C93" s="163"/>
      <c r="D93" s="167"/>
      <c r="E93" s="84"/>
    </row>
    <row r="94" spans="1:5" x14ac:dyDescent="0.25">
      <c r="B94" s="156" t="s">
        <v>55</v>
      </c>
    </row>
    <row r="95" spans="1:5" x14ac:dyDescent="0.25">
      <c r="B95" s="156" t="s">
        <v>56</v>
      </c>
    </row>
    <row r="96" spans="1:5" x14ac:dyDescent="0.25">
      <c r="B96" s="156" t="s">
        <v>57</v>
      </c>
    </row>
  </sheetData>
  <customSheetViews>
    <customSheetView guid="{074EB09C-6289-46D7-9513-012B68BCA7BF}" showPageBreaks="1" topLeftCell="H1">
      <selection activeCell="L18" sqref="L18"/>
      <pageMargins left="0.7" right="0.7" top="0.75" bottom="0.75" header="0.3" footer="0.3"/>
      <pageSetup orientation="portrait" r:id="rId1"/>
    </customSheetView>
  </customSheetViews>
  <mergeCells count="3">
    <mergeCell ref="B17:C17"/>
    <mergeCell ref="B18:C18"/>
    <mergeCell ref="B14:E14"/>
  </mergeCells>
  <pageMargins left="0.7" right="0.7" top="0.4" bottom="0.47" header="0.3" footer="0.3"/>
  <pageSetup paperSize="17" scale="54" orientation="landscape"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B14" sqref="B14:E14"/>
    </sheetView>
  </sheetViews>
  <sheetFormatPr defaultColWidth="34.88671875" defaultRowHeight="13.2" x14ac:dyDescent="0.25"/>
  <cols>
    <col min="1" max="1" width="16" customWidth="1"/>
    <col min="2" max="3" width="21.5546875" customWidth="1"/>
    <col min="4" max="4" width="19.33203125" customWidth="1"/>
    <col min="5" max="5" width="24.44140625" customWidth="1"/>
    <col min="6" max="8" width="20.6640625" customWidth="1"/>
    <col min="9" max="10" width="18.88671875" customWidth="1"/>
    <col min="11" max="12" width="16.44140625" customWidth="1"/>
    <col min="13" max="13" width="17.109375" customWidth="1"/>
    <col min="14" max="14" width="20.109375" customWidth="1"/>
    <col min="15" max="15" width="24.6640625" customWidth="1"/>
  </cols>
  <sheetData>
    <row r="1" spans="1:15" ht="45" customHeight="1" x14ac:dyDescent="0.25"/>
    <row r="2" spans="1:15" ht="18" thickBot="1" x14ac:dyDescent="0.35">
      <c r="A2" s="1344"/>
      <c r="B2" s="1386" t="s">
        <v>858</v>
      </c>
      <c r="C2" s="1345"/>
      <c r="D2" s="1346"/>
      <c r="E2" s="4525" t="s">
        <v>867</v>
      </c>
      <c r="F2" s="3876" t="s">
        <v>1203</v>
      </c>
      <c r="G2" s="1344"/>
      <c r="H2" s="1344"/>
      <c r="I2" s="1344"/>
      <c r="J2" s="1344"/>
      <c r="K2" s="1344"/>
      <c r="L2" s="1344"/>
      <c r="M2" s="1344"/>
      <c r="N2" s="1344"/>
      <c r="O2" s="1344"/>
    </row>
    <row r="3" spans="1:15" ht="15.6" thickBot="1" x14ac:dyDescent="0.3">
      <c r="A3" s="1344"/>
      <c r="B3" s="1387" t="s">
        <v>5</v>
      </c>
      <c r="C3" s="1366"/>
      <c r="D3" s="1388" t="s">
        <v>78</v>
      </c>
      <c r="E3" s="1389">
        <v>18230730</v>
      </c>
      <c r="F3" s="1344"/>
      <c r="G3" s="1344"/>
      <c r="H3" s="1344"/>
      <c r="I3" s="1344"/>
      <c r="J3" s="1344"/>
      <c r="K3" s="1344"/>
      <c r="L3" s="1344"/>
      <c r="M3" s="1344"/>
      <c r="N3" s="1344"/>
      <c r="O3" s="1344"/>
    </row>
    <row r="4" spans="1:15" x14ac:dyDescent="0.25">
      <c r="B4" s="3957" t="s">
        <v>1291</v>
      </c>
    </row>
    <row r="5" spans="1:15" ht="13.8" thickBot="1" x14ac:dyDescent="0.3">
      <c r="A5" s="1373"/>
      <c r="B5" s="1344"/>
      <c r="C5" s="1344"/>
      <c r="D5" s="1346"/>
      <c r="E5" s="1454" t="s">
        <v>1286</v>
      </c>
      <c r="F5" s="1344"/>
      <c r="G5" s="1344"/>
      <c r="H5" s="1344"/>
      <c r="I5" s="1344"/>
      <c r="J5" s="1344"/>
      <c r="K5" s="1344"/>
      <c r="L5" s="1344"/>
      <c r="M5" s="1344"/>
      <c r="N5" s="1344"/>
      <c r="O5" s="1344"/>
    </row>
    <row r="6" spans="1:15" ht="26.4" x14ac:dyDescent="0.3">
      <c r="B6" s="3882"/>
      <c r="C6" s="1344"/>
      <c r="D6" s="1344"/>
      <c r="E6" s="1348" t="s">
        <v>9</v>
      </c>
      <c r="F6" s="1348" t="s">
        <v>10</v>
      </c>
      <c r="G6" s="1348" t="s">
        <v>11</v>
      </c>
      <c r="H6" s="1349" t="s">
        <v>12</v>
      </c>
      <c r="I6" s="1350" t="s">
        <v>13</v>
      </c>
      <c r="J6" s="1348" t="s">
        <v>14</v>
      </c>
      <c r="K6" s="1348" t="s">
        <v>15</v>
      </c>
      <c r="L6" s="1348" t="s">
        <v>16</v>
      </c>
      <c r="M6" s="1348" t="s">
        <v>17</v>
      </c>
      <c r="N6" s="1351" t="s">
        <v>18</v>
      </c>
      <c r="O6" s="1396" t="s">
        <v>19</v>
      </c>
    </row>
    <row r="7" spans="1:15" x14ac:dyDescent="0.25">
      <c r="A7" s="1374"/>
      <c r="B7" s="1365"/>
      <c r="C7" s="1365"/>
      <c r="D7" s="1390" t="s">
        <v>20</v>
      </c>
      <c r="E7" s="1391"/>
      <c r="F7" s="1391"/>
      <c r="G7" s="1391"/>
      <c r="H7" s="1392"/>
      <c r="I7" s="1393"/>
      <c r="J7" s="1391"/>
      <c r="K7" s="1391"/>
      <c r="L7" s="1391"/>
      <c r="M7" s="1391"/>
      <c r="N7" s="1408">
        <v>61330</v>
      </c>
      <c r="O7" s="1406" t="s">
        <v>21</v>
      </c>
    </row>
    <row r="8" spans="1:15" x14ac:dyDescent="0.25">
      <c r="A8" s="1374"/>
      <c r="B8" s="1365"/>
      <c r="C8" s="1365"/>
      <c r="D8" s="1390" t="s">
        <v>22</v>
      </c>
      <c r="E8" s="1394">
        <v>2300</v>
      </c>
      <c r="F8" s="1394">
        <v>0</v>
      </c>
      <c r="G8" s="1394">
        <v>1449</v>
      </c>
      <c r="H8" s="1394">
        <v>0</v>
      </c>
      <c r="I8" s="1394">
        <v>0</v>
      </c>
      <c r="J8" s="1394">
        <v>0</v>
      </c>
      <c r="K8" s="1394">
        <v>0</v>
      </c>
      <c r="L8" s="1394">
        <v>67300</v>
      </c>
      <c r="M8" s="1395">
        <v>0</v>
      </c>
      <c r="N8" s="1411">
        <v>71049</v>
      </c>
      <c r="O8" s="1407">
        <v>0.1584705690526659</v>
      </c>
    </row>
    <row r="9" spans="1:15" x14ac:dyDescent="0.25">
      <c r="A9" s="1374"/>
      <c r="B9" s="1365"/>
      <c r="C9" s="1365"/>
      <c r="D9" s="1365">
        <v>2012</v>
      </c>
      <c r="E9" s="1398">
        <v>0</v>
      </c>
      <c r="F9" s="1398">
        <v>0</v>
      </c>
      <c r="G9" s="1398">
        <v>0</v>
      </c>
      <c r="H9" s="1398">
        <v>0</v>
      </c>
      <c r="I9" s="1401">
        <v>0</v>
      </c>
      <c r="J9" s="1398">
        <v>0</v>
      </c>
      <c r="K9" s="1398">
        <v>0</v>
      </c>
      <c r="L9" s="1398">
        <f>SUM(B85:B90)</f>
        <v>46300</v>
      </c>
      <c r="M9" s="1404"/>
      <c r="N9" s="1409">
        <f>SUM(E9:M9)</f>
        <v>46300</v>
      </c>
      <c r="O9" s="1407">
        <v>-1</v>
      </c>
    </row>
    <row r="10" spans="1:15" x14ac:dyDescent="0.25">
      <c r="A10" s="1374"/>
      <c r="B10" s="1365"/>
      <c r="C10" s="1365"/>
      <c r="D10" s="1365">
        <v>2013</v>
      </c>
      <c r="E10" s="1398">
        <v>0</v>
      </c>
      <c r="F10" s="1398">
        <v>0</v>
      </c>
      <c r="G10" s="1398">
        <v>0</v>
      </c>
      <c r="H10" s="1398">
        <v>0</v>
      </c>
      <c r="I10" s="1401">
        <v>0</v>
      </c>
      <c r="J10" s="1398">
        <v>0</v>
      </c>
      <c r="K10" s="1398">
        <v>0</v>
      </c>
      <c r="L10" s="1398">
        <f>SUM(C85:C90)</f>
        <v>46300</v>
      </c>
      <c r="M10" s="1404"/>
      <c r="N10" s="3378">
        <f>SUM(E10:M10)</f>
        <v>46300</v>
      </c>
      <c r="O10" s="1407" t="e">
        <v>#DIV/0!</v>
      </c>
    </row>
    <row r="11" spans="1:15" ht="13.8" thickBot="1" x14ac:dyDescent="0.3">
      <c r="A11" s="1373"/>
      <c r="B11" s="1352"/>
      <c r="C11" s="1352"/>
      <c r="D11" s="1372" t="s">
        <v>23</v>
      </c>
      <c r="E11" s="1400">
        <v>0</v>
      </c>
      <c r="F11" s="1400">
        <v>0</v>
      </c>
      <c r="G11" s="1400">
        <v>0</v>
      </c>
      <c r="H11" s="1400">
        <v>0</v>
      </c>
      <c r="I11" s="1400">
        <v>0</v>
      </c>
      <c r="J11" s="1400">
        <v>0</v>
      </c>
      <c r="K11" s="1400">
        <v>0</v>
      </c>
      <c r="L11" s="1400">
        <f>SUM(L9:L10)</f>
        <v>92600</v>
      </c>
      <c r="M11" s="1405">
        <v>0</v>
      </c>
      <c r="N11" s="1410">
        <f>SUM(N9:N10)</f>
        <v>92600</v>
      </c>
      <c r="O11" s="1352"/>
    </row>
    <row r="12" spans="1:15" ht="26.4" x14ac:dyDescent="0.25">
      <c r="A12" s="1373"/>
      <c r="B12" s="1344"/>
      <c r="C12" s="1344"/>
      <c r="D12" s="1346"/>
      <c r="E12" s="1347"/>
      <c r="F12" s="1344"/>
      <c r="G12" s="1344"/>
      <c r="H12" s="1344"/>
      <c r="I12" s="1344"/>
      <c r="J12" s="1344"/>
      <c r="K12" s="1344"/>
      <c r="L12" s="1344"/>
      <c r="M12" s="1373" t="s">
        <v>24</v>
      </c>
      <c r="N12" s="1344"/>
      <c r="O12" s="1344"/>
    </row>
    <row r="13" spans="1:15" x14ac:dyDescent="0.25">
      <c r="A13" s="1373"/>
      <c r="B13" s="1344"/>
      <c r="C13" s="1344"/>
      <c r="D13" s="1346"/>
      <c r="E13" s="1347"/>
      <c r="F13" s="1344"/>
      <c r="G13" s="1344"/>
      <c r="H13" s="1344"/>
      <c r="I13" s="1344"/>
      <c r="J13" s="1344"/>
      <c r="K13" s="1344"/>
      <c r="L13" s="1344"/>
      <c r="M13" s="1373" t="s">
        <v>25</v>
      </c>
      <c r="N13" s="1344"/>
      <c r="O13" s="1344"/>
    </row>
    <row r="14" spans="1:15" ht="15.6" x14ac:dyDescent="0.3">
      <c r="A14" s="1373"/>
      <c r="B14" s="4803" t="s">
        <v>26</v>
      </c>
      <c r="C14" s="4804"/>
      <c r="D14" s="4804"/>
      <c r="E14" s="4805"/>
      <c r="F14" s="4528"/>
      <c r="G14" s="4528"/>
      <c r="H14" s="1344"/>
      <c r="I14" s="1344"/>
      <c r="J14" s="1344"/>
      <c r="K14" s="1344"/>
      <c r="L14" s="1344"/>
      <c r="M14" s="1344"/>
      <c r="N14" s="1344"/>
      <c r="O14" s="1344"/>
    </row>
    <row r="15" spans="1:15" ht="15.6" x14ac:dyDescent="0.3">
      <c r="A15" s="1374"/>
      <c r="B15" s="1381"/>
      <c r="C15" s="1380"/>
      <c r="D15" s="1380"/>
      <c r="E15" s="1380"/>
      <c r="F15" s="1380"/>
      <c r="G15" s="1380"/>
      <c r="H15" s="1365"/>
      <c r="I15" s="1365"/>
      <c r="J15" s="1365"/>
      <c r="K15" s="1365"/>
      <c r="L15" s="1365"/>
      <c r="M15" s="1365"/>
      <c r="N15" s="1365"/>
      <c r="O15" s="1365"/>
    </row>
    <row r="16" spans="1:15" ht="15.6" x14ac:dyDescent="0.3">
      <c r="A16" s="1374"/>
      <c r="B16" s="1380"/>
      <c r="C16" s="1380"/>
      <c r="D16" s="1380"/>
      <c r="E16" s="1380"/>
      <c r="F16" s="1380"/>
      <c r="G16" s="1380"/>
      <c r="H16" s="1365"/>
      <c r="I16" s="1365"/>
      <c r="J16" s="1365"/>
      <c r="K16" s="1365"/>
      <c r="L16" s="1365"/>
      <c r="M16" s="1365"/>
      <c r="N16" s="1365"/>
      <c r="O16" s="1365"/>
    </row>
    <row r="17" spans="1:7" ht="15.6" x14ac:dyDescent="0.3">
      <c r="A17" s="1373"/>
      <c r="B17" s="4801" t="s">
        <v>27</v>
      </c>
      <c r="C17" s="4801"/>
      <c r="D17" s="1361" t="s">
        <v>28</v>
      </c>
      <c r="E17" s="1362" t="s">
        <v>29</v>
      </c>
      <c r="F17" s="1344"/>
      <c r="G17" s="1344"/>
    </row>
    <row r="18" spans="1:7" ht="15.6" x14ac:dyDescent="0.3">
      <c r="A18" s="1373"/>
      <c r="B18" s="4802" t="s">
        <v>30</v>
      </c>
      <c r="C18" s="4802"/>
      <c r="D18" s="1361"/>
      <c r="E18" s="1362"/>
      <c r="F18" s="1344"/>
      <c r="G18" s="1344"/>
    </row>
    <row r="19" spans="1:7" ht="31.2" x14ac:dyDescent="0.3">
      <c r="A19" s="1373"/>
      <c r="B19" s="1360">
        <v>2012</v>
      </c>
      <c r="C19" s="1360">
        <v>2013</v>
      </c>
      <c r="D19" s="1373" t="s">
        <v>89</v>
      </c>
      <c r="E19" s="1397" t="s">
        <v>32</v>
      </c>
      <c r="F19" s="1344"/>
      <c r="G19" s="1344"/>
    </row>
    <row r="20" spans="1:7" x14ac:dyDescent="0.25">
      <c r="A20" s="1373"/>
      <c r="B20" s="1353" t="s">
        <v>9</v>
      </c>
      <c r="C20" s="1353" t="s">
        <v>9</v>
      </c>
      <c r="D20" s="1399"/>
      <c r="E20" s="1402">
        <v>0</v>
      </c>
      <c r="F20" s="1344"/>
      <c r="G20" s="1344"/>
    </row>
    <row r="21" spans="1:7" x14ac:dyDescent="0.25">
      <c r="A21" s="1373"/>
      <c r="B21" s="1376"/>
      <c r="C21" s="1376"/>
      <c r="D21" s="1346"/>
      <c r="E21" s="1382"/>
      <c r="F21" s="1344"/>
      <c r="G21" s="1344"/>
    </row>
    <row r="22" spans="1:7" x14ac:dyDescent="0.25">
      <c r="A22" s="1373"/>
      <c r="B22" s="1354" t="s">
        <v>33</v>
      </c>
      <c r="C22" s="1354" t="s">
        <v>33</v>
      </c>
      <c r="D22" s="1355" t="s">
        <v>7</v>
      </c>
      <c r="E22" s="1382"/>
      <c r="F22" s="1367" t="s">
        <v>7</v>
      </c>
      <c r="G22" s="1344"/>
    </row>
    <row r="23" spans="1:7" x14ac:dyDescent="0.25">
      <c r="A23" s="1373"/>
      <c r="B23" s="1373"/>
      <c r="C23" s="1352"/>
      <c r="D23" s="1347"/>
      <c r="E23" s="1382"/>
      <c r="F23" s="1371"/>
      <c r="G23" s="1344"/>
    </row>
    <row r="24" spans="1:7" x14ac:dyDescent="0.25">
      <c r="A24" s="1373"/>
      <c r="B24" s="1344"/>
      <c r="C24" s="1344"/>
      <c r="D24" s="1346"/>
      <c r="E24" s="1382"/>
      <c r="F24" s="1344"/>
      <c r="G24" s="1344"/>
    </row>
    <row r="25" spans="1:7" x14ac:dyDescent="0.25">
      <c r="A25" s="1373"/>
      <c r="B25" s="1344"/>
      <c r="C25" s="1344"/>
      <c r="D25" s="1346"/>
      <c r="E25" s="1382"/>
      <c r="F25" s="1344"/>
      <c r="G25" s="1344"/>
    </row>
    <row r="26" spans="1:7" x14ac:dyDescent="0.25">
      <c r="A26" s="1374"/>
      <c r="B26" s="1353" t="s">
        <v>10</v>
      </c>
      <c r="C26" s="1353" t="s">
        <v>10</v>
      </c>
      <c r="D26" s="1399"/>
      <c r="E26" s="1402">
        <v>0</v>
      </c>
      <c r="F26" s="1365"/>
      <c r="G26" s="1365"/>
    </row>
    <row r="27" spans="1:7" x14ac:dyDescent="0.25">
      <c r="A27" s="1373"/>
      <c r="B27" s="1377"/>
      <c r="C27" s="1377"/>
      <c r="D27" s="1358"/>
      <c r="E27" s="1382"/>
      <c r="F27" s="1344"/>
      <c r="G27" s="1344"/>
    </row>
    <row r="28" spans="1:7" x14ac:dyDescent="0.25">
      <c r="A28" s="1374"/>
      <c r="B28" s="1354" t="s">
        <v>33</v>
      </c>
      <c r="C28" s="1354" t="s">
        <v>33</v>
      </c>
      <c r="D28" s="1358"/>
      <c r="E28" s="1382"/>
      <c r="F28" s="1365"/>
      <c r="G28" s="1365"/>
    </row>
    <row r="29" spans="1:7" x14ac:dyDescent="0.25">
      <c r="A29" s="1373"/>
      <c r="B29" s="1370"/>
      <c r="C29" s="1359"/>
      <c r="D29" s="1356"/>
      <c r="E29" s="1382"/>
      <c r="F29" s="1344"/>
      <c r="G29" s="1344"/>
    </row>
    <row r="30" spans="1:7" x14ac:dyDescent="0.25">
      <c r="A30" s="1373"/>
      <c r="B30" s="1359"/>
      <c r="C30" s="1359"/>
      <c r="D30" s="1356"/>
      <c r="E30" s="1382"/>
      <c r="F30" s="1344"/>
      <c r="G30" s="1344"/>
    </row>
    <row r="31" spans="1:7" x14ac:dyDescent="0.25">
      <c r="A31" s="1373"/>
      <c r="B31" s="1352"/>
      <c r="C31" s="1352"/>
      <c r="D31" s="1356"/>
      <c r="E31" s="1382"/>
      <c r="F31" s="1344"/>
      <c r="G31" s="1344"/>
    </row>
    <row r="32" spans="1:7" x14ac:dyDescent="0.25">
      <c r="A32" s="1373"/>
      <c r="B32" s="1352"/>
      <c r="C32" s="1352"/>
      <c r="D32" s="1356"/>
      <c r="E32" s="1382"/>
      <c r="F32" s="1344"/>
      <c r="G32" s="1344"/>
    </row>
    <row r="33" spans="1:6" x14ac:dyDescent="0.25">
      <c r="A33" s="1373"/>
      <c r="B33" s="1353" t="s">
        <v>11</v>
      </c>
      <c r="C33" s="1353" t="s">
        <v>11</v>
      </c>
      <c r="D33" s="1399"/>
      <c r="E33" s="1402">
        <v>0</v>
      </c>
      <c r="F33" s="1344"/>
    </row>
    <row r="34" spans="1:6" x14ac:dyDescent="0.25">
      <c r="A34" s="1373"/>
      <c r="B34" s="1376"/>
      <c r="C34" s="1376"/>
      <c r="D34" s="1346"/>
      <c r="E34" s="1383"/>
      <c r="F34" s="1344"/>
    </row>
    <row r="35" spans="1:6" x14ac:dyDescent="0.25">
      <c r="A35" s="1403"/>
      <c r="B35" s="1368" t="s">
        <v>38</v>
      </c>
      <c r="C35" s="1368" t="s">
        <v>38</v>
      </c>
      <c r="D35" s="1355" t="s">
        <v>7</v>
      </c>
      <c r="E35" s="1382"/>
      <c r="F35" s="1364"/>
    </row>
    <row r="36" spans="1:6" x14ac:dyDescent="0.25">
      <c r="A36" s="1373"/>
      <c r="B36" s="1352"/>
      <c r="C36" s="1352"/>
      <c r="D36" s="1356" t="s">
        <v>7</v>
      </c>
      <c r="E36" s="1382"/>
      <c r="F36" s="1344"/>
    </row>
    <row r="37" spans="1:6" x14ac:dyDescent="0.25">
      <c r="A37" s="1374"/>
      <c r="B37" s="1353" t="s">
        <v>39</v>
      </c>
      <c r="C37" s="1353" t="s">
        <v>39</v>
      </c>
      <c r="D37" s="1399"/>
      <c r="E37" s="1402">
        <v>0</v>
      </c>
      <c r="F37" s="1365"/>
    </row>
    <row r="38" spans="1:6" x14ac:dyDescent="0.25">
      <c r="A38" s="1373"/>
      <c r="B38" s="1377"/>
      <c r="C38" s="1377"/>
      <c r="D38" s="1358"/>
      <c r="E38" s="1382"/>
      <c r="F38" s="1344"/>
    </row>
    <row r="39" spans="1:6" x14ac:dyDescent="0.25">
      <c r="A39" s="1373"/>
      <c r="B39" s="1344"/>
      <c r="C39" s="1359"/>
      <c r="D39" s="1356"/>
      <c r="E39" s="1382"/>
      <c r="F39" s="1344"/>
    </row>
    <row r="40" spans="1:6" x14ac:dyDescent="0.25">
      <c r="A40" s="1373"/>
      <c r="B40" s="1352"/>
      <c r="C40" s="1352"/>
      <c r="D40" s="1356"/>
      <c r="E40" s="1382"/>
      <c r="F40" s="1344"/>
    </row>
    <row r="41" spans="1:6" x14ac:dyDescent="0.25">
      <c r="A41" s="1373"/>
      <c r="B41" s="1352"/>
      <c r="C41" s="1352"/>
      <c r="D41" s="1356"/>
      <c r="E41" s="1382"/>
      <c r="F41" s="1344"/>
    </row>
    <row r="42" spans="1:6" x14ac:dyDescent="0.25">
      <c r="A42" s="1373"/>
      <c r="B42" s="1353" t="s">
        <v>12</v>
      </c>
      <c r="C42" s="1353" t="s">
        <v>12</v>
      </c>
      <c r="D42" s="1399"/>
      <c r="E42" s="1402">
        <v>0</v>
      </c>
      <c r="F42" s="1344"/>
    </row>
    <row r="43" spans="1:6" x14ac:dyDescent="0.25">
      <c r="A43" s="1373"/>
      <c r="B43" s="1378"/>
      <c r="C43" s="1378"/>
      <c r="D43" s="1356"/>
      <c r="E43" s="1382"/>
      <c r="F43" s="1344"/>
    </row>
    <row r="44" spans="1:6" x14ac:dyDescent="0.25">
      <c r="A44" s="1373"/>
      <c r="B44" s="1352"/>
      <c r="C44" s="1352"/>
      <c r="D44" s="1356"/>
      <c r="E44" s="1382"/>
      <c r="F44" s="1344"/>
    </row>
    <row r="45" spans="1:6" x14ac:dyDescent="0.25">
      <c r="A45" s="1373"/>
      <c r="B45" s="1352"/>
      <c r="C45" s="1352"/>
      <c r="D45" s="1356"/>
      <c r="E45" s="1382"/>
      <c r="F45" s="1344"/>
    </row>
    <row r="46" spans="1:6" x14ac:dyDescent="0.25">
      <c r="A46" s="1373"/>
      <c r="B46" s="1352"/>
      <c r="C46" s="1352"/>
      <c r="D46" s="1356"/>
      <c r="E46" s="1382"/>
      <c r="F46" s="1344"/>
    </row>
    <row r="47" spans="1:6" x14ac:dyDescent="0.25">
      <c r="A47" s="1373"/>
      <c r="B47" s="1352"/>
      <c r="C47" s="1352"/>
      <c r="D47" s="1356"/>
      <c r="E47" s="1382"/>
      <c r="F47" s="1344"/>
    </row>
    <row r="48" spans="1:6" x14ac:dyDescent="0.25">
      <c r="A48" s="1373"/>
      <c r="B48" s="1352"/>
      <c r="C48" s="1352"/>
      <c r="D48" s="1356"/>
      <c r="E48" s="1382"/>
      <c r="F48" s="1344"/>
    </row>
    <row r="49" spans="1:5" x14ac:dyDescent="0.25">
      <c r="A49" s="1373"/>
      <c r="B49" s="1352"/>
      <c r="C49" s="1352"/>
      <c r="D49" s="1356"/>
      <c r="E49" s="1382"/>
    </row>
    <row r="50" spans="1:5" x14ac:dyDescent="0.25">
      <c r="A50" s="1373"/>
      <c r="B50" s="1353" t="s">
        <v>40</v>
      </c>
      <c r="C50" s="1353" t="s">
        <v>40</v>
      </c>
      <c r="D50" s="1399"/>
      <c r="E50" s="1402">
        <v>0</v>
      </c>
    </row>
    <row r="51" spans="1:5" x14ac:dyDescent="0.25">
      <c r="A51" s="1373"/>
      <c r="B51" s="1377"/>
      <c r="C51" s="1377"/>
      <c r="D51" s="1344"/>
      <c r="E51" s="1384"/>
    </row>
    <row r="52" spans="1:5" x14ac:dyDescent="0.25">
      <c r="A52" s="1373"/>
      <c r="B52" s="1357"/>
      <c r="C52" s="1357"/>
      <c r="D52" s="1344"/>
      <c r="E52" s="1384"/>
    </row>
    <row r="53" spans="1:5" x14ac:dyDescent="0.25">
      <c r="A53" s="1373"/>
      <c r="B53" s="1357"/>
      <c r="C53" s="1357"/>
      <c r="D53" s="1344"/>
      <c r="E53" s="1384"/>
    </row>
    <row r="54" spans="1:5" x14ac:dyDescent="0.25">
      <c r="A54" s="1373"/>
      <c r="B54" s="1357"/>
      <c r="C54" s="1357"/>
      <c r="D54" s="1344"/>
      <c r="E54" s="1384"/>
    </row>
    <row r="55" spans="1:5" x14ac:dyDescent="0.25">
      <c r="A55" s="1373"/>
      <c r="B55" s="1357"/>
      <c r="C55" s="1357"/>
      <c r="D55" s="1344"/>
      <c r="E55" s="1384"/>
    </row>
    <row r="56" spans="1:5" x14ac:dyDescent="0.25">
      <c r="A56" s="1373"/>
      <c r="B56" s="1344"/>
      <c r="C56" s="1344"/>
      <c r="D56" s="1344"/>
      <c r="E56" s="1384"/>
    </row>
    <row r="57" spans="1:5" x14ac:dyDescent="0.25">
      <c r="A57" s="1373"/>
      <c r="B57" s="1344"/>
      <c r="C57" s="1344"/>
      <c r="D57" s="1346"/>
      <c r="E57" s="1382"/>
    </row>
    <row r="58" spans="1:5" x14ac:dyDescent="0.25">
      <c r="A58" s="1373"/>
      <c r="B58" s="1353" t="s">
        <v>13</v>
      </c>
      <c r="C58" s="1353" t="s">
        <v>13</v>
      </c>
      <c r="D58" s="1399"/>
      <c r="E58" s="1402">
        <v>0</v>
      </c>
    </row>
    <row r="59" spans="1:5" x14ac:dyDescent="0.25">
      <c r="A59" s="1373"/>
      <c r="B59" s="1376"/>
      <c r="C59" s="1376"/>
      <c r="D59" s="1346"/>
      <c r="E59" s="1382"/>
    </row>
    <row r="60" spans="1:5" x14ac:dyDescent="0.25">
      <c r="A60" s="1373"/>
      <c r="B60" s="1344"/>
      <c r="C60" s="1344"/>
      <c r="D60" s="1379" t="s">
        <v>72</v>
      </c>
      <c r="E60" s="1382"/>
    </row>
    <row r="61" spans="1:5" x14ac:dyDescent="0.25">
      <c r="A61" s="1373"/>
      <c r="B61" s="1344" t="s">
        <v>7</v>
      </c>
      <c r="C61" s="1344"/>
      <c r="D61" s="1379" t="s">
        <v>42</v>
      </c>
      <c r="E61" s="1382"/>
    </row>
    <row r="62" spans="1:5" x14ac:dyDescent="0.25">
      <c r="A62" s="1373"/>
      <c r="B62" s="1344"/>
      <c r="C62" s="1344"/>
      <c r="D62" s="1379" t="s">
        <v>43</v>
      </c>
      <c r="E62" s="1382"/>
    </row>
    <row r="63" spans="1:5" ht="26.4" x14ac:dyDescent="0.25">
      <c r="A63" s="1373"/>
      <c r="B63" s="1344"/>
      <c r="C63" s="1344"/>
      <c r="D63" s="1379" t="s">
        <v>62</v>
      </c>
      <c r="E63" s="1382"/>
    </row>
    <row r="64" spans="1:5" x14ac:dyDescent="0.25">
      <c r="A64" s="1373"/>
      <c r="B64" s="1369"/>
      <c r="C64" s="1369"/>
      <c r="D64" s="1379" t="s">
        <v>45</v>
      </c>
      <c r="E64" s="1382"/>
    </row>
    <row r="65" spans="1:5" x14ac:dyDescent="0.25">
      <c r="A65" s="1373"/>
      <c r="B65" s="1369"/>
      <c r="C65" s="1369"/>
      <c r="D65" s="1379"/>
      <c r="E65" s="1382"/>
    </row>
    <row r="66" spans="1:5" x14ac:dyDescent="0.25">
      <c r="A66" s="1373"/>
      <c r="B66" s="1353" t="s">
        <v>14</v>
      </c>
      <c r="C66" s="1353" t="s">
        <v>14</v>
      </c>
      <c r="D66" s="1399"/>
      <c r="E66" s="1402">
        <v>0</v>
      </c>
    </row>
    <row r="67" spans="1:5" x14ac:dyDescent="0.25">
      <c r="A67" s="1375"/>
      <c r="B67" s="1376"/>
      <c r="C67" s="1376"/>
      <c r="D67" s="1346"/>
      <c r="E67" s="1382"/>
    </row>
    <row r="68" spans="1:5" x14ac:dyDescent="0.25">
      <c r="A68" s="1373"/>
      <c r="B68" s="1344" t="s">
        <v>7</v>
      </c>
      <c r="C68" s="1344"/>
      <c r="D68" s="1346"/>
      <c r="E68" s="1382"/>
    </row>
    <row r="69" spans="1:5" x14ac:dyDescent="0.25">
      <c r="A69" s="1373"/>
      <c r="B69" s="1344"/>
      <c r="C69" s="1344"/>
      <c r="D69" s="1346"/>
      <c r="E69" s="1382"/>
    </row>
    <row r="70" spans="1:5" x14ac:dyDescent="0.25">
      <c r="A70" s="1373"/>
      <c r="B70" s="1344"/>
      <c r="C70" s="1344"/>
      <c r="D70" s="1346"/>
      <c r="E70" s="1382"/>
    </row>
    <row r="71" spans="1:5" x14ac:dyDescent="0.25">
      <c r="A71" s="1373"/>
      <c r="B71" s="1344"/>
      <c r="C71" s="1344"/>
      <c r="D71" s="1346"/>
      <c r="E71" s="1382"/>
    </row>
    <row r="72" spans="1:5" x14ac:dyDescent="0.25">
      <c r="A72" s="1373"/>
      <c r="B72" s="1344"/>
      <c r="C72" s="1344"/>
      <c r="D72" s="1346"/>
      <c r="E72" s="1382"/>
    </row>
    <row r="73" spans="1:5" x14ac:dyDescent="0.25">
      <c r="A73" s="1373"/>
      <c r="B73" s="1344" t="s">
        <v>7</v>
      </c>
      <c r="C73" s="1344"/>
      <c r="D73" s="1346"/>
      <c r="E73" s="1382"/>
    </row>
    <row r="74" spans="1:5" x14ac:dyDescent="0.25">
      <c r="A74" s="1373"/>
      <c r="B74" s="1353" t="s">
        <v>15</v>
      </c>
      <c r="C74" s="1353" t="s">
        <v>15</v>
      </c>
      <c r="D74" s="1399"/>
      <c r="E74" s="1402">
        <v>0</v>
      </c>
    </row>
    <row r="75" spans="1:5" x14ac:dyDescent="0.25">
      <c r="A75" s="1373"/>
      <c r="B75" s="1377"/>
      <c r="C75" s="1377"/>
      <c r="D75" s="1346"/>
      <c r="E75" s="1382"/>
    </row>
    <row r="76" spans="1:5" ht="26.4" x14ac:dyDescent="0.25">
      <c r="A76" s="1374" t="s">
        <v>47</v>
      </c>
      <c r="B76" s="1357"/>
      <c r="C76" s="1357"/>
      <c r="D76" s="1363"/>
      <c r="E76" s="1382"/>
    </row>
    <row r="77" spans="1:5" ht="39.6" x14ac:dyDescent="0.25">
      <c r="A77" s="1374" t="s">
        <v>48</v>
      </c>
      <c r="B77" s="1357"/>
      <c r="C77" s="1357"/>
      <c r="D77" s="1363"/>
      <c r="E77" s="1382"/>
    </row>
    <row r="78" spans="1:5" x14ac:dyDescent="0.25">
      <c r="A78" s="1374" t="s">
        <v>49</v>
      </c>
      <c r="B78" s="1357"/>
      <c r="C78" s="1357"/>
      <c r="D78" s="1363"/>
      <c r="E78" s="1382"/>
    </row>
    <row r="79" spans="1:5" ht="26.4" x14ac:dyDescent="0.25">
      <c r="A79" s="1374" t="s">
        <v>50</v>
      </c>
      <c r="B79" s="1357"/>
      <c r="C79" s="1357"/>
      <c r="D79" s="1363"/>
      <c r="E79" s="1382"/>
    </row>
    <row r="80" spans="1:5" ht="26.4" x14ac:dyDescent="0.25">
      <c r="A80" s="1374" t="s">
        <v>51</v>
      </c>
      <c r="B80" s="1357"/>
      <c r="C80" s="1357"/>
      <c r="D80" s="1363"/>
      <c r="E80" s="1382"/>
    </row>
    <row r="81" spans="1:5" ht="26.4" x14ac:dyDescent="0.25">
      <c r="A81" s="1373" t="s">
        <v>52</v>
      </c>
      <c r="B81" s="1344"/>
      <c r="C81" s="1344"/>
      <c r="D81" s="1356"/>
      <c r="E81" s="1382"/>
    </row>
    <row r="82" spans="1:5" x14ac:dyDescent="0.25">
      <c r="A82" s="1373"/>
      <c r="B82" s="1344"/>
      <c r="C82" s="1344"/>
      <c r="D82" s="1356"/>
      <c r="E82" s="1382"/>
    </row>
    <row r="83" spans="1:5" x14ac:dyDescent="0.25">
      <c r="A83" s="1373"/>
      <c r="B83" s="1353" t="s">
        <v>16</v>
      </c>
      <c r="C83" s="1353" t="s">
        <v>16</v>
      </c>
      <c r="D83" s="1399"/>
      <c r="E83" s="1402">
        <f>SUM(B85:B90)+SUM(C85:C90)</f>
        <v>92600</v>
      </c>
    </row>
    <row r="84" spans="1:5" x14ac:dyDescent="0.25">
      <c r="A84" s="1374"/>
      <c r="B84" s="1377"/>
      <c r="C84" s="1377"/>
      <c r="D84" s="1363"/>
      <c r="E84" s="1382"/>
    </row>
    <row r="85" spans="1:5" x14ac:dyDescent="0.25">
      <c r="A85" s="1374"/>
      <c r="B85" s="3353">
        <v>29300</v>
      </c>
      <c r="C85" s="3353">
        <v>29300</v>
      </c>
      <c r="D85" s="3377" t="s">
        <v>1079</v>
      </c>
      <c r="E85" s="1382"/>
    </row>
    <row r="86" spans="1:5" x14ac:dyDescent="0.25">
      <c r="A86" s="1374"/>
      <c r="B86" s="3353">
        <v>14000</v>
      </c>
      <c r="C86" s="3353">
        <v>14000</v>
      </c>
      <c r="D86" s="3377" t="s">
        <v>1080</v>
      </c>
      <c r="E86" s="1382"/>
    </row>
    <row r="87" spans="1:5" x14ac:dyDescent="0.25">
      <c r="A87" s="1374"/>
      <c r="B87" s="3353">
        <v>2000</v>
      </c>
      <c r="C87" s="3353">
        <v>2000</v>
      </c>
      <c r="D87" s="3377" t="s">
        <v>1081</v>
      </c>
      <c r="E87" s="1382"/>
    </row>
    <row r="88" spans="1:5" x14ac:dyDescent="0.25">
      <c r="A88" s="1374"/>
      <c r="B88" s="3353">
        <v>1000</v>
      </c>
      <c r="C88" s="3353">
        <v>1000</v>
      </c>
      <c r="D88" s="3377" t="s">
        <v>1082</v>
      </c>
      <c r="E88" s="1382"/>
    </row>
    <row r="89" spans="1:5" x14ac:dyDescent="0.25">
      <c r="A89" s="1374"/>
      <c r="B89" s="3352"/>
      <c r="C89" s="3352"/>
      <c r="D89" s="1363"/>
      <c r="E89" s="1382"/>
    </row>
    <row r="90" spans="1:5" x14ac:dyDescent="0.25">
      <c r="A90" s="1373"/>
      <c r="B90" s="62"/>
      <c r="C90" s="62"/>
      <c r="D90" s="1346"/>
      <c r="E90" s="1382"/>
    </row>
    <row r="91" spans="1:5" ht="26.4" x14ac:dyDescent="0.25">
      <c r="A91" s="1373"/>
      <c r="B91" s="1353" t="s">
        <v>17</v>
      </c>
      <c r="C91" s="1353" t="s">
        <v>17</v>
      </c>
      <c r="D91" s="1346"/>
      <c r="E91" s="1382"/>
    </row>
    <row r="92" spans="1:5" x14ac:dyDescent="0.25">
      <c r="A92" s="1374"/>
      <c r="B92" s="1377"/>
      <c r="C92" s="1377"/>
      <c r="D92" s="1363"/>
      <c r="E92" s="1382"/>
    </row>
    <row r="93" spans="1:5" x14ac:dyDescent="0.25">
      <c r="A93" s="1374"/>
      <c r="B93" s="1357"/>
      <c r="C93" s="1357"/>
      <c r="D93" s="1363"/>
      <c r="E93" s="1385"/>
    </row>
    <row r="94" spans="1:5" x14ac:dyDescent="0.25">
      <c r="A94" s="1373"/>
      <c r="B94" s="1370" t="s">
        <v>55</v>
      </c>
      <c r="C94" s="1344"/>
      <c r="D94" s="1346"/>
      <c r="E94" s="1347"/>
    </row>
    <row r="95" spans="1:5" x14ac:dyDescent="0.25">
      <c r="A95" s="1373"/>
      <c r="B95" s="1370" t="s">
        <v>56</v>
      </c>
      <c r="C95" s="1344"/>
      <c r="D95" s="1346"/>
      <c r="E95" s="1347"/>
    </row>
    <row r="96" spans="1:5" x14ac:dyDescent="0.25">
      <c r="A96" s="1373"/>
      <c r="B96" s="1370" t="s">
        <v>57</v>
      </c>
      <c r="C96" s="1344"/>
      <c r="D96" s="1346"/>
      <c r="E96" s="1347"/>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1" right="0.32" top="0.38" bottom="0.39" header="0.3" footer="0.3"/>
  <pageSetup paperSize="17" scale="52" orientation="landscape"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
  <sheetViews>
    <sheetView workbookViewId="0">
      <pane xSplit="1" ySplit="1" topLeftCell="B2" activePane="bottomRight" state="frozen"/>
      <selection pane="topRight" activeCell="B1" sqref="B1"/>
      <selection pane="bottomLeft" activeCell="A2" sqref="A2"/>
      <selection pane="bottomRight" activeCell="C6" sqref="C6"/>
    </sheetView>
  </sheetViews>
  <sheetFormatPr defaultRowHeight="13.2" x14ac:dyDescent="0.25"/>
  <cols>
    <col min="1" max="1" width="16" customWidth="1"/>
    <col min="2" max="2" width="20.6640625" customWidth="1"/>
    <col min="3" max="3" width="21" style="2" customWidth="1"/>
    <col min="4" max="4" width="23.5546875" style="3" customWidth="1"/>
    <col min="5" max="9" width="18.88671875" customWidth="1"/>
    <col min="10" max="10" width="17.5546875" customWidth="1"/>
    <col min="11" max="12" width="24.44140625" customWidth="1"/>
    <col min="13" max="13" width="19.44140625" customWidth="1"/>
    <col min="14" max="14" width="13.33203125" customWidth="1"/>
    <col min="15" max="15" width="17.109375" customWidth="1"/>
  </cols>
  <sheetData>
    <row r="1" spans="1:15" ht="41.25" customHeight="1" x14ac:dyDescent="0.25"/>
    <row r="2" spans="1:15" ht="18" thickBot="1" x14ac:dyDescent="0.35">
      <c r="B2" s="1" t="s">
        <v>1289</v>
      </c>
      <c r="C2" s="170"/>
      <c r="D2" s="2"/>
      <c r="E2" s="3"/>
    </row>
    <row r="3" spans="1:15" ht="15.6" thickBot="1" x14ac:dyDescent="0.3">
      <c r="B3" s="5" t="s">
        <v>5</v>
      </c>
      <c r="C3" s="171"/>
      <c r="D3" s="6" t="s">
        <v>78</v>
      </c>
      <c r="E3" s="104" t="s">
        <v>105</v>
      </c>
      <c r="F3" s="3877" t="s">
        <v>1204</v>
      </c>
    </row>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869866</v>
      </c>
      <c r="O7" s="26" t="s">
        <v>21</v>
      </c>
    </row>
    <row r="8" spans="1:15" s="55" customFormat="1" x14ac:dyDescent="0.25">
      <c r="A8" s="112"/>
      <c r="D8" s="114" t="s">
        <v>22</v>
      </c>
      <c r="E8" s="28">
        <v>263200</v>
      </c>
      <c r="F8" s="28">
        <v>0</v>
      </c>
      <c r="G8" s="28">
        <v>165816</v>
      </c>
      <c r="H8" s="28">
        <v>0</v>
      </c>
      <c r="I8" s="28">
        <v>3200</v>
      </c>
      <c r="J8" s="28">
        <v>508000</v>
      </c>
      <c r="K8" s="28">
        <v>3200</v>
      </c>
      <c r="L8" s="28">
        <v>1600</v>
      </c>
      <c r="M8" s="28">
        <v>0</v>
      </c>
      <c r="N8" s="89">
        <v>945016</v>
      </c>
      <c r="O8" s="30">
        <f>(N8-N7)/N7</f>
        <v>8.6392616793851004E-2</v>
      </c>
    </row>
    <row r="9" spans="1:15" s="55" customFormat="1" x14ac:dyDescent="0.25">
      <c r="A9" s="112"/>
      <c r="D9" s="55">
        <v>2012</v>
      </c>
      <c r="E9" s="121">
        <f>SUM(B23:B25)</f>
        <v>189749</v>
      </c>
      <c r="F9" s="121">
        <f>SUM(B29:B31)</f>
        <v>0</v>
      </c>
      <c r="G9" s="121">
        <f>(SUM(B23:B25)+SUM(B29:B31))*0.63</f>
        <v>119541.87</v>
      </c>
      <c r="H9" s="121">
        <f>SUM(B44:B48)+SUM(B52:B57)</f>
        <v>0</v>
      </c>
      <c r="I9" s="122">
        <f>SUM(B60:B64)</f>
        <v>3250</v>
      </c>
      <c r="J9" s="121">
        <f>SUM(B68:B75)</f>
        <v>252300</v>
      </c>
      <c r="K9" s="121">
        <f>SUM(B79:B85)</f>
        <v>1350</v>
      </c>
      <c r="L9" s="121">
        <f>SUM(B88:B93)</f>
        <v>1000</v>
      </c>
      <c r="M9" s="123"/>
      <c r="N9" s="124">
        <f>SUM(E9:M9)</f>
        <v>567190.87</v>
      </c>
      <c r="O9" s="30">
        <f>(N9-N8)/N8</f>
        <v>-0.39980818314187272</v>
      </c>
    </row>
    <row r="10" spans="1:15" s="55" customFormat="1" x14ac:dyDescent="0.25">
      <c r="A10" s="112"/>
      <c r="D10" s="55">
        <v>2013</v>
      </c>
      <c r="E10" s="121">
        <f>SUM(C23:C25)</f>
        <v>195442</v>
      </c>
      <c r="F10" s="121">
        <f>SUM(C29:C31)</f>
        <v>0</v>
      </c>
      <c r="G10" s="121">
        <f>(SUM(C23:C25)+SUM(C29:C31))*0.63</f>
        <v>123128.46</v>
      </c>
      <c r="H10" s="121">
        <f>SUM(C44:C48)+SUM(C52:C57)</f>
        <v>0</v>
      </c>
      <c r="I10" s="122">
        <f>SUM(C60:C64)</f>
        <v>3275</v>
      </c>
      <c r="J10" s="121">
        <f>SUM(C68:C75)</f>
        <v>334950</v>
      </c>
      <c r="K10" s="121">
        <f>SUM(C79:C85)</f>
        <v>1350</v>
      </c>
      <c r="L10" s="121">
        <f>SUM(C88:C93)</f>
        <v>1000</v>
      </c>
      <c r="M10" s="123"/>
      <c r="N10" s="124">
        <f>SUM(E10:M10)</f>
        <v>659145.46</v>
      </c>
      <c r="O10" s="30">
        <f>(N10-N9)/N9</f>
        <v>0.16212283177266229</v>
      </c>
    </row>
    <row r="11" spans="1:15" s="19" customFormat="1" ht="13.8" thickBot="1" x14ac:dyDescent="0.3">
      <c r="A11" s="71"/>
      <c r="D11" s="126" t="s">
        <v>23</v>
      </c>
      <c r="E11" s="127">
        <f>SUM(E9:E10)</f>
        <v>385191</v>
      </c>
      <c r="F11" s="127">
        <f t="shared" ref="F11:M11" si="0">SUM(F9:F10)</f>
        <v>0</v>
      </c>
      <c r="G11" s="127">
        <f t="shared" si="0"/>
        <v>242670.33000000002</v>
      </c>
      <c r="H11" s="127">
        <f t="shared" si="0"/>
        <v>0</v>
      </c>
      <c r="I11" s="127">
        <f t="shared" si="0"/>
        <v>6525</v>
      </c>
      <c r="J11" s="127">
        <f t="shared" si="0"/>
        <v>587250</v>
      </c>
      <c r="K11" s="127">
        <f t="shared" si="0"/>
        <v>2700</v>
      </c>
      <c r="L11" s="127">
        <f t="shared" si="0"/>
        <v>2000</v>
      </c>
      <c r="M11" s="128">
        <f t="shared" si="0"/>
        <v>0</v>
      </c>
      <c r="N11" s="129">
        <f>SUM(N9:N10)</f>
        <v>1226336.33</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385191</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181">
        <v>189749</v>
      </c>
      <c r="C23" s="182">
        <v>195442</v>
      </c>
      <c r="D23" s="3" t="s">
        <v>93</v>
      </c>
      <c r="E23" s="54"/>
      <c r="F23" s="149"/>
    </row>
    <row r="24" spans="1:6" x14ac:dyDescent="0.25">
      <c r="A24" s="71"/>
      <c r="B24" s="183"/>
      <c r="C24" s="183"/>
      <c r="D24" s="2"/>
      <c r="E24" s="54"/>
    </row>
    <row r="25" spans="1:6" x14ac:dyDescent="0.25">
      <c r="A25" s="71"/>
      <c r="B25" s="183"/>
      <c r="C25" s="183"/>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242670.33</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ht="26.4" x14ac:dyDescent="0.25">
      <c r="A50" s="71"/>
      <c r="B50" s="178" t="s">
        <v>40</v>
      </c>
      <c r="C50" s="178" t="s">
        <v>40</v>
      </c>
      <c r="D50" s="141"/>
      <c r="E50" s="142">
        <f>SUM(B52:B57)+SUM(C52:C57)</f>
        <v>0</v>
      </c>
    </row>
    <row r="51" spans="1:5" ht="6.75" customHeight="1" x14ac:dyDescent="0.25">
      <c r="A51" s="71"/>
      <c r="B51" s="184"/>
      <c r="C51" s="184"/>
      <c r="D51"/>
      <c r="E51" s="75"/>
    </row>
    <row r="52" spans="1:5" x14ac:dyDescent="0.25">
      <c r="A52" s="71"/>
      <c r="B52" s="188"/>
      <c r="C52" s="188"/>
      <c r="D52"/>
      <c r="E52" s="75"/>
    </row>
    <row r="53" spans="1:5" ht="12.75" customHeight="1"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6525</v>
      </c>
    </row>
    <row r="59" spans="1:5" ht="6.75" customHeight="1" x14ac:dyDescent="0.25">
      <c r="A59" s="71"/>
      <c r="B59" s="179"/>
      <c r="C59" s="179"/>
      <c r="D59" s="2"/>
      <c r="E59" s="54"/>
    </row>
    <row r="60" spans="1:5" x14ac:dyDescent="0.25">
      <c r="A60" s="71"/>
      <c r="B60" s="86">
        <v>1250</v>
      </c>
      <c r="C60" s="86">
        <v>1250</v>
      </c>
      <c r="D60" s="164" t="s">
        <v>72</v>
      </c>
      <c r="E60" s="54"/>
    </row>
    <row r="61" spans="1:5" x14ac:dyDescent="0.25">
      <c r="A61" s="71"/>
      <c r="B61" s="86">
        <v>1250</v>
      </c>
      <c r="C61" s="86">
        <v>1250</v>
      </c>
      <c r="D61" s="164" t="s">
        <v>42</v>
      </c>
      <c r="E61" s="54"/>
    </row>
    <row r="62" spans="1:5" x14ac:dyDescent="0.25">
      <c r="A62" s="71"/>
      <c r="B62" s="86">
        <v>250</v>
      </c>
      <c r="C62" s="86">
        <v>250</v>
      </c>
      <c r="D62" s="164" t="s">
        <v>43</v>
      </c>
      <c r="E62" s="54"/>
    </row>
    <row r="63" spans="1:5" x14ac:dyDescent="0.25">
      <c r="A63" s="71"/>
      <c r="B63" s="86">
        <v>500</v>
      </c>
      <c r="C63" s="86">
        <v>525</v>
      </c>
      <c r="D63" s="164" t="s">
        <v>62</v>
      </c>
      <c r="E63" s="54"/>
    </row>
    <row r="64" spans="1:5" x14ac:dyDescent="0.25">
      <c r="A64" s="71"/>
      <c r="B64" s="189"/>
      <c r="C64" s="189"/>
      <c r="D64" s="164" t="s">
        <v>45</v>
      </c>
      <c r="E64" s="54"/>
    </row>
    <row r="65" spans="1:5" x14ac:dyDescent="0.25">
      <c r="A65" s="71"/>
      <c r="B65" s="189"/>
      <c r="C65" s="189"/>
      <c r="D65" s="164"/>
      <c r="E65" s="54"/>
    </row>
    <row r="66" spans="1:5" x14ac:dyDescent="0.25">
      <c r="A66" s="71"/>
      <c r="B66" s="178" t="s">
        <v>14</v>
      </c>
      <c r="C66" s="178" t="s">
        <v>14</v>
      </c>
      <c r="D66" s="141"/>
      <c r="E66" s="142">
        <f>SUM(B68:B75)+SUM(C68:C75)</f>
        <v>587250</v>
      </c>
    </row>
    <row r="67" spans="1:5" ht="6" customHeight="1" x14ac:dyDescent="0.25">
      <c r="A67" s="166"/>
      <c r="B67" s="179"/>
      <c r="C67" s="179"/>
      <c r="D67" s="2"/>
      <c r="E67" s="54"/>
    </row>
    <row r="68" spans="1:5" x14ac:dyDescent="0.25">
      <c r="A68" s="71"/>
      <c r="B68" s="3914">
        <v>34800</v>
      </c>
      <c r="C68" s="3914">
        <v>73950</v>
      </c>
      <c r="D68" s="2" t="s">
        <v>94</v>
      </c>
      <c r="E68" s="54"/>
    </row>
    <row r="69" spans="1:5" x14ac:dyDescent="0.25">
      <c r="A69" s="71"/>
      <c r="B69" s="3914">
        <v>52200</v>
      </c>
      <c r="C69" s="3914">
        <v>52200</v>
      </c>
      <c r="D69" s="2" t="s">
        <v>95</v>
      </c>
      <c r="E69" s="54"/>
    </row>
    <row r="70" spans="1:5" x14ac:dyDescent="0.25">
      <c r="A70" s="71"/>
      <c r="B70" s="3914">
        <v>43500</v>
      </c>
      <c r="C70" s="3914">
        <v>87000</v>
      </c>
      <c r="D70" s="2" t="s">
        <v>96</v>
      </c>
      <c r="E70" s="54"/>
    </row>
    <row r="71" spans="1:5" ht="26.4" x14ac:dyDescent="0.25">
      <c r="A71" s="71"/>
      <c r="B71" s="3914">
        <v>34800</v>
      </c>
      <c r="C71" s="3914">
        <v>34800</v>
      </c>
      <c r="D71" s="2" t="s">
        <v>97</v>
      </c>
      <c r="E71" s="54"/>
    </row>
    <row r="72" spans="1:5" ht="26.4" x14ac:dyDescent="0.25">
      <c r="A72" s="71"/>
      <c r="B72" s="3914">
        <v>13050</v>
      </c>
      <c r="C72" s="3914">
        <v>13050</v>
      </c>
      <c r="D72" s="2" t="s">
        <v>98</v>
      </c>
      <c r="E72" s="54"/>
    </row>
    <row r="73" spans="1:5" x14ac:dyDescent="0.25">
      <c r="A73" s="71"/>
      <c r="B73" s="3914">
        <v>43500</v>
      </c>
      <c r="C73" s="3914">
        <v>43500</v>
      </c>
      <c r="D73" s="2" t="s">
        <v>99</v>
      </c>
      <c r="E73" s="54"/>
    </row>
    <row r="74" spans="1:5" ht="26.4" x14ac:dyDescent="0.25">
      <c r="A74" s="71"/>
      <c r="B74" s="3914">
        <v>8700</v>
      </c>
      <c r="C74" s="3914">
        <v>8700</v>
      </c>
      <c r="D74" s="2" t="s">
        <v>100</v>
      </c>
      <c r="E74" s="54"/>
    </row>
    <row r="75" spans="1:5" ht="26.4" x14ac:dyDescent="0.25">
      <c r="A75" s="71"/>
      <c r="B75" s="3914">
        <v>21750</v>
      </c>
      <c r="C75" s="3914">
        <v>21750</v>
      </c>
      <c r="D75" s="2" t="s">
        <v>101</v>
      </c>
      <c r="E75" s="54"/>
    </row>
    <row r="76" spans="1:5" x14ac:dyDescent="0.25">
      <c r="A76" s="71"/>
      <c r="E76" s="54"/>
    </row>
    <row r="77" spans="1:5" x14ac:dyDescent="0.25">
      <c r="A77" s="71"/>
      <c r="B77" s="178" t="s">
        <v>15</v>
      </c>
      <c r="C77" s="178" t="s">
        <v>15</v>
      </c>
      <c r="D77" s="141"/>
      <c r="E77" s="142">
        <f>SUM(B79:B85)+SUM(C79:C85)</f>
        <v>2700</v>
      </c>
    </row>
    <row r="78" spans="1:5" ht="6.75" customHeight="1" x14ac:dyDescent="0.25">
      <c r="A78" s="71"/>
      <c r="B78" s="184"/>
      <c r="C78" s="184"/>
      <c r="D78" s="2"/>
      <c r="E78" s="54"/>
    </row>
    <row r="79" spans="1:5" s="55" customFormat="1" ht="26.4" x14ac:dyDescent="0.25">
      <c r="A79" s="112"/>
      <c r="B79" s="193">
        <v>1350</v>
      </c>
      <c r="C79" s="193">
        <v>1350</v>
      </c>
      <c r="D79" s="169" t="s">
        <v>102</v>
      </c>
      <c r="E79" s="54"/>
    </row>
    <row r="80" spans="1:5" s="55" customFormat="1" ht="12.75" customHeight="1" x14ac:dyDescent="0.25">
      <c r="A80" s="112"/>
      <c r="B80" s="194"/>
      <c r="C80" s="194"/>
      <c r="D80" s="167"/>
      <c r="E80" s="54"/>
    </row>
    <row r="81" spans="1:5" s="55" customFormat="1" ht="12.75" customHeight="1" x14ac:dyDescent="0.25">
      <c r="A81" s="112"/>
      <c r="B81" s="194"/>
      <c r="C81" s="194"/>
      <c r="D81" s="167"/>
      <c r="E81" s="54"/>
    </row>
    <row r="82" spans="1:5" s="55" customFormat="1" ht="12.75" customHeight="1" x14ac:dyDescent="0.25">
      <c r="A82" s="112"/>
      <c r="B82" s="194"/>
      <c r="C82" s="194"/>
      <c r="D82" s="167"/>
      <c r="E82" s="54"/>
    </row>
    <row r="83" spans="1:5" s="55" customFormat="1" ht="12.75" customHeight="1" x14ac:dyDescent="0.25">
      <c r="A83" s="112"/>
      <c r="B83" s="194"/>
      <c r="C83" s="194"/>
      <c r="D83" s="167"/>
      <c r="E83" s="54"/>
    </row>
    <row r="84" spans="1:5" x14ac:dyDescent="0.25">
      <c r="A84" s="71"/>
      <c r="B84" s="86"/>
      <c r="C84" s="86"/>
      <c r="D84" s="153"/>
      <c r="E84" s="54"/>
    </row>
    <row r="85" spans="1:5" x14ac:dyDescent="0.25">
      <c r="A85" s="71"/>
      <c r="B85" s="86"/>
      <c r="C85" s="86"/>
      <c r="D85" s="153"/>
      <c r="E85" s="54"/>
    </row>
    <row r="86" spans="1:5" x14ac:dyDescent="0.25">
      <c r="A86" s="71"/>
      <c r="B86" s="178" t="s">
        <v>16</v>
      </c>
      <c r="C86" s="178" t="s">
        <v>16</v>
      </c>
      <c r="D86" s="141"/>
      <c r="E86" s="142">
        <f>SUM(B88:B93)+SUM(C88:C93)</f>
        <v>2000</v>
      </c>
    </row>
    <row r="87" spans="1:5" s="55" customFormat="1" ht="6.75" customHeight="1" x14ac:dyDescent="0.25">
      <c r="A87" s="112"/>
      <c r="B87" s="184"/>
      <c r="C87" s="184"/>
      <c r="D87" s="167"/>
      <c r="E87" s="54"/>
    </row>
    <row r="88" spans="1:5" s="55" customFormat="1" ht="26.4" x14ac:dyDescent="0.25">
      <c r="A88" s="112"/>
      <c r="B88" s="193">
        <v>1000</v>
      </c>
      <c r="C88" s="193">
        <v>1000</v>
      </c>
      <c r="D88" s="169" t="s">
        <v>103</v>
      </c>
      <c r="E88" s="54"/>
    </row>
    <row r="89" spans="1:5" s="55" customFormat="1" ht="12.75" customHeight="1" x14ac:dyDescent="0.25">
      <c r="A89" s="112"/>
      <c r="B89" s="194"/>
      <c r="C89" s="194"/>
      <c r="D89" s="167"/>
      <c r="E89" s="54"/>
    </row>
    <row r="90" spans="1:5" s="55" customFormat="1" ht="12.75" customHeight="1" x14ac:dyDescent="0.25">
      <c r="A90" s="112"/>
      <c r="B90" s="194"/>
      <c r="C90" s="194"/>
      <c r="D90" s="167"/>
      <c r="E90" s="54"/>
    </row>
    <row r="91" spans="1:5" s="55" customFormat="1" x14ac:dyDescent="0.25">
      <c r="A91" s="112"/>
      <c r="B91" s="194"/>
      <c r="C91" s="194"/>
      <c r="D91" s="167"/>
      <c r="E91" s="54"/>
    </row>
    <row r="92" spans="1:5" s="55" customFormat="1" x14ac:dyDescent="0.25">
      <c r="A92" s="112"/>
      <c r="B92" s="194"/>
      <c r="C92" s="194"/>
      <c r="D92" s="167"/>
      <c r="E92" s="54"/>
    </row>
    <row r="93" spans="1:5" x14ac:dyDescent="0.25">
      <c r="A93" s="71"/>
      <c r="B93" s="86"/>
      <c r="C93" s="86"/>
      <c r="D93" s="2"/>
      <c r="E93" s="54"/>
    </row>
    <row r="94" spans="1:5" ht="26.4" x14ac:dyDescent="0.25">
      <c r="A94" s="71"/>
      <c r="B94" s="178" t="s">
        <v>17</v>
      </c>
      <c r="C94" s="178" t="s">
        <v>17</v>
      </c>
      <c r="D94" s="2"/>
      <c r="E94" s="54"/>
    </row>
    <row r="95" spans="1:5" s="55" customFormat="1" ht="6.75" customHeight="1" x14ac:dyDescent="0.25">
      <c r="A95" s="112"/>
      <c r="B95" s="184"/>
      <c r="C95" s="184"/>
      <c r="D95" s="167"/>
      <c r="E95" s="54"/>
    </row>
    <row r="96" spans="1:5" s="55" customFormat="1" x14ac:dyDescent="0.25">
      <c r="A96" s="112"/>
      <c r="B96" s="188"/>
      <c r="C96" s="188"/>
      <c r="D96" s="167"/>
      <c r="E96" s="84"/>
    </row>
    <row r="97" spans="1:5" x14ac:dyDescent="0.25">
      <c r="A97" s="71"/>
      <c r="B97" s="88" t="s">
        <v>55</v>
      </c>
      <c r="C97"/>
      <c r="D97" s="2"/>
      <c r="E97" s="3"/>
    </row>
    <row r="98" spans="1:5" x14ac:dyDescent="0.25">
      <c r="A98" s="71"/>
      <c r="B98" s="88" t="s">
        <v>56</v>
      </c>
      <c r="C98"/>
      <c r="D98" s="2"/>
      <c r="E98" s="3"/>
    </row>
    <row r="99" spans="1:5" x14ac:dyDescent="0.25">
      <c r="A99" s="71"/>
      <c r="B99" s="88" t="s">
        <v>57</v>
      </c>
      <c r="C99"/>
      <c r="D99" s="2"/>
      <c r="E99"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17" right="0.24" top="0.35" bottom="0.4" header="0.3" footer="0.3"/>
  <pageSetup paperSize="17" scale="50" orientation="landscape"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N43" sqref="N43"/>
    </sheetView>
  </sheetViews>
  <sheetFormatPr defaultRowHeight="13.2" x14ac:dyDescent="0.25"/>
  <sheetData>
    <row r="1" spans="1:1" x14ac:dyDescent="0.25">
      <c r="A1" t="s">
        <v>1</v>
      </c>
    </row>
  </sheetData>
  <customSheetViews>
    <customSheetView guid="{074EB09C-6289-46D7-9513-012B68BCA7BF}" showPageBreaks="1">
      <selection activeCell="N43" sqref="N43"/>
      <pageMargins left="0.7" right="0.7" top="0.75" bottom="0.75" header="0.3" footer="0.3"/>
      <pageSetup orientation="portrait" r:id="rId1"/>
    </customSheetView>
  </customSheetViews>
  <pageMargins left="0.7" right="0.7" top="0.75" bottom="0.75" header="0.3" footer="0.3"/>
  <pageSetup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6"/>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3.2" x14ac:dyDescent="0.25"/>
  <cols>
    <col min="1" max="1" width="15.5546875" style="3369" customWidth="1"/>
    <col min="2" max="2" width="16.5546875" customWidth="1"/>
    <col min="3" max="3" width="21.6640625" customWidth="1"/>
    <col min="4" max="6" width="14.109375" customWidth="1"/>
    <col min="7" max="7" width="15.44140625" customWidth="1"/>
    <col min="8" max="12" width="18.33203125" customWidth="1"/>
    <col min="13" max="18" width="15.88671875" customWidth="1"/>
  </cols>
  <sheetData>
    <row r="1" spans="1:22" ht="43.5" customHeight="1" thickBot="1" x14ac:dyDescent="0.35">
      <c r="B1" s="3881"/>
      <c r="C1" s="1775"/>
      <c r="D1" s="1775"/>
      <c r="E1" s="1775"/>
      <c r="F1" s="1786"/>
      <c r="G1" s="1786">
        <v>18230704</v>
      </c>
      <c r="H1" s="1786" t="s">
        <v>895</v>
      </c>
      <c r="I1" s="1786"/>
      <c r="J1" s="1775"/>
      <c r="K1" s="1775"/>
      <c r="L1" s="1775"/>
      <c r="M1" s="1775"/>
      <c r="N1" s="1775"/>
      <c r="O1" s="1775"/>
      <c r="P1" s="1775"/>
      <c r="Q1" s="1775"/>
      <c r="R1" s="1775"/>
      <c r="S1" s="1775"/>
      <c r="T1" s="1775"/>
      <c r="U1" s="1775"/>
      <c r="V1" s="1775"/>
    </row>
    <row r="2" spans="1:22" ht="16.8" thickTop="1" thickBot="1" x14ac:dyDescent="0.35">
      <c r="B2" s="1786" t="s">
        <v>131</v>
      </c>
      <c r="C2" s="4521" t="s">
        <v>896</v>
      </c>
      <c r="D2" s="2421" t="s">
        <v>1019</v>
      </c>
      <c r="E2" s="1775"/>
      <c r="F2" s="1775"/>
      <c r="G2" s="1793" t="s">
        <v>8</v>
      </c>
      <c r="H2" s="1775"/>
      <c r="I2" s="1775"/>
      <c r="J2" s="1775"/>
      <c r="K2" s="1775"/>
      <c r="L2" s="1775"/>
      <c r="M2" s="1775"/>
      <c r="N2" s="1775"/>
      <c r="O2" s="1775"/>
      <c r="P2" s="1775"/>
      <c r="Q2" s="4798" t="s">
        <v>612</v>
      </c>
      <c r="R2" s="4798"/>
      <c r="S2" s="4785" t="s">
        <v>132</v>
      </c>
      <c r="T2" s="4786"/>
      <c r="U2" s="4787"/>
      <c r="V2" s="4793" t="s">
        <v>133</v>
      </c>
    </row>
    <row r="3" spans="1:22" ht="16.2" thickBot="1" x14ac:dyDescent="0.35">
      <c r="B3" s="1818" t="s">
        <v>6</v>
      </c>
      <c r="C3" s="1818">
        <v>18230704</v>
      </c>
      <c r="D3" s="2422" t="s">
        <v>1020</v>
      </c>
      <c r="E3" s="1775"/>
      <c r="F3" s="1775"/>
      <c r="G3" s="1804" t="s">
        <v>9</v>
      </c>
      <c r="H3" s="1803" t="s">
        <v>10</v>
      </c>
      <c r="I3" s="1803" t="s">
        <v>11</v>
      </c>
      <c r="J3" s="1803" t="s">
        <v>12</v>
      </c>
      <c r="K3" s="1803" t="s">
        <v>13</v>
      </c>
      <c r="L3" s="1803" t="s">
        <v>14</v>
      </c>
      <c r="M3" s="1803" t="s">
        <v>15</v>
      </c>
      <c r="N3" s="1803" t="s">
        <v>16</v>
      </c>
      <c r="O3" s="1803" t="s">
        <v>134</v>
      </c>
      <c r="P3" s="1803" t="s">
        <v>135</v>
      </c>
      <c r="Q3" s="1805" t="s">
        <v>18</v>
      </c>
      <c r="R3" s="1805" t="s">
        <v>136</v>
      </c>
      <c r="S3" s="1795" t="s">
        <v>137</v>
      </c>
      <c r="T3" s="1795" t="s">
        <v>12</v>
      </c>
      <c r="U3" s="1796" t="s">
        <v>138</v>
      </c>
      <c r="V3" s="4794"/>
    </row>
    <row r="4" spans="1:22" ht="16.8" thickTop="1" thickBot="1" x14ac:dyDescent="0.35">
      <c r="B4" s="1818" t="s">
        <v>139</v>
      </c>
      <c r="C4" s="1818" t="s">
        <v>895</v>
      </c>
      <c r="D4" s="1775"/>
      <c r="E4" s="1775"/>
      <c r="F4" s="1786">
        <v>2011</v>
      </c>
      <c r="G4" s="1835">
        <v>196509</v>
      </c>
      <c r="H4" s="1836">
        <v>0</v>
      </c>
      <c r="I4" s="1836">
        <v>123801</v>
      </c>
      <c r="J4" s="1836">
        <v>0</v>
      </c>
      <c r="K4" s="1836">
        <v>3000</v>
      </c>
      <c r="L4" s="1836">
        <v>1000</v>
      </c>
      <c r="M4" s="1836">
        <v>200</v>
      </c>
      <c r="N4" s="1836">
        <v>8000</v>
      </c>
      <c r="O4" s="1836">
        <v>0</v>
      </c>
      <c r="P4" s="1836">
        <v>0</v>
      </c>
      <c r="Q4" s="1840">
        <v>332510</v>
      </c>
      <c r="R4" s="1847">
        <v>0</v>
      </c>
      <c r="S4" s="1872">
        <v>0</v>
      </c>
      <c r="T4" s="1872">
        <v>0</v>
      </c>
      <c r="U4" s="1872">
        <v>3.0074283480196083E-3</v>
      </c>
      <c r="V4" s="1874" t="e">
        <v>#DIV/0!</v>
      </c>
    </row>
    <row r="5" spans="1:22" ht="16.2" thickBot="1" x14ac:dyDescent="0.35">
      <c r="B5" s="1786" t="s">
        <v>34</v>
      </c>
      <c r="C5" s="1775"/>
      <c r="D5" s="1775"/>
      <c r="E5" s="1775"/>
      <c r="F5" s="1786">
        <v>2012</v>
      </c>
      <c r="G5" s="1837">
        <f>D13</f>
        <v>89871.599999999991</v>
      </c>
      <c r="H5" s="1838">
        <f>D19</f>
        <v>0</v>
      </c>
      <c r="I5" s="1838">
        <f>D24</f>
        <v>56619.107999999993</v>
      </c>
      <c r="J5" s="1838">
        <f>D29</f>
        <v>0</v>
      </c>
      <c r="K5" s="1838">
        <f>D34</f>
        <v>4355</v>
      </c>
      <c r="L5" s="1838">
        <f>D39</f>
        <v>3146</v>
      </c>
      <c r="M5" s="1838">
        <f>D44</f>
        <v>780</v>
      </c>
      <c r="N5" s="1838">
        <f>D49</f>
        <v>0</v>
      </c>
      <c r="O5" s="1838">
        <f>D54</f>
        <v>0</v>
      </c>
      <c r="P5" s="1838">
        <f>D55</f>
        <v>0</v>
      </c>
      <c r="Q5" s="1839">
        <f>SUM(G5:P5)</f>
        <v>154771.70799999998</v>
      </c>
      <c r="R5" s="1859">
        <v>0</v>
      </c>
      <c r="S5" s="1873">
        <v>0</v>
      </c>
      <c r="T5" s="1873">
        <v>0</v>
      </c>
      <c r="U5" s="1873">
        <v>3.8647524097093597E-3</v>
      </c>
      <c r="V5" s="1875" t="e">
        <v>#DIV/0!</v>
      </c>
    </row>
    <row r="6" spans="1:22" ht="16.2" thickBot="1" x14ac:dyDescent="0.35">
      <c r="B6" s="1775"/>
      <c r="C6" s="1786" t="s">
        <v>872</v>
      </c>
      <c r="D6" s="1775"/>
      <c r="E6" s="1775"/>
      <c r="F6" s="1786">
        <v>2013</v>
      </c>
      <c r="G6" s="1848">
        <f>E13</f>
        <v>89871.599999999991</v>
      </c>
      <c r="H6" s="1849">
        <f>E19</f>
        <v>0</v>
      </c>
      <c r="I6" s="1849">
        <f>E24</f>
        <v>56619.107999999993</v>
      </c>
      <c r="J6" s="1849">
        <f>E29</f>
        <v>0</v>
      </c>
      <c r="K6" s="1849">
        <f>E34</f>
        <v>4355</v>
      </c>
      <c r="L6" s="1849">
        <f>E39</f>
        <v>3146</v>
      </c>
      <c r="M6" s="1849">
        <f>E44</f>
        <v>780</v>
      </c>
      <c r="N6" s="1849">
        <f>E49</f>
        <v>0</v>
      </c>
      <c r="O6" s="1849">
        <f>E54</f>
        <v>0</v>
      </c>
      <c r="P6" s="1849">
        <f>E55</f>
        <v>0</v>
      </c>
      <c r="Q6" s="1839">
        <f>SUM(G6:P6)</f>
        <v>154771.70799999998</v>
      </c>
      <c r="R6" s="1859">
        <v>0</v>
      </c>
      <c r="S6" s="1873">
        <v>0</v>
      </c>
      <c r="T6" s="1873">
        <v>0</v>
      </c>
      <c r="U6" s="1873">
        <v>3.8647524097093597E-3</v>
      </c>
      <c r="V6" s="1875" t="e">
        <v>#DIV/0!</v>
      </c>
    </row>
    <row r="7" spans="1:22" ht="16.2" thickBot="1" x14ac:dyDescent="0.35">
      <c r="B7" s="1775"/>
      <c r="C7" s="1863" t="s">
        <v>873</v>
      </c>
      <c r="D7" s="1775"/>
      <c r="E7" s="1775"/>
      <c r="F7" s="1850" t="s">
        <v>178</v>
      </c>
      <c r="G7" s="1851">
        <f>SUM(G5:G6)</f>
        <v>179743.19999999998</v>
      </c>
      <c r="H7" s="3577">
        <f t="shared" ref="H7:P7" si="0">SUM(H5:H6)</f>
        <v>0</v>
      </c>
      <c r="I7" s="3577">
        <f t="shared" si="0"/>
        <v>113238.21599999999</v>
      </c>
      <c r="J7" s="3577">
        <f t="shared" si="0"/>
        <v>0</v>
      </c>
      <c r="K7" s="3577">
        <f t="shared" si="0"/>
        <v>8710</v>
      </c>
      <c r="L7" s="3577">
        <f t="shared" si="0"/>
        <v>6292</v>
      </c>
      <c r="M7" s="3577">
        <f t="shared" si="0"/>
        <v>1560</v>
      </c>
      <c r="N7" s="3577">
        <f t="shared" si="0"/>
        <v>0</v>
      </c>
      <c r="O7" s="3577">
        <f t="shared" si="0"/>
        <v>0</v>
      </c>
      <c r="P7" s="3577">
        <f t="shared" si="0"/>
        <v>0</v>
      </c>
      <c r="Q7" s="3577">
        <f>SUM(Q5:Q6)</f>
        <v>309543.41599999997</v>
      </c>
      <c r="R7" s="1860">
        <v>0</v>
      </c>
      <c r="S7" s="1873">
        <v>0</v>
      </c>
      <c r="T7" s="1873">
        <v>0</v>
      </c>
      <c r="U7" s="1873">
        <v>3.8647524097093597E-3</v>
      </c>
      <c r="V7" s="1875" t="e">
        <v>#DIV/0!</v>
      </c>
    </row>
    <row r="8" spans="1:22" ht="13.8" x14ac:dyDescent="0.3">
      <c r="P8" s="2427"/>
      <c r="Q8" s="86"/>
    </row>
    <row r="9" spans="1:22" s="2410" customFormat="1" ht="13.8" x14ac:dyDescent="0.3">
      <c r="A9" s="3369"/>
      <c r="P9" s="2427"/>
      <c r="Q9" s="86"/>
    </row>
    <row r="10" spans="1:22" ht="14.4" thickBot="1" x14ac:dyDescent="0.35">
      <c r="B10" s="1775"/>
      <c r="C10" s="1830" t="s">
        <v>141</v>
      </c>
      <c r="D10" s="4795" t="s">
        <v>142</v>
      </c>
      <c r="E10" s="4795"/>
      <c r="F10" s="1775"/>
      <c r="G10" s="1775"/>
      <c r="H10" s="1775"/>
      <c r="I10" s="4796" t="s">
        <v>143</v>
      </c>
      <c r="J10" s="4796"/>
      <c r="K10" s="4796"/>
      <c r="L10" s="4796"/>
      <c r="M10" s="4797" t="s">
        <v>142</v>
      </c>
      <c r="N10" s="4797"/>
      <c r="O10" s="1775"/>
      <c r="P10" s="1775"/>
      <c r="Q10" s="1775"/>
      <c r="R10" s="1775"/>
      <c r="S10" s="1775"/>
      <c r="T10" s="1775"/>
      <c r="U10" s="1775"/>
      <c r="V10" s="1775"/>
    </row>
    <row r="11" spans="1:22" ht="16.2" thickBot="1" x14ac:dyDescent="0.35">
      <c r="B11" s="1834" t="s">
        <v>144</v>
      </c>
      <c r="C11" s="4788" t="s">
        <v>145</v>
      </c>
      <c r="D11" s="4788"/>
      <c r="E11" s="4788"/>
      <c r="F11" s="4789"/>
      <c r="G11" s="1775"/>
      <c r="H11" s="1775"/>
      <c r="I11" s="4785" t="s">
        <v>146</v>
      </c>
      <c r="J11" s="4786"/>
      <c r="K11" s="4786"/>
      <c r="L11" s="4787"/>
      <c r="M11" s="4785" t="s">
        <v>147</v>
      </c>
      <c r="N11" s="4786"/>
      <c r="O11" s="4787"/>
      <c r="P11" s="4785" t="s">
        <v>148</v>
      </c>
      <c r="Q11" s="4786"/>
      <c r="R11" s="4787"/>
      <c r="S11" s="1775"/>
      <c r="T11" s="1833" t="s">
        <v>149</v>
      </c>
      <c r="U11" s="1775"/>
      <c r="V11" s="1775"/>
    </row>
    <row r="12" spans="1:22" ht="16.2" thickBot="1" x14ac:dyDescent="0.35">
      <c r="B12" s="1844">
        <v>2011</v>
      </c>
      <c r="C12" s="1832" t="s">
        <v>150</v>
      </c>
      <c r="D12" s="1828">
        <v>2012</v>
      </c>
      <c r="E12" s="1828">
        <v>2013</v>
      </c>
      <c r="F12" s="1828" t="s">
        <v>151</v>
      </c>
      <c r="G12" s="1775"/>
      <c r="H12" s="1794"/>
      <c r="I12" s="4790" t="s">
        <v>152</v>
      </c>
      <c r="J12" s="4791"/>
      <c r="K12" s="4792"/>
      <c r="L12" s="1824" t="s">
        <v>153</v>
      </c>
      <c r="M12" s="1825" t="s">
        <v>154</v>
      </c>
      <c r="N12" s="1826" t="s">
        <v>155</v>
      </c>
      <c r="O12" s="1827" t="s">
        <v>156</v>
      </c>
      <c r="P12" s="1825" t="s">
        <v>157</v>
      </c>
      <c r="Q12" s="1825" t="s">
        <v>158</v>
      </c>
      <c r="R12" s="1827" t="s">
        <v>159</v>
      </c>
      <c r="S12" s="1775"/>
      <c r="T12" s="1834" t="s">
        <v>160</v>
      </c>
      <c r="U12" s="1775"/>
      <c r="V12" s="1775"/>
    </row>
    <row r="13" spans="1:22" ht="14.4" thickBot="1" x14ac:dyDescent="0.35">
      <c r="B13" s="1868">
        <v>196509</v>
      </c>
      <c r="C13" s="1806" t="s">
        <v>161</v>
      </c>
      <c r="D13" s="3576">
        <f>SUM(D14:D18)</f>
        <v>89871.599999999991</v>
      </c>
      <c r="E13" s="3576">
        <f>SUM(E14:E18)</f>
        <v>89871.599999999991</v>
      </c>
      <c r="F13" s="1808">
        <f>SUM(F14:F18)</f>
        <v>179743.19999999998</v>
      </c>
      <c r="G13" s="1775"/>
      <c r="H13" s="1797"/>
      <c r="I13" s="1821" t="s">
        <v>409</v>
      </c>
      <c r="J13" s="1822"/>
      <c r="K13" s="1823"/>
      <c r="L13" s="1852">
        <v>0</v>
      </c>
      <c r="M13" s="1782">
        <v>0</v>
      </c>
      <c r="N13" s="1782">
        <v>0</v>
      </c>
      <c r="O13" s="1798">
        <v>0</v>
      </c>
      <c r="P13" s="1853">
        <v>0</v>
      </c>
      <c r="Q13" s="1853">
        <v>0</v>
      </c>
      <c r="R13" s="1854">
        <v>0</v>
      </c>
      <c r="S13" s="1775"/>
      <c r="T13" s="1782"/>
      <c r="U13" s="1775"/>
      <c r="V13" s="1775"/>
    </row>
    <row r="14" spans="1:22" ht="13.8" x14ac:dyDescent="0.3">
      <c r="B14" s="1842"/>
      <c r="C14" s="3947" t="s">
        <v>899</v>
      </c>
      <c r="D14" s="3945">
        <v>16591.68</v>
      </c>
      <c r="E14" s="3945">
        <v>16591.68</v>
      </c>
      <c r="F14" s="1789">
        <f>SUM(D14:E14)</f>
        <v>33183.360000000001</v>
      </c>
      <c r="G14" s="1775"/>
      <c r="H14" s="1797"/>
      <c r="I14" s="1821" t="s">
        <v>410</v>
      </c>
      <c r="J14" s="1822"/>
      <c r="K14" s="1823"/>
      <c r="L14" s="1852">
        <v>0</v>
      </c>
      <c r="M14" s="1782">
        <v>0</v>
      </c>
      <c r="N14" s="1782">
        <v>0</v>
      </c>
      <c r="O14" s="1798">
        <v>0</v>
      </c>
      <c r="P14" s="1853">
        <v>0</v>
      </c>
      <c r="Q14" s="1853">
        <v>0</v>
      </c>
      <c r="R14" s="1854">
        <v>0</v>
      </c>
      <c r="S14" s="1775"/>
      <c r="T14" s="1779"/>
      <c r="U14" s="1775"/>
      <c r="V14" s="1775"/>
    </row>
    <row r="15" spans="1:22" ht="13.8" x14ac:dyDescent="0.3">
      <c r="B15" s="1843"/>
      <c r="C15" s="3948" t="s">
        <v>900</v>
      </c>
      <c r="D15" s="3946">
        <v>69132</v>
      </c>
      <c r="E15" s="3946">
        <v>69132</v>
      </c>
      <c r="F15" s="3574">
        <f t="shared" ref="F15:F53" si="1">SUM(D15:E15)</f>
        <v>138264</v>
      </c>
      <c r="G15" s="1775"/>
      <c r="H15" s="1797"/>
      <c r="I15" s="1821" t="s">
        <v>411</v>
      </c>
      <c r="J15" s="1822"/>
      <c r="K15" s="1823"/>
      <c r="L15" s="1852">
        <v>0</v>
      </c>
      <c r="M15" s="1782">
        <v>0</v>
      </c>
      <c r="N15" s="1782">
        <v>0</v>
      </c>
      <c r="O15" s="1798">
        <v>0</v>
      </c>
      <c r="P15" s="1853">
        <v>0</v>
      </c>
      <c r="Q15" s="1853">
        <v>0</v>
      </c>
      <c r="R15" s="1854">
        <v>0</v>
      </c>
      <c r="S15" s="1775"/>
      <c r="T15" s="1779"/>
      <c r="U15" s="1775"/>
      <c r="V15" s="1775"/>
    </row>
    <row r="16" spans="1:22" ht="13.8" x14ac:dyDescent="0.3">
      <c r="B16" s="1843"/>
      <c r="C16" s="3950" t="s">
        <v>1116</v>
      </c>
      <c r="D16" s="4046">
        <f>0.06*69132</f>
        <v>4147.92</v>
      </c>
      <c r="E16" s="3993">
        <f>0.06*69132</f>
        <v>4147.92</v>
      </c>
      <c r="F16" s="3574">
        <f t="shared" si="1"/>
        <v>8295.84</v>
      </c>
      <c r="G16" s="1775"/>
      <c r="H16" s="1797"/>
      <c r="I16" s="1821" t="s">
        <v>213</v>
      </c>
      <c r="J16" s="1822"/>
      <c r="K16" s="1823"/>
      <c r="L16" s="1852">
        <v>0</v>
      </c>
      <c r="M16" s="1782">
        <v>0</v>
      </c>
      <c r="N16" s="1782">
        <v>0</v>
      </c>
      <c r="O16" s="1798">
        <v>0</v>
      </c>
      <c r="P16" s="1853">
        <v>0</v>
      </c>
      <c r="Q16" s="1853">
        <v>0</v>
      </c>
      <c r="R16" s="1854">
        <v>0</v>
      </c>
      <c r="S16" s="1775"/>
      <c r="T16" s="1779"/>
      <c r="U16" s="1775"/>
      <c r="V16" s="1775"/>
    </row>
    <row r="17" spans="2:22" ht="13.8" x14ac:dyDescent="0.3">
      <c r="B17" s="1843"/>
      <c r="C17" s="1781"/>
      <c r="D17" s="3949"/>
      <c r="E17" s="3949"/>
      <c r="F17" s="3574">
        <f t="shared" si="1"/>
        <v>0</v>
      </c>
      <c r="G17" s="1775"/>
      <c r="H17" s="1797"/>
      <c r="I17" s="1821" t="s">
        <v>214</v>
      </c>
      <c r="J17" s="1822"/>
      <c r="K17" s="1823"/>
      <c r="L17" s="1852">
        <v>0</v>
      </c>
      <c r="M17" s="1782">
        <v>0</v>
      </c>
      <c r="N17" s="1782">
        <v>0</v>
      </c>
      <c r="O17" s="1798">
        <v>0</v>
      </c>
      <c r="P17" s="1853">
        <v>0</v>
      </c>
      <c r="Q17" s="1853">
        <v>0</v>
      </c>
      <c r="R17" s="1854">
        <v>0</v>
      </c>
      <c r="S17" s="1775"/>
      <c r="T17" s="1779"/>
      <c r="U17" s="1775"/>
      <c r="V17" s="1775"/>
    </row>
    <row r="18" spans="2:22" ht="14.4" thickBot="1" x14ac:dyDescent="0.35">
      <c r="B18" s="3600"/>
      <c r="C18" s="3601"/>
      <c r="D18" s="3602"/>
      <c r="E18" s="3602"/>
      <c r="F18" s="3602">
        <f t="shared" si="1"/>
        <v>0</v>
      </c>
      <c r="G18" s="2180"/>
      <c r="H18" s="1797"/>
      <c r="I18" s="1821" t="s">
        <v>215</v>
      </c>
      <c r="J18" s="1822"/>
      <c r="K18" s="1823"/>
      <c r="L18" s="1852">
        <v>0</v>
      </c>
      <c r="M18" s="1782">
        <v>0</v>
      </c>
      <c r="N18" s="1782">
        <v>0</v>
      </c>
      <c r="O18" s="1798">
        <v>0</v>
      </c>
      <c r="P18" s="1853">
        <v>0</v>
      </c>
      <c r="Q18" s="1853">
        <v>0</v>
      </c>
      <c r="R18" s="1854">
        <v>0</v>
      </c>
      <c r="S18" s="1775"/>
      <c r="T18" s="1779"/>
    </row>
    <row r="19" spans="2:22" ht="14.4" thickBot="1" x14ac:dyDescent="0.35">
      <c r="B19" s="1841">
        <v>0</v>
      </c>
      <c r="C19" s="1806" t="s">
        <v>166</v>
      </c>
      <c r="D19" s="3576">
        <f>SUM(D20:D23)</f>
        <v>0</v>
      </c>
      <c r="E19" s="3576">
        <f>SUM(E20:E23)</f>
        <v>0</v>
      </c>
      <c r="F19" s="1808">
        <f>SUM(F20:F23)</f>
        <v>0</v>
      </c>
      <c r="G19" s="1775"/>
      <c r="H19" s="1797"/>
      <c r="I19" s="1821" t="s">
        <v>216</v>
      </c>
      <c r="J19" s="1822"/>
      <c r="K19" s="1823"/>
      <c r="L19" s="1852">
        <v>0</v>
      </c>
      <c r="M19" s="1782">
        <v>0</v>
      </c>
      <c r="N19" s="1782">
        <v>0</v>
      </c>
      <c r="O19" s="1798">
        <v>0</v>
      </c>
      <c r="P19" s="1853">
        <v>0</v>
      </c>
      <c r="Q19" s="1853">
        <v>0</v>
      </c>
      <c r="R19" s="1854">
        <v>0</v>
      </c>
      <c r="S19" s="1775"/>
      <c r="T19" s="1779"/>
    </row>
    <row r="20" spans="2:22" ht="13.8" x14ac:dyDescent="0.3">
      <c r="B20" s="1842"/>
      <c r="C20" s="1864"/>
      <c r="D20" s="1867">
        <v>0</v>
      </c>
      <c r="E20" s="1867">
        <v>0</v>
      </c>
      <c r="F20" s="3574">
        <f t="shared" si="1"/>
        <v>0</v>
      </c>
      <c r="G20" s="1775"/>
      <c r="H20" s="1797"/>
      <c r="I20" s="1821" t="s">
        <v>217</v>
      </c>
      <c r="J20" s="1822"/>
      <c r="K20" s="1823"/>
      <c r="L20" s="1852">
        <v>0</v>
      </c>
      <c r="M20" s="1782">
        <v>0</v>
      </c>
      <c r="N20" s="1782">
        <v>0</v>
      </c>
      <c r="O20" s="1798">
        <v>0</v>
      </c>
      <c r="P20" s="1853">
        <v>0</v>
      </c>
      <c r="Q20" s="1853">
        <v>0</v>
      </c>
      <c r="R20" s="1854">
        <v>0</v>
      </c>
      <c r="S20" s="1775"/>
      <c r="T20" s="1779"/>
    </row>
    <row r="21" spans="2:22" ht="13.8" x14ac:dyDescent="0.3">
      <c r="B21" s="1843"/>
      <c r="C21" s="1865"/>
      <c r="D21" s="1867">
        <v>0</v>
      </c>
      <c r="E21" s="1867">
        <v>0</v>
      </c>
      <c r="F21" s="3574">
        <f t="shared" si="1"/>
        <v>0</v>
      </c>
      <c r="G21" s="1775"/>
      <c r="H21" s="1797"/>
      <c r="I21" s="1821" t="s">
        <v>218</v>
      </c>
      <c r="J21" s="1822"/>
      <c r="K21" s="1823"/>
      <c r="L21" s="1852">
        <v>0</v>
      </c>
      <c r="M21" s="1782">
        <v>0</v>
      </c>
      <c r="N21" s="1782">
        <v>0</v>
      </c>
      <c r="O21" s="1798">
        <v>0</v>
      </c>
      <c r="P21" s="1853">
        <v>0</v>
      </c>
      <c r="Q21" s="1853">
        <v>0</v>
      </c>
      <c r="R21" s="1854">
        <v>0</v>
      </c>
      <c r="S21" s="1775"/>
      <c r="T21" s="1779"/>
    </row>
    <row r="22" spans="2:22" ht="13.8" x14ac:dyDescent="0.3">
      <c r="B22" s="1843"/>
      <c r="C22" s="1781" t="s">
        <v>164</v>
      </c>
      <c r="D22" s="1791">
        <v>0</v>
      </c>
      <c r="E22" s="1791"/>
      <c r="F22" s="3574">
        <f t="shared" si="1"/>
        <v>0</v>
      </c>
      <c r="G22" s="1775"/>
      <c r="H22" s="1797"/>
      <c r="I22" s="1821" t="s">
        <v>219</v>
      </c>
      <c r="J22" s="1822"/>
      <c r="K22" s="1823"/>
      <c r="L22" s="1852">
        <v>0</v>
      </c>
      <c r="M22" s="1782">
        <v>0</v>
      </c>
      <c r="N22" s="1782">
        <v>0</v>
      </c>
      <c r="O22" s="1798">
        <v>0</v>
      </c>
      <c r="P22" s="1853">
        <v>0</v>
      </c>
      <c r="Q22" s="1853">
        <v>0</v>
      </c>
      <c r="R22" s="1854">
        <v>0</v>
      </c>
      <c r="S22" s="1775"/>
      <c r="T22" s="1779"/>
    </row>
    <row r="23" spans="2:22" ht="14.4" thickBot="1" x14ac:dyDescent="0.35">
      <c r="B23" s="1843"/>
      <c r="C23" s="1781" t="s">
        <v>165</v>
      </c>
      <c r="D23" s="1791">
        <v>0</v>
      </c>
      <c r="E23" s="1791"/>
      <c r="F23" s="3574">
        <f t="shared" si="1"/>
        <v>0</v>
      </c>
      <c r="G23" s="1775"/>
      <c r="H23" s="1797"/>
      <c r="I23" s="1821" t="s">
        <v>220</v>
      </c>
      <c r="J23" s="1822"/>
      <c r="K23" s="1823"/>
      <c r="L23" s="1852">
        <v>0</v>
      </c>
      <c r="M23" s="1782">
        <v>0</v>
      </c>
      <c r="N23" s="1782">
        <v>0</v>
      </c>
      <c r="O23" s="1798">
        <v>0</v>
      </c>
      <c r="P23" s="1853">
        <v>0</v>
      </c>
      <c r="Q23" s="1853">
        <v>0</v>
      </c>
      <c r="R23" s="1854">
        <v>0</v>
      </c>
      <c r="S23" s="1775"/>
      <c r="T23" s="1779"/>
    </row>
    <row r="24" spans="2:22" ht="14.4" thickBot="1" x14ac:dyDescent="0.35">
      <c r="B24" s="1841">
        <v>123801</v>
      </c>
      <c r="C24" s="1806" t="s">
        <v>167</v>
      </c>
      <c r="D24" s="3576">
        <f>SUM(D25:D28)</f>
        <v>56619.107999999993</v>
      </c>
      <c r="E24" s="3576">
        <f>SUM(E25:E28)</f>
        <v>56619.107999999993</v>
      </c>
      <c r="F24" s="1808">
        <f>SUM(F25:F28)</f>
        <v>113238.21599999999</v>
      </c>
      <c r="G24" s="1780"/>
      <c r="H24" s="1797"/>
      <c r="I24" s="1821" t="s">
        <v>221</v>
      </c>
      <c r="J24" s="1822"/>
      <c r="K24" s="1823"/>
      <c r="L24" s="1852">
        <v>0</v>
      </c>
      <c r="M24" s="1782">
        <v>0</v>
      </c>
      <c r="N24" s="1782">
        <v>0</v>
      </c>
      <c r="O24" s="1798">
        <v>0</v>
      </c>
      <c r="P24" s="1853">
        <v>0</v>
      </c>
      <c r="Q24" s="1853">
        <v>0</v>
      </c>
      <c r="R24" s="1854">
        <v>0</v>
      </c>
      <c r="S24" s="1775"/>
      <c r="T24" s="1779"/>
    </row>
    <row r="25" spans="2:22" ht="13.8" x14ac:dyDescent="0.3">
      <c r="B25" s="1842"/>
      <c r="C25" s="1787" t="s">
        <v>168</v>
      </c>
      <c r="D25" s="1789">
        <f>D13*0.63</f>
        <v>56619.107999999993</v>
      </c>
      <c r="E25" s="1789">
        <f>E13*0.63</f>
        <v>56619.107999999993</v>
      </c>
      <c r="F25" s="3574">
        <f t="shared" si="1"/>
        <v>113238.21599999999</v>
      </c>
      <c r="G25" s="1775"/>
      <c r="H25" s="1797"/>
      <c r="I25" s="1821" t="s">
        <v>222</v>
      </c>
      <c r="J25" s="1822"/>
      <c r="K25" s="1823"/>
      <c r="L25" s="1852">
        <v>0</v>
      </c>
      <c r="M25" s="1782">
        <v>0</v>
      </c>
      <c r="N25" s="1782">
        <v>0</v>
      </c>
      <c r="O25" s="1798">
        <v>0</v>
      </c>
      <c r="P25" s="1853">
        <v>0</v>
      </c>
      <c r="Q25" s="1853">
        <v>0</v>
      </c>
      <c r="R25" s="1854">
        <v>0</v>
      </c>
      <c r="S25" s="1775"/>
      <c r="T25" s="1779"/>
    </row>
    <row r="26" spans="2:22" ht="13.8" x14ac:dyDescent="0.3">
      <c r="B26" s="1842"/>
      <c r="C26" s="1787" t="s">
        <v>169</v>
      </c>
      <c r="D26" s="1790">
        <f>D18*0.63</f>
        <v>0</v>
      </c>
      <c r="E26" s="1790">
        <f>E18*0.63</f>
        <v>0</v>
      </c>
      <c r="F26" s="3574">
        <f t="shared" si="1"/>
        <v>0</v>
      </c>
      <c r="G26" s="1775"/>
      <c r="H26" s="1797"/>
      <c r="I26" s="1821" t="s">
        <v>223</v>
      </c>
      <c r="J26" s="1822"/>
      <c r="K26" s="1823"/>
      <c r="L26" s="1852">
        <v>0</v>
      </c>
      <c r="M26" s="1782">
        <v>0</v>
      </c>
      <c r="N26" s="1782">
        <v>0</v>
      </c>
      <c r="O26" s="1798">
        <v>0</v>
      </c>
      <c r="P26" s="1853">
        <v>0</v>
      </c>
      <c r="Q26" s="1853">
        <v>0</v>
      </c>
      <c r="R26" s="1854">
        <v>0</v>
      </c>
      <c r="S26" s="1775"/>
      <c r="T26" s="1779"/>
    </row>
    <row r="27" spans="2:22" ht="13.8" x14ac:dyDescent="0.3">
      <c r="B27" s="1843"/>
      <c r="C27" s="1781"/>
      <c r="D27" s="1791"/>
      <c r="E27" s="1791"/>
      <c r="F27" s="3574">
        <f t="shared" si="1"/>
        <v>0</v>
      </c>
      <c r="G27" s="1775"/>
      <c r="H27" s="1797"/>
      <c r="I27" s="1821" t="s">
        <v>224</v>
      </c>
      <c r="J27" s="1822"/>
      <c r="K27" s="1823"/>
      <c r="L27" s="1852">
        <v>0</v>
      </c>
      <c r="M27" s="1782">
        <v>0</v>
      </c>
      <c r="N27" s="1782">
        <v>0</v>
      </c>
      <c r="O27" s="1798">
        <v>0</v>
      </c>
      <c r="P27" s="1853">
        <v>0</v>
      </c>
      <c r="Q27" s="1853">
        <v>0</v>
      </c>
      <c r="R27" s="1854">
        <v>0</v>
      </c>
      <c r="S27" s="1775"/>
      <c r="T27" s="1779"/>
    </row>
    <row r="28" spans="2:22" ht="14.4" thickBot="1" x14ac:dyDescent="0.35">
      <c r="B28" s="1843"/>
      <c r="C28" s="1781"/>
      <c r="D28" s="1791"/>
      <c r="E28" s="1791"/>
      <c r="F28" s="3574">
        <f t="shared" si="1"/>
        <v>0</v>
      </c>
      <c r="G28" s="1775"/>
      <c r="H28" s="1797"/>
      <c r="I28" s="1821" t="s">
        <v>225</v>
      </c>
      <c r="J28" s="1822"/>
      <c r="K28" s="1823"/>
      <c r="L28" s="1852">
        <v>0</v>
      </c>
      <c r="M28" s="1782">
        <v>0</v>
      </c>
      <c r="N28" s="1782">
        <v>0</v>
      </c>
      <c r="O28" s="1798">
        <v>0</v>
      </c>
      <c r="P28" s="1853">
        <v>0</v>
      </c>
      <c r="Q28" s="1853">
        <v>0</v>
      </c>
      <c r="R28" s="1854">
        <v>0</v>
      </c>
      <c r="S28" s="1775"/>
      <c r="T28" s="1779"/>
    </row>
    <row r="29" spans="2:22" ht="14.4" thickBot="1" x14ac:dyDescent="0.35">
      <c r="B29" s="1841">
        <v>0</v>
      </c>
      <c r="C29" s="1806" t="s">
        <v>170</v>
      </c>
      <c r="D29" s="3576">
        <f>SUM(D30:D33)</f>
        <v>0</v>
      </c>
      <c r="E29" s="3576">
        <f>SUM(E30:E33)</f>
        <v>0</v>
      </c>
      <c r="F29" s="1808">
        <f>SUM(F30:F33)</f>
        <v>0</v>
      </c>
      <c r="G29" s="1775"/>
      <c r="H29" s="1797"/>
      <c r="I29" s="1821" t="s">
        <v>226</v>
      </c>
      <c r="J29" s="1822"/>
      <c r="K29" s="1823"/>
      <c r="L29" s="1852">
        <v>0</v>
      </c>
      <c r="M29" s="1782">
        <v>0</v>
      </c>
      <c r="N29" s="1782">
        <v>0</v>
      </c>
      <c r="O29" s="1798">
        <v>0</v>
      </c>
      <c r="P29" s="1853">
        <v>0</v>
      </c>
      <c r="Q29" s="1853">
        <v>0</v>
      </c>
      <c r="R29" s="1854">
        <v>0</v>
      </c>
      <c r="S29" s="1775"/>
      <c r="T29" s="1779"/>
    </row>
    <row r="30" spans="2:22" ht="13.8" x14ac:dyDescent="0.3">
      <c r="B30" s="1842"/>
      <c r="C30" s="1787"/>
      <c r="D30" s="1789">
        <v>0</v>
      </c>
      <c r="E30" s="1789">
        <v>0</v>
      </c>
      <c r="F30" s="3574">
        <f t="shared" si="1"/>
        <v>0</v>
      </c>
      <c r="G30" s="1775"/>
      <c r="H30" s="1797"/>
      <c r="I30" s="1821" t="s">
        <v>227</v>
      </c>
      <c r="J30" s="1822"/>
      <c r="K30" s="1823"/>
      <c r="L30" s="1852">
        <v>0</v>
      </c>
      <c r="M30" s="1782">
        <v>0</v>
      </c>
      <c r="N30" s="1782">
        <v>0</v>
      </c>
      <c r="O30" s="1798">
        <v>0</v>
      </c>
      <c r="P30" s="1853">
        <v>0</v>
      </c>
      <c r="Q30" s="1853">
        <v>0</v>
      </c>
      <c r="R30" s="1854">
        <v>0</v>
      </c>
      <c r="S30" s="1775"/>
      <c r="T30" s="1779"/>
    </row>
    <row r="31" spans="2:22" ht="13.8" x14ac:dyDescent="0.3">
      <c r="B31" s="1843"/>
      <c r="C31" s="1781" t="s">
        <v>163</v>
      </c>
      <c r="D31" s="1790">
        <v>0</v>
      </c>
      <c r="E31" s="1790"/>
      <c r="F31" s="3574">
        <f t="shared" si="1"/>
        <v>0</v>
      </c>
      <c r="G31" s="1775"/>
      <c r="H31" s="1797"/>
      <c r="I31" s="1821" t="s">
        <v>228</v>
      </c>
      <c r="J31" s="1822"/>
      <c r="K31" s="1823"/>
      <c r="L31" s="1852">
        <v>0</v>
      </c>
      <c r="M31" s="1782">
        <v>0</v>
      </c>
      <c r="N31" s="1782">
        <v>0</v>
      </c>
      <c r="O31" s="1798">
        <v>0</v>
      </c>
      <c r="P31" s="1853">
        <v>0</v>
      </c>
      <c r="Q31" s="1853">
        <v>0</v>
      </c>
      <c r="R31" s="1854">
        <v>0</v>
      </c>
      <c r="S31" s="1775"/>
      <c r="T31" s="1779"/>
    </row>
    <row r="32" spans="2:22" ht="13.8" x14ac:dyDescent="0.3">
      <c r="B32" s="1843"/>
      <c r="C32" s="1781" t="s">
        <v>164</v>
      </c>
      <c r="D32" s="1790">
        <v>0</v>
      </c>
      <c r="E32" s="1790"/>
      <c r="F32" s="3574">
        <f t="shared" si="1"/>
        <v>0</v>
      </c>
      <c r="G32" s="1775"/>
      <c r="H32" s="1797"/>
      <c r="I32" s="1821" t="s">
        <v>229</v>
      </c>
      <c r="J32" s="1822"/>
      <c r="K32" s="1823"/>
      <c r="L32" s="1852">
        <v>0</v>
      </c>
      <c r="M32" s="1782">
        <v>0</v>
      </c>
      <c r="N32" s="1782">
        <v>0</v>
      </c>
      <c r="O32" s="1798">
        <v>0</v>
      </c>
      <c r="P32" s="1853">
        <v>0</v>
      </c>
      <c r="Q32" s="1853">
        <v>0</v>
      </c>
      <c r="R32" s="1854">
        <v>0</v>
      </c>
      <c r="S32" s="1775"/>
      <c r="T32" s="1779"/>
    </row>
    <row r="33" spans="2:20" ht="14.4" thickBot="1" x14ac:dyDescent="0.35">
      <c r="B33" s="1843"/>
      <c r="C33" s="1781" t="s">
        <v>165</v>
      </c>
      <c r="D33" s="1790">
        <v>0</v>
      </c>
      <c r="E33" s="1790"/>
      <c r="F33" s="3574">
        <f t="shared" si="1"/>
        <v>0</v>
      </c>
      <c r="G33" s="1775"/>
      <c r="H33" s="1797"/>
      <c r="I33" s="1821" t="s">
        <v>230</v>
      </c>
      <c r="J33" s="1822"/>
      <c r="K33" s="1823"/>
      <c r="L33" s="1852">
        <v>0</v>
      </c>
      <c r="M33" s="1782">
        <v>0</v>
      </c>
      <c r="N33" s="1782">
        <v>0</v>
      </c>
      <c r="O33" s="1798">
        <v>0</v>
      </c>
      <c r="P33" s="1853">
        <v>0</v>
      </c>
      <c r="Q33" s="1853">
        <v>0</v>
      </c>
      <c r="R33" s="1854">
        <v>0</v>
      </c>
      <c r="S33" s="1775"/>
      <c r="T33" s="1779"/>
    </row>
    <row r="34" spans="2:20" ht="14.4" thickBot="1" x14ac:dyDescent="0.35">
      <c r="B34" s="1841">
        <v>3000</v>
      </c>
      <c r="C34" s="1806" t="s">
        <v>171</v>
      </c>
      <c r="D34" s="3576">
        <f>SUM(D35:D38)</f>
        <v>4355</v>
      </c>
      <c r="E34" s="3576">
        <f>SUM(E35:E38)</f>
        <v>4355</v>
      </c>
      <c r="F34" s="1808">
        <f>SUM(F35:F38)</f>
        <v>8710</v>
      </c>
      <c r="G34" s="1775"/>
      <c r="H34" s="1797"/>
      <c r="I34" s="1821" t="s">
        <v>231</v>
      </c>
      <c r="J34" s="1822"/>
      <c r="K34" s="1823"/>
      <c r="L34" s="1852">
        <v>0</v>
      </c>
      <c r="M34" s="1782">
        <v>0</v>
      </c>
      <c r="N34" s="1782">
        <v>0</v>
      </c>
      <c r="O34" s="1798">
        <v>0</v>
      </c>
      <c r="P34" s="1853">
        <v>0</v>
      </c>
      <c r="Q34" s="1853">
        <v>0</v>
      </c>
      <c r="R34" s="1854">
        <v>0</v>
      </c>
      <c r="S34" s="1775"/>
      <c r="T34" s="1779"/>
    </row>
    <row r="35" spans="2:20" ht="13.8" x14ac:dyDescent="0.3">
      <c r="B35" s="1843"/>
      <c r="C35" s="1781" t="s">
        <v>874</v>
      </c>
      <c r="D35" s="3951">
        <v>2830.75</v>
      </c>
      <c r="E35" s="3951">
        <v>2830.75</v>
      </c>
      <c r="F35" s="3574">
        <f t="shared" si="1"/>
        <v>5661.5</v>
      </c>
      <c r="G35" s="1775"/>
      <c r="H35" s="1797"/>
      <c r="I35" s="1821" t="s">
        <v>232</v>
      </c>
      <c r="J35" s="1822"/>
      <c r="K35" s="1823"/>
      <c r="L35" s="1852">
        <v>0</v>
      </c>
      <c r="M35" s="1782">
        <v>0</v>
      </c>
      <c r="N35" s="1782">
        <v>0</v>
      </c>
      <c r="O35" s="1798">
        <v>0</v>
      </c>
      <c r="P35" s="1853">
        <v>0</v>
      </c>
      <c r="Q35" s="1853">
        <v>0</v>
      </c>
      <c r="R35" s="1854">
        <v>0</v>
      </c>
      <c r="S35" s="1775"/>
      <c r="T35" s="1779"/>
    </row>
    <row r="36" spans="2:20" ht="13.8" x14ac:dyDescent="0.3">
      <c r="B36" s="1843"/>
      <c r="C36" s="1781" t="s">
        <v>901</v>
      </c>
      <c r="D36" s="3951">
        <v>435.5</v>
      </c>
      <c r="E36" s="3951">
        <v>435.5</v>
      </c>
      <c r="F36" s="3574">
        <f t="shared" si="1"/>
        <v>871</v>
      </c>
      <c r="G36" s="1775"/>
      <c r="H36" s="1797"/>
      <c r="I36" s="1821" t="s">
        <v>233</v>
      </c>
      <c r="J36" s="1822"/>
      <c r="K36" s="1823"/>
      <c r="L36" s="1852">
        <v>0</v>
      </c>
      <c r="M36" s="1782">
        <v>0</v>
      </c>
      <c r="N36" s="1782">
        <v>0</v>
      </c>
      <c r="O36" s="1798">
        <v>0</v>
      </c>
      <c r="P36" s="1853">
        <v>0</v>
      </c>
      <c r="Q36" s="1853">
        <v>0</v>
      </c>
      <c r="R36" s="1854">
        <v>0</v>
      </c>
      <c r="S36" s="1775"/>
      <c r="T36" s="1779"/>
    </row>
    <row r="37" spans="2:20" ht="13.8" x14ac:dyDescent="0.3">
      <c r="B37" s="1843"/>
      <c r="C37" s="1781" t="s">
        <v>876</v>
      </c>
      <c r="D37" s="3951">
        <v>827.45</v>
      </c>
      <c r="E37" s="3951">
        <v>827.45</v>
      </c>
      <c r="F37" s="3574">
        <f t="shared" si="1"/>
        <v>1654.9</v>
      </c>
      <c r="G37" s="1775"/>
      <c r="H37" s="1797"/>
      <c r="I37" s="1821" t="s">
        <v>234</v>
      </c>
      <c r="J37" s="1822"/>
      <c r="K37" s="1823"/>
      <c r="L37" s="1852">
        <v>0</v>
      </c>
      <c r="M37" s="1782">
        <v>0</v>
      </c>
      <c r="N37" s="1782">
        <v>0</v>
      </c>
      <c r="O37" s="1798">
        <v>0</v>
      </c>
      <c r="P37" s="1853">
        <v>0</v>
      </c>
      <c r="Q37" s="1853">
        <v>0</v>
      </c>
      <c r="R37" s="1854">
        <v>0</v>
      </c>
      <c r="S37" s="1775"/>
      <c r="T37" s="1779"/>
    </row>
    <row r="38" spans="2:20" ht="14.4" thickBot="1" x14ac:dyDescent="0.35">
      <c r="B38" s="1843"/>
      <c r="C38" s="1781" t="s">
        <v>877</v>
      </c>
      <c r="D38" s="3951">
        <v>261.3</v>
      </c>
      <c r="E38" s="3951">
        <v>261.3</v>
      </c>
      <c r="F38" s="3574">
        <f t="shared" si="1"/>
        <v>522.6</v>
      </c>
      <c r="G38" s="1775"/>
      <c r="H38" s="1797"/>
      <c r="I38" s="1821" t="s">
        <v>235</v>
      </c>
      <c r="J38" s="1822"/>
      <c r="K38" s="1823"/>
      <c r="L38" s="1852">
        <v>0</v>
      </c>
      <c r="M38" s="1782">
        <v>0</v>
      </c>
      <c r="N38" s="1782">
        <v>0</v>
      </c>
      <c r="O38" s="1798">
        <v>0</v>
      </c>
      <c r="P38" s="1853">
        <v>0</v>
      </c>
      <c r="Q38" s="1853">
        <v>0</v>
      </c>
      <c r="R38" s="1854">
        <v>0</v>
      </c>
      <c r="S38" s="1775"/>
      <c r="T38" s="1779"/>
    </row>
    <row r="39" spans="2:20" ht="14.4" thickBot="1" x14ac:dyDescent="0.35">
      <c r="B39" s="1841">
        <v>1000</v>
      </c>
      <c r="C39" s="1806" t="s">
        <v>172</v>
      </c>
      <c r="D39" s="3576">
        <f>SUM(D40:D43)</f>
        <v>3146</v>
      </c>
      <c r="E39" s="3576">
        <f>SUM(E40:E43)</f>
        <v>3146</v>
      </c>
      <c r="F39" s="1808">
        <f>SUM(F40:F43)</f>
        <v>6292</v>
      </c>
      <c r="G39" s="1775"/>
      <c r="H39" s="1797"/>
      <c r="I39" s="1821" t="s">
        <v>236</v>
      </c>
      <c r="J39" s="1822"/>
      <c r="K39" s="1823"/>
      <c r="L39" s="1852">
        <v>0</v>
      </c>
      <c r="M39" s="1782">
        <v>0</v>
      </c>
      <c r="N39" s="1782">
        <v>0</v>
      </c>
      <c r="O39" s="1798">
        <v>0</v>
      </c>
      <c r="P39" s="1853">
        <v>0</v>
      </c>
      <c r="Q39" s="1853">
        <v>0</v>
      </c>
      <c r="R39" s="1854">
        <v>0</v>
      </c>
      <c r="S39" s="1775"/>
      <c r="T39" s="1779"/>
    </row>
    <row r="40" spans="2:20" ht="13.8" x14ac:dyDescent="0.3">
      <c r="B40" s="1843"/>
      <c r="C40" s="1781" t="s">
        <v>878</v>
      </c>
      <c r="D40" s="3952">
        <v>156</v>
      </c>
      <c r="E40" s="3952">
        <v>156</v>
      </c>
      <c r="F40" s="3574">
        <f t="shared" si="1"/>
        <v>312</v>
      </c>
      <c r="G40" s="1775"/>
      <c r="H40" s="1797"/>
      <c r="I40" s="1821" t="s">
        <v>237</v>
      </c>
      <c r="J40" s="1822"/>
      <c r="K40" s="1823"/>
      <c r="L40" s="1852">
        <v>0</v>
      </c>
      <c r="M40" s="1782">
        <v>0</v>
      </c>
      <c r="N40" s="1782">
        <v>0</v>
      </c>
      <c r="O40" s="1798">
        <v>0</v>
      </c>
      <c r="P40" s="1853">
        <v>0</v>
      </c>
      <c r="Q40" s="1853">
        <v>0</v>
      </c>
      <c r="R40" s="1854">
        <v>0</v>
      </c>
      <c r="S40" s="1775"/>
      <c r="T40" s="1779"/>
    </row>
    <row r="41" spans="2:20" ht="13.8" x14ac:dyDescent="0.3">
      <c r="B41" s="1843"/>
      <c r="C41" s="1781" t="s">
        <v>749</v>
      </c>
      <c r="D41" s="3952">
        <v>390</v>
      </c>
      <c r="E41" s="3952">
        <v>390</v>
      </c>
      <c r="F41" s="3574">
        <f t="shared" si="1"/>
        <v>780</v>
      </c>
      <c r="G41" s="1775"/>
      <c r="H41" s="1797"/>
      <c r="I41" s="1821" t="s">
        <v>238</v>
      </c>
      <c r="J41" s="1822"/>
      <c r="K41" s="1823"/>
      <c r="L41" s="1852">
        <v>0</v>
      </c>
      <c r="M41" s="1782">
        <v>0</v>
      </c>
      <c r="N41" s="1782">
        <v>0</v>
      </c>
      <c r="O41" s="1798">
        <v>0</v>
      </c>
      <c r="P41" s="1853">
        <v>0</v>
      </c>
      <c r="Q41" s="1853">
        <v>0</v>
      </c>
      <c r="R41" s="1854">
        <v>0</v>
      </c>
      <c r="S41" s="1775"/>
      <c r="T41" s="1779"/>
    </row>
    <row r="42" spans="2:20" ht="13.8" x14ac:dyDescent="0.3">
      <c r="B42" s="1843"/>
      <c r="C42" s="3573" t="s">
        <v>1109</v>
      </c>
      <c r="D42" s="3952">
        <v>2600</v>
      </c>
      <c r="E42" s="3952">
        <v>2600</v>
      </c>
      <c r="F42" s="3574">
        <f t="shared" si="1"/>
        <v>5200</v>
      </c>
      <c r="G42" s="1775"/>
      <c r="H42" s="1797"/>
      <c r="I42" s="1821" t="s">
        <v>239</v>
      </c>
      <c r="J42" s="1822"/>
      <c r="K42" s="1823"/>
      <c r="L42" s="1852">
        <v>0</v>
      </c>
      <c r="M42" s="1782">
        <v>0</v>
      </c>
      <c r="N42" s="1782">
        <v>0</v>
      </c>
      <c r="O42" s="1798">
        <v>0</v>
      </c>
      <c r="P42" s="1853">
        <v>0</v>
      </c>
      <c r="Q42" s="1853">
        <v>0</v>
      </c>
      <c r="R42" s="1854">
        <v>0</v>
      </c>
      <c r="S42" s="1775"/>
      <c r="T42" s="1779"/>
    </row>
    <row r="43" spans="2:20" ht="14.4" thickBot="1" x14ac:dyDescent="0.35">
      <c r="B43" s="1843"/>
      <c r="C43" s="1781" t="s">
        <v>165</v>
      </c>
      <c r="D43" s="1790">
        <v>0</v>
      </c>
      <c r="E43" s="1790"/>
      <c r="F43" s="3574">
        <f t="shared" si="1"/>
        <v>0</v>
      </c>
      <c r="G43" s="1775"/>
      <c r="H43" s="1797"/>
      <c r="I43" s="1821" t="s">
        <v>240</v>
      </c>
      <c r="J43" s="1822"/>
      <c r="K43" s="1823"/>
      <c r="L43" s="1852">
        <v>0</v>
      </c>
      <c r="M43" s="1782">
        <v>0</v>
      </c>
      <c r="N43" s="1782">
        <v>0</v>
      </c>
      <c r="O43" s="1798">
        <v>0</v>
      </c>
      <c r="P43" s="1853">
        <v>0</v>
      </c>
      <c r="Q43" s="1853">
        <v>0</v>
      </c>
      <c r="R43" s="1854">
        <v>0</v>
      </c>
      <c r="S43" s="1775"/>
      <c r="T43" s="1779"/>
    </row>
    <row r="44" spans="2:20" ht="14.4" thickBot="1" x14ac:dyDescent="0.35">
      <c r="B44" s="1841">
        <v>200</v>
      </c>
      <c r="C44" s="1806" t="s">
        <v>173</v>
      </c>
      <c r="D44" s="3576">
        <f>SUM(D45:D48)</f>
        <v>780</v>
      </c>
      <c r="E44" s="3576">
        <f>SUM(E45:E48)</f>
        <v>780</v>
      </c>
      <c r="F44" s="1808">
        <f>SUM(F45:F48)</f>
        <v>1560</v>
      </c>
      <c r="G44" s="1775"/>
      <c r="H44" s="1797"/>
      <c r="I44" s="1821" t="s">
        <v>241</v>
      </c>
      <c r="J44" s="1822"/>
      <c r="K44" s="1823"/>
      <c r="L44" s="1852">
        <v>0</v>
      </c>
      <c r="M44" s="1782">
        <v>0</v>
      </c>
      <c r="N44" s="1782">
        <v>0</v>
      </c>
      <c r="O44" s="1798">
        <v>0</v>
      </c>
      <c r="P44" s="1853">
        <v>0</v>
      </c>
      <c r="Q44" s="1853">
        <v>0</v>
      </c>
      <c r="R44" s="1854">
        <v>0</v>
      </c>
      <c r="S44" s="1775"/>
      <c r="T44" s="1779"/>
    </row>
    <row r="45" spans="2:20" ht="13.8" x14ac:dyDescent="0.3">
      <c r="B45" s="1843"/>
      <c r="C45" s="1781" t="s">
        <v>902</v>
      </c>
      <c r="D45" s="4046">
        <v>455</v>
      </c>
      <c r="E45" s="4046">
        <v>455</v>
      </c>
      <c r="F45" s="3574">
        <f t="shared" si="1"/>
        <v>910</v>
      </c>
      <c r="G45" s="1775"/>
      <c r="H45" s="1797"/>
      <c r="I45" s="1821" t="s">
        <v>242</v>
      </c>
      <c r="J45" s="1822"/>
      <c r="K45" s="1823"/>
      <c r="L45" s="1852">
        <v>0</v>
      </c>
      <c r="M45" s="1782">
        <v>0</v>
      </c>
      <c r="N45" s="1782">
        <v>0</v>
      </c>
      <c r="O45" s="1798">
        <v>0</v>
      </c>
      <c r="P45" s="1853">
        <v>0</v>
      </c>
      <c r="Q45" s="1853">
        <v>0</v>
      </c>
      <c r="R45" s="1854">
        <v>0</v>
      </c>
      <c r="S45" s="1775"/>
      <c r="T45" s="1779"/>
    </row>
    <row r="46" spans="2:20" ht="13.8" x14ac:dyDescent="0.3">
      <c r="B46" s="1843"/>
      <c r="C46" s="1781" t="s">
        <v>880</v>
      </c>
      <c r="D46" s="4046">
        <v>325</v>
      </c>
      <c r="E46" s="4046">
        <v>325</v>
      </c>
      <c r="F46" s="3574">
        <f t="shared" si="1"/>
        <v>650</v>
      </c>
      <c r="G46" s="1775"/>
      <c r="H46" s="1797"/>
      <c r="I46" s="1821" t="s">
        <v>243</v>
      </c>
      <c r="J46" s="1822"/>
      <c r="K46" s="1823"/>
      <c r="L46" s="1852">
        <v>0</v>
      </c>
      <c r="M46" s="1782">
        <v>0</v>
      </c>
      <c r="N46" s="1782">
        <v>0</v>
      </c>
      <c r="O46" s="1798">
        <v>0</v>
      </c>
      <c r="P46" s="1853">
        <v>0</v>
      </c>
      <c r="Q46" s="1853">
        <v>0</v>
      </c>
      <c r="R46" s="1854">
        <v>0</v>
      </c>
      <c r="S46" s="1775"/>
      <c r="T46" s="1779"/>
    </row>
    <row r="47" spans="2:20" ht="13.8" x14ac:dyDescent="0.3">
      <c r="B47" s="1843"/>
      <c r="C47" s="1781" t="s">
        <v>164</v>
      </c>
      <c r="D47" s="1790">
        <v>0</v>
      </c>
      <c r="E47" s="1790"/>
      <c r="F47" s="3574">
        <f t="shared" si="1"/>
        <v>0</v>
      </c>
      <c r="G47" s="1775"/>
      <c r="H47" s="1797"/>
      <c r="I47" s="1821" t="s">
        <v>244</v>
      </c>
      <c r="J47" s="1822"/>
      <c r="K47" s="1823"/>
      <c r="L47" s="1852">
        <v>0</v>
      </c>
      <c r="M47" s="1782">
        <v>0</v>
      </c>
      <c r="N47" s="1782">
        <v>0</v>
      </c>
      <c r="O47" s="1798">
        <v>0</v>
      </c>
      <c r="P47" s="1853">
        <v>0</v>
      </c>
      <c r="Q47" s="1853">
        <v>0</v>
      </c>
      <c r="R47" s="1854">
        <v>0</v>
      </c>
      <c r="S47" s="1775"/>
      <c r="T47" s="1779"/>
    </row>
    <row r="48" spans="2:20" ht="14.4" thickBot="1" x14ac:dyDescent="0.35">
      <c r="B48" s="1843"/>
      <c r="C48" s="1781" t="s">
        <v>165</v>
      </c>
      <c r="D48" s="1790">
        <v>0</v>
      </c>
      <c r="E48" s="1790"/>
      <c r="F48" s="3574">
        <f t="shared" si="1"/>
        <v>0</v>
      </c>
      <c r="G48" s="1775"/>
      <c r="H48" s="1797"/>
      <c r="I48" s="1821" t="s">
        <v>245</v>
      </c>
      <c r="J48" s="1822"/>
      <c r="K48" s="1823"/>
      <c r="L48" s="1852">
        <v>0</v>
      </c>
      <c r="M48" s="1782">
        <v>0</v>
      </c>
      <c r="N48" s="1782">
        <v>0</v>
      </c>
      <c r="O48" s="1798">
        <v>0</v>
      </c>
      <c r="P48" s="1853">
        <v>0</v>
      </c>
      <c r="Q48" s="1853">
        <v>0</v>
      </c>
      <c r="R48" s="1854">
        <v>0</v>
      </c>
      <c r="S48" s="1775"/>
      <c r="T48" s="1779"/>
    </row>
    <row r="49" spans="2:24" ht="14.4" thickBot="1" x14ac:dyDescent="0.35">
      <c r="B49" s="1841">
        <v>8000</v>
      </c>
      <c r="C49" s="1806" t="s">
        <v>174</v>
      </c>
      <c r="D49" s="3576">
        <f>SUM(D50:D53)</f>
        <v>0</v>
      </c>
      <c r="E49" s="3576">
        <f>SUM(E50:E53)</f>
        <v>0</v>
      </c>
      <c r="F49" s="1808">
        <f>SUM(F50:F53)</f>
        <v>0</v>
      </c>
      <c r="G49" s="1775"/>
      <c r="H49" s="1797"/>
      <c r="I49" s="1821" t="s">
        <v>246</v>
      </c>
      <c r="J49" s="1822"/>
      <c r="K49" s="1823"/>
      <c r="L49" s="1852">
        <v>0</v>
      </c>
      <c r="M49" s="1782">
        <v>0</v>
      </c>
      <c r="N49" s="1782">
        <v>0</v>
      </c>
      <c r="O49" s="1798">
        <v>0</v>
      </c>
      <c r="P49" s="1853">
        <v>0</v>
      </c>
      <c r="Q49" s="1853">
        <v>0</v>
      </c>
      <c r="R49" s="1854">
        <v>0</v>
      </c>
      <c r="S49" s="1775"/>
      <c r="T49" s="1779"/>
    </row>
    <row r="50" spans="2:24" ht="13.8" x14ac:dyDescent="0.3">
      <c r="B50" s="1843"/>
      <c r="C50" s="1781" t="s">
        <v>162</v>
      </c>
      <c r="D50" s="1790">
        <v>0</v>
      </c>
      <c r="E50" s="1790">
        <v>0</v>
      </c>
      <c r="F50" s="3574">
        <f t="shared" si="1"/>
        <v>0</v>
      </c>
      <c r="G50" s="1775"/>
      <c r="H50" s="1775"/>
      <c r="I50" s="1821" t="s">
        <v>247</v>
      </c>
      <c r="J50" s="1822"/>
      <c r="K50" s="1823"/>
      <c r="L50" s="1852">
        <v>0</v>
      </c>
      <c r="M50" s="1782">
        <v>0</v>
      </c>
      <c r="N50" s="1782">
        <v>0</v>
      </c>
      <c r="O50" s="1798">
        <v>0</v>
      </c>
      <c r="P50" s="1853">
        <v>0</v>
      </c>
      <c r="Q50" s="1853">
        <v>0</v>
      </c>
      <c r="R50" s="1854">
        <v>0</v>
      </c>
      <c r="S50" s="1775"/>
      <c r="T50" s="1779"/>
      <c r="U50" s="1775"/>
      <c r="V50" s="1775"/>
      <c r="W50" s="1775"/>
      <c r="X50" s="1775"/>
    </row>
    <row r="51" spans="2:24" ht="13.8" x14ac:dyDescent="0.3">
      <c r="B51" s="1843"/>
      <c r="C51" s="1781" t="s">
        <v>163</v>
      </c>
      <c r="D51" s="1790">
        <v>0</v>
      </c>
      <c r="E51" s="1790"/>
      <c r="F51" s="3574">
        <f t="shared" si="1"/>
        <v>0</v>
      </c>
      <c r="G51" s="1775"/>
      <c r="H51" s="1775"/>
      <c r="I51" s="1821" t="s">
        <v>248</v>
      </c>
      <c r="J51" s="1822"/>
      <c r="K51" s="1823"/>
      <c r="L51" s="1852">
        <v>0</v>
      </c>
      <c r="M51" s="1782">
        <v>0</v>
      </c>
      <c r="N51" s="1782">
        <v>0</v>
      </c>
      <c r="O51" s="1798">
        <v>0</v>
      </c>
      <c r="P51" s="1853">
        <v>0</v>
      </c>
      <c r="Q51" s="1853">
        <v>0</v>
      </c>
      <c r="R51" s="1854">
        <v>0</v>
      </c>
      <c r="S51" s="1775"/>
      <c r="T51" s="1779"/>
      <c r="U51" s="1775"/>
      <c r="V51" s="1775"/>
      <c r="W51" s="1775"/>
      <c r="X51" s="1775"/>
    </row>
    <row r="52" spans="2:24" ht="13.8" x14ac:dyDescent="0.3">
      <c r="B52" s="1843"/>
      <c r="C52" s="1781" t="s">
        <v>164</v>
      </c>
      <c r="D52" s="1790">
        <v>0</v>
      </c>
      <c r="E52" s="1790"/>
      <c r="F52" s="3574">
        <f t="shared" si="1"/>
        <v>0</v>
      </c>
      <c r="G52" s="1775"/>
      <c r="H52" s="1775"/>
      <c r="I52" s="1821" t="s">
        <v>249</v>
      </c>
      <c r="J52" s="1822"/>
      <c r="K52" s="1823"/>
      <c r="L52" s="1852">
        <v>0</v>
      </c>
      <c r="M52" s="1782">
        <v>0</v>
      </c>
      <c r="N52" s="1782">
        <v>0</v>
      </c>
      <c r="O52" s="1798">
        <v>0</v>
      </c>
      <c r="P52" s="1853">
        <v>0</v>
      </c>
      <c r="Q52" s="1853">
        <v>0</v>
      </c>
      <c r="R52" s="1854">
        <v>0</v>
      </c>
      <c r="S52" s="1775"/>
      <c r="T52" s="1779"/>
      <c r="U52" s="1775"/>
      <c r="V52" s="1775"/>
      <c r="W52" s="1775"/>
      <c r="X52" s="1775"/>
    </row>
    <row r="53" spans="2:24" ht="14.4" thickBot="1" x14ac:dyDescent="0.35">
      <c r="B53" s="1843"/>
      <c r="C53" s="1781" t="s">
        <v>165</v>
      </c>
      <c r="D53" s="1790">
        <v>0</v>
      </c>
      <c r="E53" s="1790"/>
      <c r="F53" s="3574">
        <f t="shared" si="1"/>
        <v>0</v>
      </c>
      <c r="G53" s="1775"/>
      <c r="H53" s="1775"/>
      <c r="I53" s="1821" t="s">
        <v>250</v>
      </c>
      <c r="J53" s="1822"/>
      <c r="K53" s="1823"/>
      <c r="L53" s="1852">
        <v>0</v>
      </c>
      <c r="M53" s="1782">
        <v>0</v>
      </c>
      <c r="N53" s="1782">
        <v>0</v>
      </c>
      <c r="O53" s="1798">
        <v>0</v>
      </c>
      <c r="P53" s="1853">
        <v>0</v>
      </c>
      <c r="Q53" s="1853">
        <v>0</v>
      </c>
      <c r="R53" s="1854">
        <v>0</v>
      </c>
      <c r="S53" s="1775"/>
      <c r="T53" s="1779"/>
      <c r="U53" s="1775"/>
      <c r="V53" s="1775"/>
      <c r="W53" s="1775"/>
      <c r="X53" s="1775"/>
    </row>
    <row r="54" spans="2:24" ht="14.4" thickBot="1" x14ac:dyDescent="0.35">
      <c r="B54" s="1841">
        <v>0</v>
      </c>
      <c r="C54" s="1806" t="s">
        <v>175</v>
      </c>
      <c r="D54" s="1807">
        <v>0</v>
      </c>
      <c r="E54" s="1807">
        <v>0</v>
      </c>
      <c r="F54" s="1808">
        <v>0</v>
      </c>
      <c r="G54" s="1809" t="s">
        <v>176</v>
      </c>
      <c r="H54" s="1775"/>
      <c r="I54" s="1821" t="s">
        <v>251</v>
      </c>
      <c r="J54" s="1822"/>
      <c r="K54" s="1823"/>
      <c r="L54" s="1852">
        <v>0</v>
      </c>
      <c r="M54" s="1782">
        <v>0</v>
      </c>
      <c r="N54" s="1782">
        <v>0</v>
      </c>
      <c r="O54" s="1798">
        <v>0</v>
      </c>
      <c r="P54" s="1853">
        <v>0</v>
      </c>
      <c r="Q54" s="1853">
        <v>0</v>
      </c>
      <c r="R54" s="1854">
        <v>0</v>
      </c>
      <c r="S54" s="1775"/>
      <c r="T54" s="1779"/>
      <c r="U54" s="1775"/>
      <c r="V54" s="1775"/>
      <c r="W54" s="1775"/>
      <c r="X54" s="1775"/>
    </row>
    <row r="55" spans="2:24" ht="14.4" thickBot="1" x14ac:dyDescent="0.35">
      <c r="B55" s="1841">
        <v>0</v>
      </c>
      <c r="C55" s="1806" t="s">
        <v>177</v>
      </c>
      <c r="D55" s="1807">
        <v>0</v>
      </c>
      <c r="E55" s="1807">
        <v>0</v>
      </c>
      <c r="F55" s="1808">
        <v>0</v>
      </c>
      <c r="G55" s="1775"/>
      <c r="H55" s="1775"/>
      <c r="I55" s="1775"/>
      <c r="J55" s="1775"/>
      <c r="K55" s="1775"/>
      <c r="L55" s="1775"/>
      <c r="M55" s="1775"/>
      <c r="N55" s="1775"/>
      <c r="O55" s="1775"/>
      <c r="P55" s="1855">
        <v>0</v>
      </c>
      <c r="Q55" s="1855">
        <v>0</v>
      </c>
      <c r="R55" s="1855">
        <v>0</v>
      </c>
      <c r="S55" s="1775"/>
      <c r="T55" s="1855">
        <v>0</v>
      </c>
      <c r="U55" s="1775"/>
      <c r="V55" s="1775"/>
      <c r="W55" s="1775"/>
      <c r="X55" s="1775"/>
    </row>
    <row r="56" spans="2:24" ht="13.8" x14ac:dyDescent="0.3">
      <c r="B56" s="1792">
        <v>332510</v>
      </c>
      <c r="C56" s="1776" t="s">
        <v>178</v>
      </c>
      <c r="D56" s="1792">
        <f>D13+D19+D24+D29+D34+D39+D44+D49+D54+D55</f>
        <v>154771.70799999998</v>
      </c>
      <c r="E56" s="3575">
        <f>E13+E19+E24+E29+E34+E39+E44+E49+E54+E55</f>
        <v>154771.70799999998</v>
      </c>
      <c r="F56" s="3575">
        <f>F13+F19+F24+F29+F34+F39+F44+F49+F54+F55</f>
        <v>309543.41599999997</v>
      </c>
      <c r="G56" s="1775"/>
      <c r="H56" s="1775"/>
      <c r="I56" s="1775"/>
      <c r="J56" s="1775"/>
      <c r="K56" s="1775"/>
      <c r="L56" s="1775"/>
      <c r="M56" s="1775"/>
      <c r="N56" s="1775"/>
      <c r="O56" s="1775"/>
      <c r="P56" s="1775"/>
      <c r="Q56" s="1775"/>
      <c r="R56" s="1775"/>
      <c r="S56" s="1775"/>
      <c r="T56" s="1775"/>
      <c r="U56" s="1775"/>
      <c r="V56" s="1775"/>
      <c r="W56" s="1775"/>
      <c r="X56" s="1775"/>
    </row>
    <row r="57" spans="2:24" ht="13.8" x14ac:dyDescent="0.3">
      <c r="B57" s="1775"/>
      <c r="C57" s="1776"/>
      <c r="D57" s="1792"/>
      <c r="E57" s="1792"/>
      <c r="F57" s="1792"/>
      <c r="G57" s="1775"/>
      <c r="H57" s="1775"/>
      <c r="I57" s="1775"/>
      <c r="J57" s="1775"/>
      <c r="K57" s="1775"/>
      <c r="L57" s="1775"/>
      <c r="M57" s="1775"/>
      <c r="N57" s="1775"/>
      <c r="O57" s="1775"/>
      <c r="P57" s="1775"/>
      <c r="Q57" s="1775"/>
      <c r="R57" s="1775"/>
      <c r="S57" s="1775"/>
      <c r="T57" s="1775"/>
      <c r="U57" s="1775"/>
      <c r="V57" s="1775"/>
      <c r="W57" s="1775"/>
      <c r="X57" s="1775"/>
    </row>
    <row r="58" spans="2:24" ht="13.8" x14ac:dyDescent="0.3">
      <c r="B58" s="1775"/>
      <c r="C58" s="1776" t="s">
        <v>179</v>
      </c>
      <c r="D58" s="1792">
        <f>D56</f>
        <v>154771.70799999998</v>
      </c>
      <c r="E58" s="3575">
        <f>E56</f>
        <v>154771.70799999998</v>
      </c>
      <c r="F58" s="3575">
        <f>F56</f>
        <v>309543.41599999997</v>
      </c>
      <c r="G58" s="1775"/>
      <c r="H58" s="3944"/>
      <c r="I58" s="3944"/>
      <c r="J58" s="3944"/>
      <c r="K58" s="3944"/>
      <c r="L58" s="3944"/>
      <c r="M58" s="3944"/>
      <c r="N58" s="3944"/>
      <c r="O58" s="3944"/>
      <c r="P58" s="3944"/>
      <c r="Q58" s="3944"/>
      <c r="R58" s="3944"/>
      <c r="S58" s="3944"/>
      <c r="T58" s="3944"/>
      <c r="U58" s="3944"/>
      <c r="V58" s="3944"/>
      <c r="W58" s="3944"/>
      <c r="X58" s="3944"/>
    </row>
    <row r="59" spans="2:24" ht="13.8" x14ac:dyDescent="0.3">
      <c r="B59" s="1775"/>
      <c r="C59" s="1776" t="s">
        <v>180</v>
      </c>
      <c r="D59" s="1777">
        <v>0</v>
      </c>
      <c r="E59" s="1777">
        <v>0</v>
      </c>
      <c r="F59" s="1777">
        <v>0</v>
      </c>
      <c r="G59" s="1869">
        <v>0</v>
      </c>
      <c r="H59" s="1870" t="s">
        <v>181</v>
      </c>
      <c r="I59" s="1775"/>
      <c r="J59" s="1775"/>
      <c r="K59" s="1775"/>
      <c r="L59" s="1775"/>
      <c r="M59" s="1775"/>
      <c r="N59" s="1775"/>
      <c r="O59" s="1775"/>
      <c r="P59" s="1775"/>
      <c r="Q59" s="1775"/>
      <c r="R59" s="1775"/>
      <c r="S59" s="1775"/>
      <c r="T59" s="1775"/>
      <c r="U59" s="1775"/>
      <c r="V59" s="1775"/>
      <c r="W59" s="1775"/>
      <c r="X59" s="1775"/>
    </row>
    <row r="60" spans="2:24" ht="14.4" thickBot="1" x14ac:dyDescent="0.35">
      <c r="B60" s="1775"/>
      <c r="C60" s="1775"/>
      <c r="D60" s="1775"/>
      <c r="E60" s="1775"/>
      <c r="F60" s="1775"/>
      <c r="G60" s="1775"/>
      <c r="H60" s="1775"/>
      <c r="I60" s="1775"/>
      <c r="J60" s="1775"/>
      <c r="K60" s="1775"/>
      <c r="L60" s="1775"/>
      <c r="M60" s="1775"/>
      <c r="N60" s="1775"/>
      <c r="O60" s="1775"/>
      <c r="P60" s="1775"/>
      <c r="Q60" s="1775"/>
      <c r="R60" s="1775"/>
      <c r="S60" s="1775"/>
      <c r="T60" s="1775"/>
      <c r="U60" s="1775"/>
      <c r="V60" s="1775"/>
      <c r="W60" s="1775"/>
      <c r="X60" s="1775"/>
    </row>
    <row r="61" spans="2:24" ht="16.2" thickBot="1" x14ac:dyDescent="0.35">
      <c r="B61" s="1819" t="s">
        <v>182</v>
      </c>
      <c r="C61" s="1820"/>
      <c r="D61" s="3558" t="s">
        <v>183</v>
      </c>
      <c r="E61" s="3554"/>
      <c r="F61" s="3554"/>
      <c r="G61" s="3554"/>
      <c r="H61" s="3554"/>
      <c r="I61" s="1775"/>
      <c r="J61" s="1775"/>
      <c r="K61" s="1831"/>
      <c r="L61" s="1775"/>
      <c r="M61" s="1775"/>
      <c r="N61" s="1775"/>
      <c r="O61" s="1775"/>
      <c r="P61" s="1775"/>
      <c r="Q61" s="1775"/>
      <c r="R61" s="1775"/>
      <c r="S61" s="1775"/>
      <c r="T61" s="1775"/>
      <c r="U61" s="1775"/>
      <c r="V61" s="1775"/>
      <c r="W61" s="1775"/>
      <c r="X61" s="1775"/>
    </row>
    <row r="62" spans="2:24" ht="16.2" thickBot="1" x14ac:dyDescent="0.35">
      <c r="B62" s="3555" t="s">
        <v>184</v>
      </c>
      <c r="C62" s="3556"/>
      <c r="D62" s="3556"/>
      <c r="E62" s="3556"/>
      <c r="F62" s="3556"/>
      <c r="G62" s="3556"/>
      <c r="H62" s="3556"/>
      <c r="I62" s="3556"/>
      <c r="J62" s="3556"/>
      <c r="K62" s="3557"/>
      <c r="L62" s="4785" t="s">
        <v>185</v>
      </c>
      <c r="M62" s="4786"/>
      <c r="N62" s="4786"/>
      <c r="O62" s="4786"/>
      <c r="P62" s="4786"/>
      <c r="Q62" s="4786"/>
      <c r="R62" s="4787"/>
      <c r="S62" s="4785" t="s">
        <v>186</v>
      </c>
      <c r="T62" s="4786"/>
      <c r="U62" s="4787"/>
      <c r="V62" s="4785" t="s">
        <v>132</v>
      </c>
      <c r="W62" s="4786"/>
      <c r="X62" s="4787"/>
    </row>
    <row r="63" spans="2:24" ht="14.4" thickBot="1" x14ac:dyDescent="0.35">
      <c r="B63" s="1783" t="s">
        <v>187</v>
      </c>
      <c r="C63" s="1784" t="s">
        <v>152</v>
      </c>
      <c r="D63" s="1784" t="s">
        <v>153</v>
      </c>
      <c r="E63" s="1784" t="s">
        <v>188</v>
      </c>
      <c r="F63" s="1784" t="s">
        <v>189</v>
      </c>
      <c r="G63" s="1784" t="s">
        <v>190</v>
      </c>
      <c r="H63" s="1784" t="s">
        <v>191</v>
      </c>
      <c r="I63" s="1784" t="s">
        <v>192</v>
      </c>
      <c r="J63" s="1784" t="s">
        <v>193</v>
      </c>
      <c r="K63" s="1785" t="s">
        <v>194</v>
      </c>
      <c r="L63" s="1856" t="s">
        <v>195</v>
      </c>
      <c r="M63" s="1857" t="s">
        <v>196</v>
      </c>
      <c r="N63" s="1810" t="s">
        <v>881</v>
      </c>
      <c r="O63" s="1810" t="s">
        <v>882</v>
      </c>
      <c r="P63" s="1858" t="s">
        <v>883</v>
      </c>
      <c r="Q63" s="1858" t="s">
        <v>884</v>
      </c>
      <c r="R63" s="1817" t="s">
        <v>885</v>
      </c>
      <c r="S63" s="1795" t="s">
        <v>202</v>
      </c>
      <c r="T63" s="1795" t="s">
        <v>203</v>
      </c>
      <c r="U63" s="1796" t="s">
        <v>204</v>
      </c>
      <c r="V63" s="1795" t="s">
        <v>137</v>
      </c>
      <c r="W63" s="1795" t="s">
        <v>12</v>
      </c>
      <c r="X63" s="1796" t="s">
        <v>138</v>
      </c>
    </row>
    <row r="64" spans="2:24" ht="13.8" x14ac:dyDescent="0.3">
      <c r="B64" s="1782"/>
      <c r="C64" s="1779" t="s">
        <v>409</v>
      </c>
      <c r="D64" s="1782">
        <v>0</v>
      </c>
      <c r="E64" s="1782" t="s">
        <v>617</v>
      </c>
      <c r="F64" s="1779" t="s">
        <v>211</v>
      </c>
      <c r="G64" s="1788">
        <v>0</v>
      </c>
      <c r="H64" s="1788">
        <v>0</v>
      </c>
      <c r="I64" s="1866">
        <v>0</v>
      </c>
      <c r="J64" s="1782">
        <v>0</v>
      </c>
      <c r="K64" s="1782"/>
      <c r="L64" s="1811" t="e">
        <v>#N/A</v>
      </c>
      <c r="M64" s="1811" t="e">
        <v>#N/A</v>
      </c>
      <c r="N64" s="1861" t="e">
        <v>#DIV/0!</v>
      </c>
      <c r="O64" s="1861" t="e">
        <v>#DIV/0!</v>
      </c>
      <c r="P64" s="1861" t="e">
        <v>#N/A</v>
      </c>
      <c r="Q64" s="1861" t="e">
        <v>#N/A</v>
      </c>
      <c r="R64" s="1861" t="e">
        <v>#N/A</v>
      </c>
      <c r="S64" s="1801">
        <v>0</v>
      </c>
      <c r="T64" s="1801">
        <v>0</v>
      </c>
      <c r="U64" s="1801">
        <v>0</v>
      </c>
      <c r="V64" s="1871" t="e">
        <v>#DIV/0!</v>
      </c>
      <c r="W64" s="1871" t="e">
        <v>#DIV/0!</v>
      </c>
      <c r="X64" s="1871" t="e">
        <v>#DIV/0!</v>
      </c>
    </row>
    <row r="65" spans="2:24" ht="13.8" x14ac:dyDescent="0.3">
      <c r="B65" s="1779"/>
      <c r="C65" s="1779" t="s">
        <v>410</v>
      </c>
      <c r="D65" s="1779">
        <v>0</v>
      </c>
      <c r="E65" s="1779" t="s">
        <v>617</v>
      </c>
      <c r="F65" s="1779" t="s">
        <v>211</v>
      </c>
      <c r="G65" s="1788">
        <v>0</v>
      </c>
      <c r="H65" s="1788">
        <v>0</v>
      </c>
      <c r="I65" s="1866">
        <v>0</v>
      </c>
      <c r="J65" s="1782">
        <v>0</v>
      </c>
      <c r="K65" s="1782"/>
      <c r="L65" s="1811" t="e">
        <v>#N/A</v>
      </c>
      <c r="M65" s="1811" t="e">
        <v>#N/A</v>
      </c>
      <c r="N65" s="1861" t="e">
        <v>#DIV/0!</v>
      </c>
      <c r="O65" s="1861" t="e">
        <v>#DIV/0!</v>
      </c>
      <c r="P65" s="1861" t="e">
        <v>#N/A</v>
      </c>
      <c r="Q65" s="1861" t="e">
        <v>#N/A</v>
      </c>
      <c r="R65" s="1861" t="e">
        <v>#N/A</v>
      </c>
      <c r="S65" s="1801">
        <v>0</v>
      </c>
      <c r="T65" s="1801">
        <v>0</v>
      </c>
      <c r="U65" s="1801">
        <v>0</v>
      </c>
      <c r="V65" s="1871" t="e">
        <v>#DIV/0!</v>
      </c>
      <c r="W65" s="1871" t="e">
        <v>#DIV/0!</v>
      </c>
      <c r="X65" s="1871" t="e">
        <v>#DIV/0!</v>
      </c>
    </row>
    <row r="66" spans="2:24" ht="13.8" x14ac:dyDescent="0.3">
      <c r="B66" s="1779"/>
      <c r="C66" s="1779" t="s">
        <v>411</v>
      </c>
      <c r="D66" s="1779">
        <v>0</v>
      </c>
      <c r="E66" s="1779" t="s">
        <v>617</v>
      </c>
      <c r="F66" s="1779" t="s">
        <v>211</v>
      </c>
      <c r="G66" s="1788">
        <v>0</v>
      </c>
      <c r="H66" s="1788">
        <v>0</v>
      </c>
      <c r="I66" s="1866">
        <v>0</v>
      </c>
      <c r="J66" s="1782">
        <v>0</v>
      </c>
      <c r="K66" s="1782"/>
      <c r="L66" s="1811" t="e">
        <v>#N/A</v>
      </c>
      <c r="M66" s="1811" t="e">
        <v>#N/A</v>
      </c>
      <c r="N66" s="1861" t="e">
        <v>#DIV/0!</v>
      </c>
      <c r="O66" s="1861" t="e">
        <v>#DIV/0!</v>
      </c>
      <c r="P66" s="1861" t="e">
        <v>#N/A</v>
      </c>
      <c r="Q66" s="1861" t="e">
        <v>#N/A</v>
      </c>
      <c r="R66" s="1861" t="e">
        <v>#N/A</v>
      </c>
      <c r="S66" s="1801">
        <v>0</v>
      </c>
      <c r="T66" s="1801">
        <v>0</v>
      </c>
      <c r="U66" s="1801">
        <v>0</v>
      </c>
      <c r="V66" s="1871" t="e">
        <v>#DIV/0!</v>
      </c>
      <c r="W66" s="1871" t="e">
        <v>#DIV/0!</v>
      </c>
      <c r="X66" s="1871" t="e">
        <v>#DIV/0!</v>
      </c>
    </row>
    <row r="67" spans="2:24" ht="13.8" x14ac:dyDescent="0.3">
      <c r="B67" s="1779"/>
      <c r="C67" s="1779" t="s">
        <v>213</v>
      </c>
      <c r="D67" s="1779">
        <v>0</v>
      </c>
      <c r="E67" s="1779" t="s">
        <v>617</v>
      </c>
      <c r="F67" s="1779" t="s">
        <v>211</v>
      </c>
      <c r="G67" s="1788">
        <v>0</v>
      </c>
      <c r="H67" s="1788">
        <v>0</v>
      </c>
      <c r="I67" s="1866">
        <v>0</v>
      </c>
      <c r="J67" s="1782">
        <v>0</v>
      </c>
      <c r="K67" s="1782"/>
      <c r="L67" s="1811" t="e">
        <v>#N/A</v>
      </c>
      <c r="M67" s="1811" t="e">
        <v>#N/A</v>
      </c>
      <c r="N67" s="1861" t="e">
        <v>#DIV/0!</v>
      </c>
      <c r="O67" s="1861" t="e">
        <v>#DIV/0!</v>
      </c>
      <c r="P67" s="1861" t="e">
        <v>#N/A</v>
      </c>
      <c r="Q67" s="1861" t="e">
        <v>#N/A</v>
      </c>
      <c r="R67" s="1861" t="e">
        <v>#N/A</v>
      </c>
      <c r="S67" s="1801">
        <v>0</v>
      </c>
      <c r="T67" s="1801">
        <v>0</v>
      </c>
      <c r="U67" s="1801">
        <v>0</v>
      </c>
      <c r="V67" s="1871" t="e">
        <v>#DIV/0!</v>
      </c>
      <c r="W67" s="1871" t="e">
        <v>#DIV/0!</v>
      </c>
      <c r="X67" s="1871" t="e">
        <v>#DIV/0!</v>
      </c>
    </row>
    <row r="68" spans="2:24" ht="13.8" x14ac:dyDescent="0.3">
      <c r="B68" s="1779"/>
      <c r="C68" s="1779" t="s">
        <v>214</v>
      </c>
      <c r="D68" s="1779">
        <v>0</v>
      </c>
      <c r="E68" s="1779" t="s">
        <v>617</v>
      </c>
      <c r="F68" s="1779" t="s">
        <v>211</v>
      </c>
      <c r="G68" s="1788">
        <v>0</v>
      </c>
      <c r="H68" s="1788">
        <v>0</v>
      </c>
      <c r="I68" s="1866">
        <v>0</v>
      </c>
      <c r="J68" s="1782">
        <v>0</v>
      </c>
      <c r="K68" s="1782"/>
      <c r="L68" s="1811" t="e">
        <v>#N/A</v>
      </c>
      <c r="M68" s="1811" t="e">
        <v>#N/A</v>
      </c>
      <c r="N68" s="1861" t="e">
        <v>#DIV/0!</v>
      </c>
      <c r="O68" s="1861" t="e">
        <v>#DIV/0!</v>
      </c>
      <c r="P68" s="1861" t="e">
        <v>#N/A</v>
      </c>
      <c r="Q68" s="1861" t="e">
        <v>#N/A</v>
      </c>
      <c r="R68" s="1861" t="e">
        <v>#N/A</v>
      </c>
      <c r="S68" s="1801">
        <v>0</v>
      </c>
      <c r="T68" s="1801">
        <v>0</v>
      </c>
      <c r="U68" s="1801">
        <v>0</v>
      </c>
      <c r="V68" s="1871" t="e">
        <v>#DIV/0!</v>
      </c>
      <c r="W68" s="1871" t="e">
        <v>#DIV/0!</v>
      </c>
      <c r="X68" s="1871" t="e">
        <v>#DIV/0!</v>
      </c>
    </row>
    <row r="69" spans="2:24" ht="13.8" x14ac:dyDescent="0.3">
      <c r="B69" s="1779"/>
      <c r="C69" s="1779" t="s">
        <v>215</v>
      </c>
      <c r="D69" s="1779">
        <v>0</v>
      </c>
      <c r="E69" s="1779" t="s">
        <v>617</v>
      </c>
      <c r="F69" s="1779" t="s">
        <v>211</v>
      </c>
      <c r="G69" s="1788">
        <v>0</v>
      </c>
      <c r="H69" s="1788">
        <v>0</v>
      </c>
      <c r="I69" s="1866">
        <v>0</v>
      </c>
      <c r="J69" s="1782">
        <v>0</v>
      </c>
      <c r="K69" s="1782"/>
      <c r="L69" s="1811" t="e">
        <v>#N/A</v>
      </c>
      <c r="M69" s="1811" t="e">
        <v>#N/A</v>
      </c>
      <c r="N69" s="1861" t="e">
        <v>#DIV/0!</v>
      </c>
      <c r="O69" s="1861" t="e">
        <v>#DIV/0!</v>
      </c>
      <c r="P69" s="1861" t="e">
        <v>#N/A</v>
      </c>
      <c r="Q69" s="1861" t="e">
        <v>#N/A</v>
      </c>
      <c r="R69" s="1861" t="e">
        <v>#N/A</v>
      </c>
      <c r="S69" s="1801">
        <v>0</v>
      </c>
      <c r="T69" s="1801">
        <v>0</v>
      </c>
      <c r="U69" s="1801">
        <v>0</v>
      </c>
      <c r="V69" s="1871" t="e">
        <v>#DIV/0!</v>
      </c>
      <c r="W69" s="1871" t="e">
        <v>#DIV/0!</v>
      </c>
      <c r="X69" s="1871" t="e">
        <v>#DIV/0!</v>
      </c>
    </row>
    <row r="70" spans="2:24" ht="13.8" x14ac:dyDescent="0.3">
      <c r="B70" s="1779"/>
      <c r="C70" s="1779" t="s">
        <v>216</v>
      </c>
      <c r="D70" s="1782">
        <v>0</v>
      </c>
      <c r="E70" s="1779" t="s">
        <v>617</v>
      </c>
      <c r="F70" s="1779" t="s">
        <v>211</v>
      </c>
      <c r="G70" s="1788"/>
      <c r="H70" s="1788"/>
      <c r="I70" s="1799">
        <v>0</v>
      </c>
      <c r="J70" s="1782">
        <v>0</v>
      </c>
      <c r="K70" s="1782"/>
      <c r="L70" s="1811" t="e">
        <v>#N/A</v>
      </c>
      <c r="M70" s="1811" t="e">
        <v>#N/A</v>
      </c>
      <c r="N70" s="1861" t="e">
        <v>#DIV/0!</v>
      </c>
      <c r="O70" s="1861" t="e">
        <v>#DIV/0!</v>
      </c>
      <c r="P70" s="1861" t="e">
        <v>#N/A</v>
      </c>
      <c r="Q70" s="1861" t="e">
        <v>#N/A</v>
      </c>
      <c r="R70" s="1861" t="e">
        <v>#N/A</v>
      </c>
      <c r="S70" s="1801">
        <v>0</v>
      </c>
      <c r="T70" s="1801">
        <v>0</v>
      </c>
      <c r="U70" s="1801">
        <v>0</v>
      </c>
      <c r="V70" s="1871" t="e">
        <v>#DIV/0!</v>
      </c>
      <c r="W70" s="1871" t="e">
        <v>#DIV/0!</v>
      </c>
      <c r="X70" s="1871" t="e">
        <v>#DIV/0!</v>
      </c>
    </row>
    <row r="71" spans="2:24" ht="13.8" x14ac:dyDescent="0.3">
      <c r="B71" s="1779"/>
      <c r="C71" s="1779" t="s">
        <v>217</v>
      </c>
      <c r="D71" s="1779">
        <v>0</v>
      </c>
      <c r="E71" s="1779" t="s">
        <v>617</v>
      </c>
      <c r="F71" s="1779" t="s">
        <v>211</v>
      </c>
      <c r="G71" s="1788"/>
      <c r="H71" s="1788"/>
      <c r="I71" s="1799">
        <v>0</v>
      </c>
      <c r="J71" s="1782"/>
      <c r="K71" s="1782"/>
      <c r="L71" s="1811" t="e">
        <v>#N/A</v>
      </c>
      <c r="M71" s="1811" t="e">
        <v>#N/A</v>
      </c>
      <c r="N71" s="1861" t="e">
        <v>#DIV/0!</v>
      </c>
      <c r="O71" s="1861" t="e">
        <v>#DIV/0!</v>
      </c>
      <c r="P71" s="1861" t="e">
        <v>#N/A</v>
      </c>
      <c r="Q71" s="1861" t="e">
        <v>#N/A</v>
      </c>
      <c r="R71" s="1861" t="e">
        <v>#N/A</v>
      </c>
      <c r="S71" s="1801">
        <v>0</v>
      </c>
      <c r="T71" s="1801">
        <v>0</v>
      </c>
      <c r="U71" s="1801">
        <v>0</v>
      </c>
      <c r="V71" s="1871" t="e">
        <v>#DIV/0!</v>
      </c>
      <c r="W71" s="1871" t="e">
        <v>#DIV/0!</v>
      </c>
      <c r="X71" s="1871" t="e">
        <v>#DIV/0!</v>
      </c>
    </row>
    <row r="72" spans="2:24" ht="13.8" x14ac:dyDescent="0.3">
      <c r="B72" s="1779"/>
      <c r="C72" s="1779" t="s">
        <v>218</v>
      </c>
      <c r="D72" s="1782">
        <v>0</v>
      </c>
      <c r="E72" s="1779" t="s">
        <v>617</v>
      </c>
      <c r="F72" s="1779" t="s">
        <v>211</v>
      </c>
      <c r="G72" s="1788"/>
      <c r="H72" s="1788"/>
      <c r="I72" s="1799">
        <v>0</v>
      </c>
      <c r="J72" s="1782"/>
      <c r="K72" s="1782"/>
      <c r="L72" s="1811" t="e">
        <v>#N/A</v>
      </c>
      <c r="M72" s="1811" t="e">
        <v>#N/A</v>
      </c>
      <c r="N72" s="1861" t="e">
        <v>#DIV/0!</v>
      </c>
      <c r="O72" s="1861" t="e">
        <v>#DIV/0!</v>
      </c>
      <c r="P72" s="1861" t="e">
        <v>#N/A</v>
      </c>
      <c r="Q72" s="1861" t="e">
        <v>#N/A</v>
      </c>
      <c r="R72" s="1861" t="e">
        <v>#N/A</v>
      </c>
      <c r="S72" s="1801">
        <v>0</v>
      </c>
      <c r="T72" s="1801">
        <v>0</v>
      </c>
      <c r="U72" s="1801">
        <v>0</v>
      </c>
      <c r="V72" s="1871" t="e">
        <v>#DIV/0!</v>
      </c>
      <c r="W72" s="1871" t="e">
        <v>#DIV/0!</v>
      </c>
      <c r="X72" s="1871" t="e">
        <v>#DIV/0!</v>
      </c>
    </row>
    <row r="73" spans="2:24" ht="13.8" x14ac:dyDescent="0.3">
      <c r="B73" s="1779"/>
      <c r="C73" s="1779" t="s">
        <v>219</v>
      </c>
      <c r="D73" s="1779">
        <v>0</v>
      </c>
      <c r="E73" s="1779" t="s">
        <v>617</v>
      </c>
      <c r="F73" s="1779" t="s">
        <v>211</v>
      </c>
      <c r="G73" s="1788"/>
      <c r="H73" s="1788"/>
      <c r="I73" s="1799">
        <v>0</v>
      </c>
      <c r="J73" s="1782"/>
      <c r="K73" s="1782"/>
      <c r="L73" s="1811" t="e">
        <v>#N/A</v>
      </c>
      <c r="M73" s="1811" t="e">
        <v>#N/A</v>
      </c>
      <c r="N73" s="1861" t="e">
        <v>#DIV/0!</v>
      </c>
      <c r="O73" s="1861" t="e">
        <v>#DIV/0!</v>
      </c>
      <c r="P73" s="1861" t="e">
        <v>#N/A</v>
      </c>
      <c r="Q73" s="1861" t="e">
        <v>#N/A</v>
      </c>
      <c r="R73" s="1861" t="e">
        <v>#N/A</v>
      </c>
      <c r="S73" s="1801">
        <v>0</v>
      </c>
      <c r="T73" s="1801">
        <v>0</v>
      </c>
      <c r="U73" s="1801">
        <v>0</v>
      </c>
      <c r="V73" s="1871" t="e">
        <v>#DIV/0!</v>
      </c>
      <c r="W73" s="1871" t="e">
        <v>#DIV/0!</v>
      </c>
      <c r="X73" s="1871" t="e">
        <v>#DIV/0!</v>
      </c>
    </row>
    <row r="74" spans="2:24" ht="13.8" x14ac:dyDescent="0.3">
      <c r="B74" s="1779"/>
      <c r="C74" s="1779" t="s">
        <v>220</v>
      </c>
      <c r="D74" s="1782">
        <v>0</v>
      </c>
      <c r="E74" s="1779" t="s">
        <v>617</v>
      </c>
      <c r="F74" s="1779" t="s">
        <v>211</v>
      </c>
      <c r="G74" s="1788"/>
      <c r="H74" s="1788"/>
      <c r="I74" s="1799">
        <v>0</v>
      </c>
      <c r="J74" s="1782"/>
      <c r="K74" s="1782"/>
      <c r="L74" s="1811" t="e">
        <v>#N/A</v>
      </c>
      <c r="M74" s="1811" t="e">
        <v>#N/A</v>
      </c>
      <c r="N74" s="1861" t="e">
        <v>#DIV/0!</v>
      </c>
      <c r="O74" s="1861" t="e">
        <v>#DIV/0!</v>
      </c>
      <c r="P74" s="1861" t="e">
        <v>#N/A</v>
      </c>
      <c r="Q74" s="1861" t="e">
        <v>#N/A</v>
      </c>
      <c r="R74" s="1861" t="e">
        <v>#N/A</v>
      </c>
      <c r="S74" s="1801">
        <v>0</v>
      </c>
      <c r="T74" s="1801">
        <v>0</v>
      </c>
      <c r="U74" s="1801">
        <v>0</v>
      </c>
      <c r="V74" s="1871" t="e">
        <v>#DIV/0!</v>
      </c>
      <c r="W74" s="1871" t="e">
        <v>#DIV/0!</v>
      </c>
      <c r="X74" s="1871" t="e">
        <v>#DIV/0!</v>
      </c>
    </row>
    <row r="75" spans="2:24" ht="13.8" x14ac:dyDescent="0.3">
      <c r="B75" s="1779"/>
      <c r="C75" s="1779" t="s">
        <v>221</v>
      </c>
      <c r="D75" s="1779">
        <v>0</v>
      </c>
      <c r="E75" s="1779" t="s">
        <v>617</v>
      </c>
      <c r="F75" s="1779" t="s">
        <v>211</v>
      </c>
      <c r="G75" s="1788"/>
      <c r="H75" s="1788"/>
      <c r="I75" s="1799">
        <v>0</v>
      </c>
      <c r="J75" s="1782"/>
      <c r="K75" s="1782"/>
      <c r="L75" s="1811" t="e">
        <v>#N/A</v>
      </c>
      <c r="M75" s="1811" t="e">
        <v>#N/A</v>
      </c>
      <c r="N75" s="1861" t="e">
        <v>#DIV/0!</v>
      </c>
      <c r="O75" s="1861" t="e">
        <v>#DIV/0!</v>
      </c>
      <c r="P75" s="1861" t="e">
        <v>#N/A</v>
      </c>
      <c r="Q75" s="1861" t="e">
        <v>#N/A</v>
      </c>
      <c r="R75" s="1861" t="e">
        <v>#N/A</v>
      </c>
      <c r="S75" s="1801">
        <v>0</v>
      </c>
      <c r="T75" s="1801">
        <v>0</v>
      </c>
      <c r="U75" s="1801">
        <v>0</v>
      </c>
      <c r="V75" s="1871" t="e">
        <v>#DIV/0!</v>
      </c>
      <c r="W75" s="1871" t="e">
        <v>#DIV/0!</v>
      </c>
      <c r="X75" s="1871" t="e">
        <v>#DIV/0!</v>
      </c>
    </row>
    <row r="76" spans="2:24" ht="13.8" x14ac:dyDescent="0.3">
      <c r="B76" s="1779"/>
      <c r="C76" s="1779" t="s">
        <v>222</v>
      </c>
      <c r="D76" s="1782">
        <v>0</v>
      </c>
      <c r="E76" s="1779" t="s">
        <v>617</v>
      </c>
      <c r="F76" s="1779" t="s">
        <v>211</v>
      </c>
      <c r="G76" s="1788"/>
      <c r="H76" s="1788"/>
      <c r="I76" s="1799">
        <v>0</v>
      </c>
      <c r="J76" s="1782"/>
      <c r="K76" s="1782"/>
      <c r="L76" s="1811" t="e">
        <v>#N/A</v>
      </c>
      <c r="M76" s="1811" t="e">
        <v>#N/A</v>
      </c>
      <c r="N76" s="1861" t="e">
        <v>#DIV/0!</v>
      </c>
      <c r="O76" s="1861" t="e">
        <v>#DIV/0!</v>
      </c>
      <c r="P76" s="1861" t="e">
        <v>#N/A</v>
      </c>
      <c r="Q76" s="1861" t="e">
        <v>#N/A</v>
      </c>
      <c r="R76" s="1861" t="e">
        <v>#N/A</v>
      </c>
      <c r="S76" s="1801">
        <v>0</v>
      </c>
      <c r="T76" s="1801">
        <v>0</v>
      </c>
      <c r="U76" s="1801">
        <v>0</v>
      </c>
      <c r="V76" s="1871" t="e">
        <v>#DIV/0!</v>
      </c>
      <c r="W76" s="1871" t="e">
        <v>#DIV/0!</v>
      </c>
      <c r="X76" s="1871" t="e">
        <v>#DIV/0!</v>
      </c>
    </row>
    <row r="77" spans="2:24" ht="13.8" x14ac:dyDescent="0.3">
      <c r="B77" s="1779"/>
      <c r="C77" s="1779" t="s">
        <v>223</v>
      </c>
      <c r="D77" s="1779">
        <v>0</v>
      </c>
      <c r="E77" s="1779" t="s">
        <v>617</v>
      </c>
      <c r="F77" s="1779" t="s">
        <v>211</v>
      </c>
      <c r="G77" s="1788"/>
      <c r="H77" s="1788"/>
      <c r="I77" s="1799">
        <v>0</v>
      </c>
      <c r="J77" s="1782"/>
      <c r="K77" s="1782"/>
      <c r="L77" s="1811" t="e">
        <v>#N/A</v>
      </c>
      <c r="M77" s="1811" t="e">
        <v>#N/A</v>
      </c>
      <c r="N77" s="1861" t="e">
        <v>#DIV/0!</v>
      </c>
      <c r="O77" s="1861" t="e">
        <v>#DIV/0!</v>
      </c>
      <c r="P77" s="1861" t="e">
        <v>#N/A</v>
      </c>
      <c r="Q77" s="1861" t="e">
        <v>#N/A</v>
      </c>
      <c r="R77" s="1861" t="e">
        <v>#N/A</v>
      </c>
      <c r="S77" s="1801">
        <v>0</v>
      </c>
      <c r="T77" s="1801">
        <v>0</v>
      </c>
      <c r="U77" s="1801">
        <v>0</v>
      </c>
      <c r="V77" s="1871" t="e">
        <v>#DIV/0!</v>
      </c>
      <c r="W77" s="1871" t="e">
        <v>#DIV/0!</v>
      </c>
      <c r="X77" s="1871" t="e">
        <v>#DIV/0!</v>
      </c>
    </row>
    <row r="78" spans="2:24" ht="13.8" x14ac:dyDescent="0.3">
      <c r="B78" s="1779"/>
      <c r="C78" s="1779" t="s">
        <v>224</v>
      </c>
      <c r="D78" s="1782">
        <v>0</v>
      </c>
      <c r="E78" s="1779" t="s">
        <v>617</v>
      </c>
      <c r="F78" s="1779" t="s">
        <v>211</v>
      </c>
      <c r="G78" s="1788"/>
      <c r="H78" s="1788"/>
      <c r="I78" s="1799">
        <v>0</v>
      </c>
      <c r="J78" s="1782"/>
      <c r="K78" s="1782"/>
      <c r="L78" s="1811" t="e">
        <v>#N/A</v>
      </c>
      <c r="M78" s="1811" t="e">
        <v>#N/A</v>
      </c>
      <c r="N78" s="1861" t="e">
        <v>#DIV/0!</v>
      </c>
      <c r="O78" s="1861" t="e">
        <v>#DIV/0!</v>
      </c>
      <c r="P78" s="1861" t="e">
        <v>#N/A</v>
      </c>
      <c r="Q78" s="1861" t="e">
        <v>#N/A</v>
      </c>
      <c r="R78" s="1861" t="e">
        <v>#N/A</v>
      </c>
      <c r="S78" s="1801">
        <v>0</v>
      </c>
      <c r="T78" s="1801">
        <v>0</v>
      </c>
      <c r="U78" s="1801">
        <v>0</v>
      </c>
      <c r="V78" s="1871" t="e">
        <v>#DIV/0!</v>
      </c>
      <c r="W78" s="1871" t="e">
        <v>#DIV/0!</v>
      </c>
      <c r="X78" s="1871" t="e">
        <v>#DIV/0!</v>
      </c>
    </row>
    <row r="79" spans="2:24" ht="13.8" x14ac:dyDescent="0.3">
      <c r="B79" s="1779"/>
      <c r="C79" s="1779" t="s">
        <v>225</v>
      </c>
      <c r="D79" s="1779">
        <v>0</v>
      </c>
      <c r="E79" s="1779" t="s">
        <v>617</v>
      </c>
      <c r="F79" s="1779" t="s">
        <v>211</v>
      </c>
      <c r="G79" s="1788"/>
      <c r="H79" s="1788"/>
      <c r="I79" s="1799">
        <v>0</v>
      </c>
      <c r="J79" s="1782"/>
      <c r="K79" s="1782"/>
      <c r="L79" s="1811" t="e">
        <v>#N/A</v>
      </c>
      <c r="M79" s="1811" t="e">
        <v>#N/A</v>
      </c>
      <c r="N79" s="1861" t="e">
        <v>#DIV/0!</v>
      </c>
      <c r="O79" s="1861" t="e">
        <v>#DIV/0!</v>
      </c>
      <c r="P79" s="1861" t="e">
        <v>#N/A</v>
      </c>
      <c r="Q79" s="1861" t="e">
        <v>#N/A</v>
      </c>
      <c r="R79" s="1861" t="e">
        <v>#N/A</v>
      </c>
      <c r="S79" s="1801">
        <v>0</v>
      </c>
      <c r="T79" s="1801">
        <v>0</v>
      </c>
      <c r="U79" s="1801">
        <v>0</v>
      </c>
      <c r="V79" s="1871" t="e">
        <v>#DIV/0!</v>
      </c>
      <c r="W79" s="1871" t="e">
        <v>#DIV/0!</v>
      </c>
      <c r="X79" s="1871" t="e">
        <v>#DIV/0!</v>
      </c>
    </row>
    <row r="80" spans="2:24" ht="13.8" x14ac:dyDescent="0.3">
      <c r="B80" s="1779"/>
      <c r="C80" s="1779" t="s">
        <v>226</v>
      </c>
      <c r="D80" s="1782">
        <v>0</v>
      </c>
      <c r="E80" s="1779" t="s">
        <v>617</v>
      </c>
      <c r="F80" s="1779" t="s">
        <v>211</v>
      </c>
      <c r="G80" s="1788"/>
      <c r="H80" s="1788"/>
      <c r="I80" s="1799">
        <v>0</v>
      </c>
      <c r="J80" s="1782"/>
      <c r="K80" s="1782"/>
      <c r="L80" s="1811" t="e">
        <v>#REF!</v>
      </c>
      <c r="M80" s="1811" t="e">
        <v>#REF!</v>
      </c>
      <c r="N80" s="1861" t="e">
        <v>#DIV/0!</v>
      </c>
      <c r="O80" s="1861" t="e">
        <v>#DIV/0!</v>
      </c>
      <c r="P80" s="1861" t="e">
        <v>#REF!</v>
      </c>
      <c r="Q80" s="1861" t="e">
        <v>#REF!</v>
      </c>
      <c r="R80" s="1861" t="e">
        <v>#N/A</v>
      </c>
      <c r="S80" s="1801">
        <v>0</v>
      </c>
      <c r="T80" s="1801">
        <v>0</v>
      </c>
      <c r="U80" s="1801">
        <v>0</v>
      </c>
      <c r="V80" s="1871" t="e">
        <v>#DIV/0!</v>
      </c>
      <c r="W80" s="1871" t="e">
        <v>#DIV/0!</v>
      </c>
      <c r="X80" s="1871" t="e">
        <v>#DIV/0!</v>
      </c>
    </row>
    <row r="81" spans="2:24" ht="13.8" x14ac:dyDescent="0.3">
      <c r="B81" s="1779"/>
      <c r="C81" s="1779" t="s">
        <v>227</v>
      </c>
      <c r="D81" s="1779">
        <v>0</v>
      </c>
      <c r="E81" s="1779" t="s">
        <v>617</v>
      </c>
      <c r="F81" s="1779" t="s">
        <v>211</v>
      </c>
      <c r="G81" s="1788"/>
      <c r="H81" s="1788"/>
      <c r="I81" s="1799">
        <v>0</v>
      </c>
      <c r="J81" s="1782"/>
      <c r="K81" s="1782"/>
      <c r="L81" s="1811" t="e">
        <v>#REF!</v>
      </c>
      <c r="M81" s="1811" t="e">
        <v>#REF!</v>
      </c>
      <c r="N81" s="1861" t="e">
        <v>#DIV/0!</v>
      </c>
      <c r="O81" s="1861" t="e">
        <v>#DIV/0!</v>
      </c>
      <c r="P81" s="1861" t="e">
        <v>#REF!</v>
      </c>
      <c r="Q81" s="1861" t="e">
        <v>#REF!</v>
      </c>
      <c r="R81" s="1861" t="e">
        <v>#N/A</v>
      </c>
      <c r="S81" s="1801">
        <v>0</v>
      </c>
      <c r="T81" s="1801">
        <v>0</v>
      </c>
      <c r="U81" s="1801">
        <v>0</v>
      </c>
      <c r="V81" s="1871" t="e">
        <v>#DIV/0!</v>
      </c>
      <c r="W81" s="1871" t="e">
        <v>#DIV/0!</v>
      </c>
      <c r="X81" s="1871" t="e">
        <v>#DIV/0!</v>
      </c>
    </row>
    <row r="82" spans="2:24" ht="13.8" x14ac:dyDescent="0.3">
      <c r="B82" s="1779"/>
      <c r="C82" s="1779" t="s">
        <v>228</v>
      </c>
      <c r="D82" s="1779">
        <v>0</v>
      </c>
      <c r="E82" s="1779" t="s">
        <v>617</v>
      </c>
      <c r="F82" s="1779" t="s">
        <v>211</v>
      </c>
      <c r="G82" s="1788"/>
      <c r="H82" s="1788"/>
      <c r="I82" s="1799">
        <v>0</v>
      </c>
      <c r="J82" s="1782"/>
      <c r="K82" s="1782"/>
      <c r="L82" s="1811" t="e">
        <v>#REF!</v>
      </c>
      <c r="M82" s="1811" t="e">
        <v>#REF!</v>
      </c>
      <c r="N82" s="1861" t="e">
        <v>#DIV/0!</v>
      </c>
      <c r="O82" s="1861" t="e">
        <v>#DIV/0!</v>
      </c>
      <c r="P82" s="1861" t="e">
        <v>#REF!</v>
      </c>
      <c r="Q82" s="1861" t="e">
        <v>#REF!</v>
      </c>
      <c r="R82" s="1861" t="e">
        <v>#N/A</v>
      </c>
      <c r="S82" s="1801">
        <v>0</v>
      </c>
      <c r="T82" s="1801">
        <v>0</v>
      </c>
      <c r="U82" s="1801">
        <v>0</v>
      </c>
      <c r="V82" s="1871" t="e">
        <v>#DIV/0!</v>
      </c>
      <c r="W82" s="1871" t="e">
        <v>#DIV/0!</v>
      </c>
      <c r="X82" s="1871" t="e">
        <v>#DIV/0!</v>
      </c>
    </row>
    <row r="83" spans="2:24" ht="13.8" x14ac:dyDescent="0.3">
      <c r="B83" s="1779"/>
      <c r="C83" s="1779" t="s">
        <v>229</v>
      </c>
      <c r="D83" s="1779">
        <v>0</v>
      </c>
      <c r="E83" s="1779" t="s">
        <v>617</v>
      </c>
      <c r="F83" s="1779" t="s">
        <v>211</v>
      </c>
      <c r="G83" s="1788"/>
      <c r="H83" s="1788"/>
      <c r="I83" s="1799">
        <v>0</v>
      </c>
      <c r="J83" s="1782"/>
      <c r="K83" s="1782"/>
      <c r="L83" s="1811" t="e">
        <v>#REF!</v>
      </c>
      <c r="M83" s="1811" t="e">
        <v>#REF!</v>
      </c>
      <c r="N83" s="1861" t="e">
        <v>#DIV/0!</v>
      </c>
      <c r="O83" s="1861" t="e">
        <v>#DIV/0!</v>
      </c>
      <c r="P83" s="1861" t="e">
        <v>#REF!</v>
      </c>
      <c r="Q83" s="1861" t="e">
        <v>#REF!</v>
      </c>
      <c r="R83" s="1861" t="e">
        <v>#N/A</v>
      </c>
      <c r="S83" s="1801">
        <v>0</v>
      </c>
      <c r="T83" s="1801">
        <v>0</v>
      </c>
      <c r="U83" s="1801">
        <v>0</v>
      </c>
    </row>
    <row r="84" spans="2:24" ht="13.8" x14ac:dyDescent="0.3">
      <c r="B84" s="1779"/>
      <c r="C84" s="1779" t="s">
        <v>230</v>
      </c>
      <c r="D84" s="1829">
        <v>0</v>
      </c>
      <c r="E84" s="1779" t="s">
        <v>617</v>
      </c>
      <c r="F84" s="1779" t="s">
        <v>211</v>
      </c>
      <c r="G84" s="1788"/>
      <c r="H84" s="1788"/>
      <c r="I84" s="1799">
        <v>0</v>
      </c>
      <c r="J84" s="1782"/>
      <c r="K84" s="1782"/>
      <c r="L84" s="1811" t="e">
        <v>#REF!</v>
      </c>
      <c r="M84" s="1811" t="e">
        <v>#REF!</v>
      </c>
      <c r="N84" s="1861" t="e">
        <v>#DIV/0!</v>
      </c>
      <c r="O84" s="1861" t="e">
        <v>#DIV/0!</v>
      </c>
      <c r="P84" s="1861" t="e">
        <v>#REF!</v>
      </c>
      <c r="Q84" s="1861" t="e">
        <v>#REF!</v>
      </c>
      <c r="R84" s="1861" t="e">
        <v>#N/A</v>
      </c>
      <c r="S84" s="1801">
        <v>0</v>
      </c>
      <c r="T84" s="1801">
        <v>0</v>
      </c>
      <c r="U84" s="1801">
        <v>0</v>
      </c>
    </row>
    <row r="85" spans="2:24" ht="13.8" x14ac:dyDescent="0.3">
      <c r="B85" s="1779"/>
      <c r="C85" s="1779" t="s">
        <v>231</v>
      </c>
      <c r="D85" s="1829">
        <v>0</v>
      </c>
      <c r="E85" s="1779" t="s">
        <v>617</v>
      </c>
      <c r="F85" s="1779" t="s">
        <v>211</v>
      </c>
      <c r="G85" s="1788"/>
      <c r="H85" s="1788"/>
      <c r="I85" s="1799">
        <v>0</v>
      </c>
      <c r="J85" s="1782"/>
      <c r="K85" s="1782"/>
      <c r="L85" s="1811" t="e">
        <v>#REF!</v>
      </c>
      <c r="M85" s="1811" t="e">
        <v>#REF!</v>
      </c>
      <c r="N85" s="1861" t="e">
        <v>#DIV/0!</v>
      </c>
      <c r="O85" s="1861" t="e">
        <v>#DIV/0!</v>
      </c>
      <c r="P85" s="1861" t="e">
        <v>#REF!</v>
      </c>
      <c r="Q85" s="1861" t="e">
        <v>#REF!</v>
      </c>
      <c r="R85" s="1861" t="e">
        <v>#N/A</v>
      </c>
      <c r="S85" s="1801">
        <v>0</v>
      </c>
      <c r="T85" s="1801">
        <v>0</v>
      </c>
      <c r="U85" s="1801">
        <v>0</v>
      </c>
    </row>
    <row r="86" spans="2:24" ht="13.8" x14ac:dyDescent="0.3">
      <c r="B86" s="1779"/>
      <c r="C86" s="1779" t="s">
        <v>232</v>
      </c>
      <c r="D86" s="1829">
        <v>0</v>
      </c>
      <c r="E86" s="1779" t="s">
        <v>617</v>
      </c>
      <c r="F86" s="1779" t="s">
        <v>211</v>
      </c>
      <c r="G86" s="1788"/>
      <c r="H86" s="1788"/>
      <c r="I86" s="1799">
        <v>0</v>
      </c>
      <c r="J86" s="1782"/>
      <c r="K86" s="1782"/>
      <c r="L86" s="1811" t="e">
        <v>#REF!</v>
      </c>
      <c r="M86" s="1811" t="e">
        <v>#REF!</v>
      </c>
      <c r="N86" s="1861" t="e">
        <v>#DIV/0!</v>
      </c>
      <c r="O86" s="1861" t="e">
        <v>#DIV/0!</v>
      </c>
      <c r="P86" s="1861" t="e">
        <v>#REF!</v>
      </c>
      <c r="Q86" s="1861" t="e">
        <v>#REF!</v>
      </c>
      <c r="R86" s="1861" t="e">
        <v>#N/A</v>
      </c>
      <c r="S86" s="1801">
        <v>0</v>
      </c>
      <c r="T86" s="1801">
        <v>0</v>
      </c>
      <c r="U86" s="1801">
        <v>0</v>
      </c>
    </row>
    <row r="87" spans="2:24" ht="13.8" x14ac:dyDescent="0.3">
      <c r="B87" s="1779"/>
      <c r="C87" s="1779" t="s">
        <v>233</v>
      </c>
      <c r="D87" s="1829">
        <v>0</v>
      </c>
      <c r="E87" s="1779" t="s">
        <v>617</v>
      </c>
      <c r="F87" s="1779" t="s">
        <v>211</v>
      </c>
      <c r="G87" s="1788"/>
      <c r="H87" s="1788"/>
      <c r="I87" s="1799">
        <v>0</v>
      </c>
      <c r="J87" s="1782"/>
      <c r="K87" s="1782"/>
      <c r="L87" s="1811" t="e">
        <v>#REF!</v>
      </c>
      <c r="M87" s="1811" t="e">
        <v>#REF!</v>
      </c>
      <c r="N87" s="1861" t="e">
        <v>#DIV/0!</v>
      </c>
      <c r="O87" s="1861" t="e">
        <v>#DIV/0!</v>
      </c>
      <c r="P87" s="1861" t="e">
        <v>#REF!</v>
      </c>
      <c r="Q87" s="1861" t="e">
        <v>#REF!</v>
      </c>
      <c r="R87" s="1861" t="e">
        <v>#N/A</v>
      </c>
      <c r="S87" s="1801">
        <v>0</v>
      </c>
      <c r="T87" s="1801">
        <v>0</v>
      </c>
      <c r="U87" s="1801">
        <v>0</v>
      </c>
    </row>
    <row r="88" spans="2:24" ht="13.8" x14ac:dyDescent="0.3">
      <c r="B88" s="1779"/>
      <c r="C88" s="1779" t="s">
        <v>234</v>
      </c>
      <c r="D88" s="1829">
        <v>0</v>
      </c>
      <c r="E88" s="1779" t="s">
        <v>617</v>
      </c>
      <c r="F88" s="1779" t="s">
        <v>211</v>
      </c>
      <c r="G88" s="1788"/>
      <c r="H88" s="1788"/>
      <c r="I88" s="1799">
        <v>0</v>
      </c>
      <c r="J88" s="1782"/>
      <c r="K88" s="1782"/>
      <c r="L88" s="1811" t="e">
        <v>#REF!</v>
      </c>
      <c r="M88" s="1811" t="e">
        <v>#REF!</v>
      </c>
      <c r="N88" s="1861" t="e">
        <v>#DIV/0!</v>
      </c>
      <c r="O88" s="1861" t="e">
        <v>#DIV/0!</v>
      </c>
      <c r="P88" s="1861" t="e">
        <v>#REF!</v>
      </c>
      <c r="Q88" s="1861" t="e">
        <v>#REF!</v>
      </c>
      <c r="R88" s="1861" t="e">
        <v>#N/A</v>
      </c>
      <c r="S88" s="1801">
        <v>0</v>
      </c>
      <c r="T88" s="1801">
        <v>0</v>
      </c>
      <c r="U88" s="1801">
        <v>0</v>
      </c>
    </row>
    <row r="89" spans="2:24" ht="13.8" x14ac:dyDescent="0.3">
      <c r="B89" s="1779"/>
      <c r="C89" s="1779" t="s">
        <v>235</v>
      </c>
      <c r="D89" s="1829">
        <v>0</v>
      </c>
      <c r="E89" s="1779" t="s">
        <v>617</v>
      </c>
      <c r="F89" s="1779" t="s">
        <v>211</v>
      </c>
      <c r="G89" s="1788"/>
      <c r="H89" s="1788"/>
      <c r="I89" s="1799">
        <v>0</v>
      </c>
      <c r="J89" s="1782"/>
      <c r="K89" s="1782"/>
      <c r="L89" s="1811" t="e">
        <v>#REF!</v>
      </c>
      <c r="M89" s="1811" t="e">
        <v>#REF!</v>
      </c>
      <c r="N89" s="1861" t="e">
        <v>#DIV/0!</v>
      </c>
      <c r="O89" s="1861" t="e">
        <v>#DIV/0!</v>
      </c>
      <c r="P89" s="1861" t="e">
        <v>#REF!</v>
      </c>
      <c r="Q89" s="1861" t="e">
        <v>#REF!</v>
      </c>
      <c r="R89" s="1861" t="e">
        <v>#N/A</v>
      </c>
      <c r="S89" s="1801">
        <v>0</v>
      </c>
      <c r="T89" s="1801">
        <v>0</v>
      </c>
      <c r="U89" s="1801">
        <v>0</v>
      </c>
    </row>
    <row r="90" spans="2:24" ht="13.8" x14ac:dyDescent="0.3">
      <c r="B90" s="1779"/>
      <c r="C90" s="1779" t="s">
        <v>236</v>
      </c>
      <c r="D90" s="1829">
        <v>0</v>
      </c>
      <c r="E90" s="1779" t="s">
        <v>617</v>
      </c>
      <c r="F90" s="1779" t="s">
        <v>211</v>
      </c>
      <c r="G90" s="1788"/>
      <c r="H90" s="1788"/>
      <c r="I90" s="1799">
        <v>0</v>
      </c>
      <c r="J90" s="1782"/>
      <c r="K90" s="1782"/>
      <c r="L90" s="1811" t="e">
        <v>#REF!</v>
      </c>
      <c r="M90" s="1811" t="e">
        <v>#REF!</v>
      </c>
      <c r="N90" s="1861" t="e">
        <v>#DIV/0!</v>
      </c>
      <c r="O90" s="1861" t="e">
        <v>#DIV/0!</v>
      </c>
      <c r="P90" s="1861" t="e">
        <v>#REF!</v>
      </c>
      <c r="Q90" s="1861" t="e">
        <v>#REF!</v>
      </c>
      <c r="R90" s="1861" t="e">
        <v>#N/A</v>
      </c>
      <c r="S90" s="1801">
        <v>0</v>
      </c>
      <c r="T90" s="1801">
        <v>0</v>
      </c>
      <c r="U90" s="1801">
        <v>0</v>
      </c>
    </row>
    <row r="91" spans="2:24" ht="13.8" x14ac:dyDescent="0.3">
      <c r="B91" s="1779"/>
      <c r="C91" s="1779" t="s">
        <v>237</v>
      </c>
      <c r="D91" s="1829">
        <v>0</v>
      </c>
      <c r="E91" s="1779" t="s">
        <v>617</v>
      </c>
      <c r="F91" s="1779" t="s">
        <v>211</v>
      </c>
      <c r="G91" s="1788"/>
      <c r="H91" s="1788"/>
      <c r="I91" s="1799">
        <v>0</v>
      </c>
      <c r="J91" s="1782"/>
      <c r="K91" s="1782"/>
      <c r="L91" s="1811" t="e">
        <v>#REF!</v>
      </c>
      <c r="M91" s="1811" t="e">
        <v>#REF!</v>
      </c>
      <c r="N91" s="1861" t="e">
        <v>#DIV/0!</v>
      </c>
      <c r="O91" s="1861" t="e">
        <v>#DIV/0!</v>
      </c>
      <c r="P91" s="1861" t="e">
        <v>#REF!</v>
      </c>
      <c r="Q91" s="1861" t="e">
        <v>#REF!</v>
      </c>
      <c r="R91" s="1861" t="e">
        <v>#N/A</v>
      </c>
      <c r="S91" s="1801">
        <v>0</v>
      </c>
      <c r="T91" s="1801">
        <v>0</v>
      </c>
      <c r="U91" s="1801">
        <v>0</v>
      </c>
    </row>
    <row r="92" spans="2:24" ht="13.8" x14ac:dyDescent="0.3">
      <c r="B92" s="1779"/>
      <c r="C92" s="1779" t="s">
        <v>238</v>
      </c>
      <c r="D92" s="1829">
        <v>0</v>
      </c>
      <c r="E92" s="1779" t="s">
        <v>617</v>
      </c>
      <c r="F92" s="1779" t="s">
        <v>211</v>
      </c>
      <c r="G92" s="1788"/>
      <c r="H92" s="1788"/>
      <c r="I92" s="1799">
        <v>0</v>
      </c>
      <c r="J92" s="1782"/>
      <c r="K92" s="1782"/>
      <c r="L92" s="1811" t="e">
        <v>#REF!</v>
      </c>
      <c r="M92" s="1811" t="e">
        <v>#REF!</v>
      </c>
      <c r="N92" s="1861" t="e">
        <v>#DIV/0!</v>
      </c>
      <c r="O92" s="1861" t="e">
        <v>#DIV/0!</v>
      </c>
      <c r="P92" s="1861" t="e">
        <v>#REF!</v>
      </c>
      <c r="Q92" s="1861" t="e">
        <v>#REF!</v>
      </c>
      <c r="R92" s="1861" t="e">
        <v>#N/A</v>
      </c>
      <c r="S92" s="1801">
        <v>0</v>
      </c>
      <c r="T92" s="1801">
        <v>0</v>
      </c>
      <c r="U92" s="1801">
        <v>0</v>
      </c>
    </row>
    <row r="93" spans="2:24" ht="13.8" x14ac:dyDescent="0.3">
      <c r="B93" s="1779"/>
      <c r="C93" s="1779" t="s">
        <v>239</v>
      </c>
      <c r="D93" s="1829">
        <v>0</v>
      </c>
      <c r="E93" s="1779" t="s">
        <v>617</v>
      </c>
      <c r="F93" s="1779" t="s">
        <v>211</v>
      </c>
      <c r="G93" s="1788"/>
      <c r="H93" s="1788"/>
      <c r="I93" s="1799">
        <v>0</v>
      </c>
      <c r="J93" s="1782"/>
      <c r="K93" s="1782"/>
      <c r="L93" s="1811" t="e">
        <v>#REF!</v>
      </c>
      <c r="M93" s="1811" t="e">
        <v>#REF!</v>
      </c>
      <c r="N93" s="1861" t="e">
        <v>#DIV/0!</v>
      </c>
      <c r="O93" s="1861" t="e">
        <v>#DIV/0!</v>
      </c>
      <c r="P93" s="1861" t="e">
        <v>#REF!</v>
      </c>
      <c r="Q93" s="1861" t="e">
        <v>#REF!</v>
      </c>
      <c r="R93" s="1861" t="e">
        <v>#N/A</v>
      </c>
      <c r="S93" s="1801">
        <v>0</v>
      </c>
      <c r="T93" s="1801">
        <v>0</v>
      </c>
      <c r="U93" s="1801">
        <v>0</v>
      </c>
    </row>
    <row r="94" spans="2:24" ht="13.8" x14ac:dyDescent="0.3">
      <c r="B94" s="1779"/>
      <c r="C94" s="1779" t="s">
        <v>240</v>
      </c>
      <c r="D94" s="1829">
        <v>0</v>
      </c>
      <c r="E94" s="1779" t="s">
        <v>617</v>
      </c>
      <c r="F94" s="1779" t="s">
        <v>211</v>
      </c>
      <c r="G94" s="1788"/>
      <c r="H94" s="1788"/>
      <c r="I94" s="1799">
        <v>0</v>
      </c>
      <c r="J94" s="1782"/>
      <c r="K94" s="1782"/>
      <c r="L94" s="1811" t="e">
        <v>#REF!</v>
      </c>
      <c r="M94" s="1811" t="e">
        <v>#REF!</v>
      </c>
      <c r="N94" s="1861" t="e">
        <v>#DIV/0!</v>
      </c>
      <c r="O94" s="1861" t="e">
        <v>#DIV/0!</v>
      </c>
      <c r="P94" s="1861" t="e">
        <v>#REF!</v>
      </c>
      <c r="Q94" s="1861" t="e">
        <v>#REF!</v>
      </c>
      <c r="R94" s="1861" t="e">
        <v>#N/A</v>
      </c>
      <c r="S94" s="1801">
        <v>0</v>
      </c>
      <c r="T94" s="1801">
        <v>0</v>
      </c>
      <c r="U94" s="1801">
        <v>0</v>
      </c>
    </row>
    <row r="95" spans="2:24" ht="13.8" x14ac:dyDescent="0.3">
      <c r="B95" s="1779"/>
      <c r="C95" s="1779" t="s">
        <v>241</v>
      </c>
      <c r="D95" s="1829">
        <v>0</v>
      </c>
      <c r="E95" s="1779" t="s">
        <v>617</v>
      </c>
      <c r="F95" s="1779" t="s">
        <v>211</v>
      </c>
      <c r="G95" s="1788"/>
      <c r="H95" s="1788"/>
      <c r="I95" s="1799">
        <v>0</v>
      </c>
      <c r="J95" s="1782"/>
      <c r="K95" s="1782"/>
      <c r="L95" s="1811" t="e">
        <v>#REF!</v>
      </c>
      <c r="M95" s="1811" t="e">
        <v>#REF!</v>
      </c>
      <c r="N95" s="1861" t="e">
        <v>#DIV/0!</v>
      </c>
      <c r="O95" s="1861" t="e">
        <v>#DIV/0!</v>
      </c>
      <c r="P95" s="1861" t="e">
        <v>#REF!</v>
      </c>
      <c r="Q95" s="1861" t="e">
        <v>#REF!</v>
      </c>
      <c r="R95" s="1861" t="e">
        <v>#N/A</v>
      </c>
      <c r="S95" s="1801">
        <v>0</v>
      </c>
      <c r="T95" s="1801">
        <v>0</v>
      </c>
      <c r="U95" s="1801">
        <v>0</v>
      </c>
    </row>
    <row r="96" spans="2:24" ht="13.8" x14ac:dyDescent="0.3">
      <c r="B96" s="1779"/>
      <c r="C96" s="1779" t="s">
        <v>242</v>
      </c>
      <c r="D96" s="1829">
        <v>0</v>
      </c>
      <c r="E96" s="1779" t="s">
        <v>617</v>
      </c>
      <c r="F96" s="1779" t="s">
        <v>211</v>
      </c>
      <c r="G96" s="1788"/>
      <c r="H96" s="1788"/>
      <c r="I96" s="1799">
        <v>0</v>
      </c>
      <c r="J96" s="1782"/>
      <c r="K96" s="1782"/>
      <c r="L96" s="1811" t="e">
        <v>#REF!</v>
      </c>
      <c r="M96" s="1811" t="e">
        <v>#REF!</v>
      </c>
      <c r="N96" s="1861" t="e">
        <v>#DIV/0!</v>
      </c>
      <c r="O96" s="1861" t="e">
        <v>#DIV/0!</v>
      </c>
      <c r="P96" s="1861" t="e">
        <v>#REF!</v>
      </c>
      <c r="Q96" s="1861" t="e">
        <v>#REF!</v>
      </c>
      <c r="R96" s="1861" t="e">
        <v>#N/A</v>
      </c>
      <c r="S96" s="1801">
        <v>0</v>
      </c>
      <c r="T96" s="1801">
        <v>0</v>
      </c>
      <c r="U96" s="1801">
        <v>0</v>
      </c>
    </row>
    <row r="97" spans="2:21" ht="13.8" x14ac:dyDescent="0.3">
      <c r="B97" s="1779"/>
      <c r="C97" s="1779" t="s">
        <v>243</v>
      </c>
      <c r="D97" s="1829">
        <v>0</v>
      </c>
      <c r="E97" s="1779" t="s">
        <v>617</v>
      </c>
      <c r="F97" s="1779" t="s">
        <v>211</v>
      </c>
      <c r="G97" s="1788"/>
      <c r="H97" s="1788"/>
      <c r="I97" s="1799">
        <v>0</v>
      </c>
      <c r="J97" s="1782"/>
      <c r="K97" s="1782"/>
      <c r="L97" s="1811" t="e">
        <v>#REF!</v>
      </c>
      <c r="M97" s="1811" t="e">
        <v>#REF!</v>
      </c>
      <c r="N97" s="1861" t="e">
        <v>#DIV/0!</v>
      </c>
      <c r="O97" s="1861" t="e">
        <v>#DIV/0!</v>
      </c>
      <c r="P97" s="1861" t="e">
        <v>#REF!</v>
      </c>
      <c r="Q97" s="1861" t="e">
        <v>#REF!</v>
      </c>
      <c r="R97" s="1861" t="e">
        <v>#N/A</v>
      </c>
      <c r="S97" s="1801">
        <v>0</v>
      </c>
      <c r="T97" s="1801">
        <v>0</v>
      </c>
      <c r="U97" s="1801">
        <v>0</v>
      </c>
    </row>
    <row r="98" spans="2:21" ht="13.8" x14ac:dyDescent="0.3">
      <c r="B98" s="1779"/>
      <c r="C98" s="1779" t="s">
        <v>244</v>
      </c>
      <c r="D98" s="1829">
        <v>0</v>
      </c>
      <c r="E98" s="1779" t="s">
        <v>617</v>
      </c>
      <c r="F98" s="1779" t="s">
        <v>211</v>
      </c>
      <c r="G98" s="1788"/>
      <c r="H98" s="1788"/>
      <c r="I98" s="1799">
        <v>0</v>
      </c>
      <c r="J98" s="1782"/>
      <c r="K98" s="1782"/>
      <c r="L98" s="1811" t="e">
        <v>#REF!</v>
      </c>
      <c r="M98" s="1811" t="e">
        <v>#REF!</v>
      </c>
      <c r="N98" s="1861" t="e">
        <v>#DIV/0!</v>
      </c>
      <c r="O98" s="1861" t="e">
        <v>#DIV/0!</v>
      </c>
      <c r="P98" s="1861" t="e">
        <v>#REF!</v>
      </c>
      <c r="Q98" s="1861" t="e">
        <v>#REF!</v>
      </c>
      <c r="R98" s="1861" t="e">
        <v>#N/A</v>
      </c>
      <c r="S98" s="1801">
        <v>0</v>
      </c>
      <c r="T98" s="1801">
        <v>0</v>
      </c>
      <c r="U98" s="1801">
        <v>0</v>
      </c>
    </row>
    <row r="99" spans="2:21" ht="13.8" x14ac:dyDescent="0.3">
      <c r="B99" s="1779"/>
      <c r="C99" s="1779" t="s">
        <v>245</v>
      </c>
      <c r="D99" s="1829">
        <v>0</v>
      </c>
      <c r="E99" s="1779" t="s">
        <v>617</v>
      </c>
      <c r="F99" s="1779" t="s">
        <v>211</v>
      </c>
      <c r="G99" s="1788"/>
      <c r="H99" s="1788"/>
      <c r="I99" s="1799">
        <v>0</v>
      </c>
      <c r="J99" s="1782"/>
      <c r="K99" s="1782"/>
      <c r="L99" s="1811" t="e">
        <v>#REF!</v>
      </c>
      <c r="M99" s="1811" t="e">
        <v>#REF!</v>
      </c>
      <c r="N99" s="1861" t="e">
        <v>#DIV/0!</v>
      </c>
      <c r="O99" s="1861" t="e">
        <v>#DIV/0!</v>
      </c>
      <c r="P99" s="1861" t="e">
        <v>#REF!</v>
      </c>
      <c r="Q99" s="1861" t="e">
        <v>#REF!</v>
      </c>
      <c r="R99" s="1861" t="e">
        <v>#N/A</v>
      </c>
      <c r="S99" s="1801">
        <v>0</v>
      </c>
      <c r="T99" s="1801">
        <v>0</v>
      </c>
      <c r="U99" s="1801">
        <v>0</v>
      </c>
    </row>
    <row r="100" spans="2:21" ht="13.8" x14ac:dyDescent="0.3">
      <c r="B100" s="1779"/>
      <c r="C100" s="1779" t="s">
        <v>246</v>
      </c>
      <c r="D100" s="1829">
        <v>0</v>
      </c>
      <c r="E100" s="1779" t="s">
        <v>617</v>
      </c>
      <c r="F100" s="1779" t="s">
        <v>211</v>
      </c>
      <c r="G100" s="1788"/>
      <c r="H100" s="1788"/>
      <c r="I100" s="1799">
        <v>0</v>
      </c>
      <c r="J100" s="1782"/>
      <c r="K100" s="1782"/>
      <c r="L100" s="1811" t="e">
        <v>#REF!</v>
      </c>
      <c r="M100" s="1811" t="e">
        <v>#REF!</v>
      </c>
      <c r="N100" s="1861" t="e">
        <v>#DIV/0!</v>
      </c>
      <c r="O100" s="1861" t="e">
        <v>#DIV/0!</v>
      </c>
      <c r="P100" s="1861" t="e">
        <v>#REF!</v>
      </c>
      <c r="Q100" s="1861" t="e">
        <v>#REF!</v>
      </c>
      <c r="R100" s="1861" t="e">
        <v>#N/A</v>
      </c>
      <c r="S100" s="1801">
        <v>0</v>
      </c>
      <c r="T100" s="1801">
        <v>0</v>
      </c>
      <c r="U100" s="1801">
        <v>0</v>
      </c>
    </row>
    <row r="101" spans="2:21" ht="13.8" x14ac:dyDescent="0.3">
      <c r="B101" s="1779"/>
      <c r="C101" s="1779" t="s">
        <v>247</v>
      </c>
      <c r="D101" s="1829">
        <v>0</v>
      </c>
      <c r="E101" s="1779" t="s">
        <v>617</v>
      </c>
      <c r="F101" s="1779" t="s">
        <v>211</v>
      </c>
      <c r="G101" s="1788"/>
      <c r="H101" s="1788"/>
      <c r="I101" s="1799">
        <v>0</v>
      </c>
      <c r="J101" s="1782"/>
      <c r="K101" s="1782"/>
      <c r="L101" s="1811" t="e">
        <v>#REF!</v>
      </c>
      <c r="M101" s="1811" t="e">
        <v>#REF!</v>
      </c>
      <c r="N101" s="1861" t="e">
        <v>#DIV/0!</v>
      </c>
      <c r="O101" s="1861" t="e">
        <v>#DIV/0!</v>
      </c>
      <c r="P101" s="1861" t="e">
        <v>#REF!</v>
      </c>
      <c r="Q101" s="1861" t="e">
        <v>#REF!</v>
      </c>
      <c r="R101" s="1861" t="e">
        <v>#N/A</v>
      </c>
      <c r="S101" s="1801">
        <v>0</v>
      </c>
      <c r="T101" s="1801">
        <v>0</v>
      </c>
      <c r="U101" s="1801">
        <v>0</v>
      </c>
    </row>
    <row r="102" spans="2:21" ht="13.8" x14ac:dyDescent="0.3">
      <c r="B102" s="1779"/>
      <c r="C102" s="1779" t="s">
        <v>248</v>
      </c>
      <c r="D102" s="1829">
        <v>0</v>
      </c>
      <c r="E102" s="1779" t="s">
        <v>617</v>
      </c>
      <c r="F102" s="1779" t="s">
        <v>211</v>
      </c>
      <c r="G102" s="1788"/>
      <c r="H102" s="1788"/>
      <c r="I102" s="1799">
        <v>0</v>
      </c>
      <c r="J102" s="1782"/>
      <c r="K102" s="1782"/>
      <c r="L102" s="1811" t="e">
        <v>#REF!</v>
      </c>
      <c r="M102" s="1811" t="e">
        <v>#REF!</v>
      </c>
      <c r="N102" s="1861" t="e">
        <v>#DIV/0!</v>
      </c>
      <c r="O102" s="1861" t="e">
        <v>#DIV/0!</v>
      </c>
      <c r="P102" s="1861" t="e">
        <v>#REF!</v>
      </c>
      <c r="Q102" s="1861" t="e">
        <v>#REF!</v>
      </c>
      <c r="R102" s="1861" t="e">
        <v>#N/A</v>
      </c>
      <c r="S102" s="1801">
        <v>0</v>
      </c>
      <c r="T102" s="1801">
        <v>0</v>
      </c>
      <c r="U102" s="1801">
        <v>0</v>
      </c>
    </row>
    <row r="103" spans="2:21" ht="13.8" x14ac:dyDescent="0.3">
      <c r="B103" s="1779"/>
      <c r="C103" s="1779" t="s">
        <v>249</v>
      </c>
      <c r="D103" s="1829">
        <v>0</v>
      </c>
      <c r="E103" s="1779" t="s">
        <v>617</v>
      </c>
      <c r="F103" s="1779" t="s">
        <v>211</v>
      </c>
      <c r="G103" s="1788"/>
      <c r="H103" s="1788"/>
      <c r="I103" s="1799">
        <v>0</v>
      </c>
      <c r="J103" s="1782"/>
      <c r="K103" s="1782"/>
      <c r="L103" s="1811" t="e">
        <v>#REF!</v>
      </c>
      <c r="M103" s="1811" t="e">
        <v>#REF!</v>
      </c>
      <c r="N103" s="1861" t="e">
        <v>#DIV/0!</v>
      </c>
      <c r="O103" s="1861" t="e">
        <v>#DIV/0!</v>
      </c>
      <c r="P103" s="1861" t="e">
        <v>#REF!</v>
      </c>
      <c r="Q103" s="1861" t="e">
        <v>#REF!</v>
      </c>
      <c r="R103" s="1861" t="e">
        <v>#N/A</v>
      </c>
      <c r="S103" s="1801">
        <v>0</v>
      </c>
      <c r="T103" s="1801">
        <v>0</v>
      </c>
      <c r="U103" s="1801">
        <v>0</v>
      </c>
    </row>
    <row r="104" spans="2:21" ht="13.8" x14ac:dyDescent="0.3">
      <c r="B104" s="1779"/>
      <c r="C104" s="1779" t="s">
        <v>250</v>
      </c>
      <c r="D104" s="1829">
        <v>0</v>
      </c>
      <c r="E104" s="1779" t="s">
        <v>617</v>
      </c>
      <c r="F104" s="1779" t="s">
        <v>211</v>
      </c>
      <c r="G104" s="1788"/>
      <c r="H104" s="1788"/>
      <c r="I104" s="1799">
        <v>0</v>
      </c>
      <c r="J104" s="1782"/>
      <c r="K104" s="1782"/>
      <c r="L104" s="1811" t="e">
        <v>#REF!</v>
      </c>
      <c r="M104" s="1811" t="e">
        <v>#REF!</v>
      </c>
      <c r="N104" s="1861" t="e">
        <v>#DIV/0!</v>
      </c>
      <c r="O104" s="1861" t="e">
        <v>#DIV/0!</v>
      </c>
      <c r="P104" s="1861" t="e">
        <v>#REF!</v>
      </c>
      <c r="Q104" s="1861" t="e">
        <v>#REF!</v>
      </c>
      <c r="R104" s="1861" t="e">
        <v>#N/A</v>
      </c>
      <c r="S104" s="1801">
        <v>0</v>
      </c>
      <c r="T104" s="1801">
        <v>0</v>
      </c>
      <c r="U104" s="1801">
        <v>0</v>
      </c>
    </row>
    <row r="105" spans="2:21" ht="14.4" thickBot="1" x14ac:dyDescent="0.35">
      <c r="B105" s="1779"/>
      <c r="C105" s="1779" t="s">
        <v>251</v>
      </c>
      <c r="D105" s="1829">
        <v>0</v>
      </c>
      <c r="E105" s="1779" t="s">
        <v>617</v>
      </c>
      <c r="F105" s="1779" t="s">
        <v>211</v>
      </c>
      <c r="G105" s="1788"/>
      <c r="H105" s="1788"/>
      <c r="I105" s="1799">
        <v>0</v>
      </c>
      <c r="J105" s="1782"/>
      <c r="K105" s="1782"/>
      <c r="L105" s="1814" t="e">
        <v>#REF!</v>
      </c>
      <c r="M105" s="1814" t="e">
        <v>#REF!</v>
      </c>
      <c r="N105" s="1862" t="e">
        <v>#DIV/0!</v>
      </c>
      <c r="O105" s="1862" t="e">
        <v>#DIV/0!</v>
      </c>
      <c r="P105" s="1861" t="e">
        <v>#REF!</v>
      </c>
      <c r="Q105" s="1862" t="e">
        <v>#REF!</v>
      </c>
      <c r="R105" s="1862" t="e">
        <v>#N/A</v>
      </c>
      <c r="S105" s="1801">
        <v>0</v>
      </c>
      <c r="T105" s="1801">
        <v>0</v>
      </c>
      <c r="U105" s="1801">
        <v>0</v>
      </c>
    </row>
    <row r="106" spans="2:21" ht="14.4" thickBot="1" x14ac:dyDescent="0.35">
      <c r="B106" s="1775"/>
      <c r="C106" s="1775"/>
      <c r="D106" s="1775"/>
      <c r="E106" s="1775"/>
      <c r="F106" s="1775"/>
      <c r="G106" s="1813">
        <v>0</v>
      </c>
      <c r="H106" s="1800">
        <v>0</v>
      </c>
      <c r="I106" s="1812">
        <v>0</v>
      </c>
      <c r="J106" s="1778" t="e">
        <v>#DIV/0!</v>
      </c>
      <c r="K106" s="1776"/>
      <c r="L106" s="1815" t="e">
        <v>#N/A</v>
      </c>
      <c r="M106" s="1816" t="e">
        <v>#N/A</v>
      </c>
      <c r="N106" s="1845" t="e">
        <v>#DIV/0!</v>
      </c>
      <c r="O106" s="1845" t="e">
        <v>#DIV/0!</v>
      </c>
      <c r="P106" s="1845" t="e">
        <v>#N/A</v>
      </c>
      <c r="Q106" s="1846" t="e">
        <v>#N/A</v>
      </c>
      <c r="R106" s="1846" t="e">
        <v>#DIV/0!</v>
      </c>
      <c r="S106" s="1802">
        <v>0</v>
      </c>
      <c r="T106" s="1802">
        <v>0</v>
      </c>
      <c r="U106" s="1802">
        <v>0</v>
      </c>
    </row>
  </sheetData>
  <customSheetViews>
    <customSheetView guid="{074EB09C-6289-46D7-9513-012B68BCA7BF}" showPageBreaks="1">
      <selection activeCell="C9" sqref="C9"/>
      <pageMargins left="0.7" right="0.7" top="0.75" bottom="0.75" header="0.3" footer="0.3"/>
      <pageSetup orientation="portrait" r:id="rId1"/>
    </customSheetView>
  </customSheetViews>
  <mergeCells count="14">
    <mergeCell ref="V2:V3"/>
    <mergeCell ref="D10:E10"/>
    <mergeCell ref="I10:L10"/>
    <mergeCell ref="M10:N10"/>
    <mergeCell ref="Q2:R2"/>
    <mergeCell ref="S2:U2"/>
    <mergeCell ref="S62:U62"/>
    <mergeCell ref="V62:X62"/>
    <mergeCell ref="C11:F11"/>
    <mergeCell ref="I11:L11"/>
    <mergeCell ref="M11:O11"/>
    <mergeCell ref="P11:R11"/>
    <mergeCell ref="I12:K12"/>
    <mergeCell ref="L62:R62"/>
  </mergeCells>
  <pageMargins left="0.18" right="0.24" top="0.31" bottom="0.27" header="0.3" footer="0.3"/>
  <pageSetup paperSize="17" scale="53" orientation="landscape"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6"/>
  <sheetViews>
    <sheetView workbookViewId="0">
      <pane xSplit="1" ySplit="1" topLeftCell="C2" activePane="bottomRight" state="frozen"/>
      <selection pane="topRight" activeCell="B1" sqref="B1"/>
      <selection pane="bottomLeft" activeCell="A2" sqref="A2"/>
      <selection pane="bottomRight" activeCell="M6" sqref="M6"/>
    </sheetView>
  </sheetViews>
  <sheetFormatPr defaultRowHeight="13.2" x14ac:dyDescent="0.25"/>
  <cols>
    <col min="1" max="1" width="15.6640625" style="3369" customWidth="1"/>
    <col min="2" max="2" width="18.109375" customWidth="1"/>
    <col min="3" max="3" width="31.44140625" customWidth="1"/>
    <col min="4" max="6" width="12.88671875" customWidth="1"/>
    <col min="7" max="7" width="17.5546875" customWidth="1"/>
    <col min="8" max="17" width="15.88671875" customWidth="1"/>
    <col min="18" max="22" width="12.6640625" customWidth="1"/>
  </cols>
  <sheetData>
    <row r="1" spans="1:22" ht="43.5" customHeight="1" thickBot="1" x14ac:dyDescent="0.35">
      <c r="B1" s="3881"/>
      <c r="C1" s="2180"/>
      <c r="D1" s="2180"/>
      <c r="E1" s="2180"/>
      <c r="F1" s="2191"/>
      <c r="G1" s="2191">
        <v>18230653</v>
      </c>
      <c r="H1" s="3698" t="s">
        <v>1205</v>
      </c>
      <c r="I1" s="2191"/>
      <c r="J1" s="2180"/>
      <c r="K1" s="2180"/>
      <c r="L1" s="2180"/>
      <c r="M1" s="2180"/>
      <c r="N1" s="2180"/>
      <c r="O1" s="2180"/>
      <c r="P1" s="2180"/>
      <c r="Q1" s="2180"/>
      <c r="R1" s="2180"/>
      <c r="S1" s="2180"/>
      <c r="T1" s="2180"/>
      <c r="U1" s="2180"/>
      <c r="V1" s="2180"/>
    </row>
    <row r="2" spans="1:22" ht="16.2" thickBot="1" x14ac:dyDescent="0.35">
      <c r="B2" s="2191" t="s">
        <v>131</v>
      </c>
      <c r="C2" s="3675" t="s">
        <v>896</v>
      </c>
      <c r="D2" s="2180"/>
      <c r="E2" s="2180"/>
      <c r="F2" s="2180"/>
      <c r="G2" s="2198" t="s">
        <v>8</v>
      </c>
      <c r="H2" s="2180"/>
      <c r="I2" s="2180"/>
      <c r="J2" s="2180"/>
      <c r="K2" s="2180"/>
      <c r="L2" s="2180"/>
      <c r="M2" s="2180"/>
      <c r="N2" s="2180"/>
      <c r="O2" s="2180"/>
      <c r="P2" s="2180"/>
      <c r="Q2" s="4798" t="s">
        <v>612</v>
      </c>
      <c r="R2" s="4798"/>
      <c r="S2" s="4785" t="s">
        <v>132</v>
      </c>
      <c r="T2" s="4786"/>
      <c r="U2" s="4787"/>
      <c r="V2" s="4793" t="s">
        <v>133</v>
      </c>
    </row>
    <row r="3" spans="1:22" ht="16.8" thickTop="1" thickBot="1" x14ac:dyDescent="0.35">
      <c r="B3" s="2223" t="s">
        <v>6</v>
      </c>
      <c r="C3" s="3675">
        <v>18230653</v>
      </c>
      <c r="D3" s="4510" t="s">
        <v>993</v>
      </c>
      <c r="E3" s="2180"/>
      <c r="F3" s="2180"/>
      <c r="G3" s="2209" t="s">
        <v>9</v>
      </c>
      <c r="H3" s="2208" t="s">
        <v>10</v>
      </c>
      <c r="I3" s="2208" t="s">
        <v>11</v>
      </c>
      <c r="J3" s="2208" t="s">
        <v>12</v>
      </c>
      <c r="K3" s="2208" t="s">
        <v>13</v>
      </c>
      <c r="L3" s="2208" t="s">
        <v>14</v>
      </c>
      <c r="M3" s="2208" t="s">
        <v>15</v>
      </c>
      <c r="N3" s="2208" t="s">
        <v>16</v>
      </c>
      <c r="O3" s="2208" t="s">
        <v>134</v>
      </c>
      <c r="P3" s="2208" t="s">
        <v>135</v>
      </c>
      <c r="Q3" s="2210" t="s">
        <v>18</v>
      </c>
      <c r="R3" s="2210" t="s">
        <v>136</v>
      </c>
      <c r="S3" s="2200" t="s">
        <v>137</v>
      </c>
      <c r="T3" s="2200" t="s">
        <v>12</v>
      </c>
      <c r="U3" s="2201" t="s">
        <v>138</v>
      </c>
      <c r="V3" s="4794"/>
    </row>
    <row r="4" spans="1:22" ht="16.8" thickTop="1" thickBot="1" x14ac:dyDescent="0.35">
      <c r="B4" s="2223" t="s">
        <v>139</v>
      </c>
      <c r="C4" s="3675" t="s">
        <v>913</v>
      </c>
      <c r="D4" s="2180"/>
      <c r="E4" s="2180"/>
      <c r="F4" s="2191">
        <v>2011</v>
      </c>
      <c r="G4" s="2241">
        <v>0</v>
      </c>
      <c r="H4" s="2242">
        <v>0</v>
      </c>
      <c r="I4" s="2242">
        <v>0</v>
      </c>
      <c r="J4" s="2242">
        <v>12600</v>
      </c>
      <c r="K4" s="2242">
        <v>192</v>
      </c>
      <c r="L4" s="2242">
        <v>5196</v>
      </c>
      <c r="M4" s="2242">
        <v>0</v>
      </c>
      <c r="N4" s="2242">
        <v>0</v>
      </c>
      <c r="O4" s="2242">
        <v>0</v>
      </c>
      <c r="P4" s="2242">
        <v>0</v>
      </c>
      <c r="Q4" s="2246">
        <v>17988</v>
      </c>
      <c r="R4" s="2253">
        <v>0</v>
      </c>
      <c r="S4" s="2276">
        <v>0</v>
      </c>
      <c r="T4" s="2276">
        <v>0.70046697798532354</v>
      </c>
      <c r="U4" s="2276">
        <v>0.28885923949299536</v>
      </c>
      <c r="V4" s="2278" t="e">
        <v>#DIV/0!</v>
      </c>
    </row>
    <row r="5" spans="1:22" ht="16.2" thickBot="1" x14ac:dyDescent="0.35">
      <c r="B5" s="2191" t="s">
        <v>34</v>
      </c>
      <c r="C5" s="2180"/>
      <c r="D5" s="2180"/>
      <c r="E5" s="2180"/>
      <c r="F5" s="2191">
        <v>2012</v>
      </c>
      <c r="G5" s="2243">
        <f>D13</f>
        <v>25839.16</v>
      </c>
      <c r="H5" s="2244">
        <f>D18</f>
        <v>0</v>
      </c>
      <c r="I5" s="2244">
        <f>D23</f>
        <v>16278.670800000004</v>
      </c>
      <c r="J5" s="2244">
        <f>D28</f>
        <v>3017.8</v>
      </c>
      <c r="K5" s="2244">
        <f>D33</f>
        <v>226.14</v>
      </c>
      <c r="L5" s="2244">
        <f>D38</f>
        <v>15784</v>
      </c>
      <c r="M5" s="2244">
        <f>D44</f>
        <v>900</v>
      </c>
      <c r="N5" s="2244">
        <f>D49</f>
        <v>585</v>
      </c>
      <c r="O5" s="2244">
        <f>D54</f>
        <v>0</v>
      </c>
      <c r="P5" s="2244">
        <f>D55</f>
        <v>0</v>
      </c>
      <c r="Q5" s="2245">
        <f>SUM(G5:P5)</f>
        <v>62630.770800000006</v>
      </c>
      <c r="R5" s="2265">
        <v>0</v>
      </c>
      <c r="S5" s="2277">
        <v>0</v>
      </c>
      <c r="T5" s="2277">
        <v>4.0968291489630763E-2</v>
      </c>
      <c r="U5" s="2277">
        <v>0.16967503382844185</v>
      </c>
      <c r="V5" s="2279" t="e">
        <v>#DIV/0!</v>
      </c>
    </row>
    <row r="6" spans="1:22" ht="16.2" thickBot="1" x14ac:dyDescent="0.35">
      <c r="B6" s="2180"/>
      <c r="C6" s="2191" t="s">
        <v>886</v>
      </c>
      <c r="D6" s="2180"/>
      <c r="E6" s="2180"/>
      <c r="F6" s="2191">
        <v>2013</v>
      </c>
      <c r="G6" s="2254">
        <f>E13</f>
        <v>26329.27</v>
      </c>
      <c r="H6" s="2255">
        <f>E18</f>
        <v>0</v>
      </c>
      <c r="I6" s="2255">
        <f>E23</f>
        <v>16587.4401</v>
      </c>
      <c r="J6" s="2255">
        <f>E28</f>
        <v>1529.8</v>
      </c>
      <c r="K6" s="2255">
        <f>E33</f>
        <v>226.14</v>
      </c>
      <c r="L6" s="2255">
        <f>E38</f>
        <v>15784</v>
      </c>
      <c r="M6" s="2255">
        <f>E44</f>
        <v>900</v>
      </c>
      <c r="N6" s="2255">
        <f>E49</f>
        <v>585</v>
      </c>
      <c r="O6" s="2255">
        <f>E54</f>
        <v>0</v>
      </c>
      <c r="P6" s="2255">
        <f>E55</f>
        <v>0</v>
      </c>
      <c r="Q6" s="3685">
        <f>SUM(G6:P6)</f>
        <v>61941.650099999999</v>
      </c>
      <c r="R6" s="2265">
        <v>0</v>
      </c>
      <c r="S6" s="2277">
        <v>0</v>
      </c>
      <c r="T6" s="2277">
        <v>2.1302286663039169E-2</v>
      </c>
      <c r="U6" s="2277">
        <v>0.20534946229478079</v>
      </c>
      <c r="V6" s="2279" t="e">
        <v>#DIV/0!</v>
      </c>
    </row>
    <row r="7" spans="1:22" ht="16.2" thickBot="1" x14ac:dyDescent="0.35">
      <c r="B7" s="2180"/>
      <c r="C7" s="2269" t="s">
        <v>873</v>
      </c>
      <c r="D7" s="2180"/>
      <c r="E7" s="2180"/>
      <c r="F7" s="2256" t="s">
        <v>178</v>
      </c>
      <c r="G7" s="2257">
        <f>SUM(G5:G6)</f>
        <v>52168.43</v>
      </c>
      <c r="H7" s="3686">
        <f t="shared" ref="H7:Q7" si="0">SUM(H5:H6)</f>
        <v>0</v>
      </c>
      <c r="I7" s="3686">
        <f t="shared" si="0"/>
        <v>32866.1109</v>
      </c>
      <c r="J7" s="3686">
        <f t="shared" si="0"/>
        <v>4547.6000000000004</v>
      </c>
      <c r="K7" s="3686">
        <f t="shared" si="0"/>
        <v>452.28</v>
      </c>
      <c r="L7" s="3686">
        <f t="shared" si="0"/>
        <v>31568</v>
      </c>
      <c r="M7" s="3686">
        <f t="shared" si="0"/>
        <v>1800</v>
      </c>
      <c r="N7" s="3686">
        <f t="shared" si="0"/>
        <v>1170</v>
      </c>
      <c r="O7" s="3686">
        <f t="shared" si="0"/>
        <v>0</v>
      </c>
      <c r="P7" s="3686">
        <f t="shared" si="0"/>
        <v>0</v>
      </c>
      <c r="Q7" s="3686">
        <f t="shared" si="0"/>
        <v>124572.4209</v>
      </c>
      <c r="R7" s="2266">
        <v>0</v>
      </c>
      <c r="S7" s="2277">
        <v>0</v>
      </c>
      <c r="T7" s="2277">
        <v>3.0971624694002386E-2</v>
      </c>
      <c r="U7" s="2277">
        <v>0.18780913771212723</v>
      </c>
      <c r="V7" s="2279" t="e">
        <v>#DIV/0!</v>
      </c>
    </row>
    <row r="8" spans="1:22" ht="13.8" x14ac:dyDescent="0.3">
      <c r="P8" s="2427"/>
      <c r="Q8" s="86"/>
    </row>
    <row r="9" spans="1:22" s="2410" customFormat="1" ht="13.8" x14ac:dyDescent="0.3">
      <c r="A9" s="3369"/>
      <c r="P9" s="2427"/>
    </row>
    <row r="10" spans="1:22" ht="14.4" thickBot="1" x14ac:dyDescent="0.35">
      <c r="B10" s="2180"/>
      <c r="C10" s="2237" t="s">
        <v>141</v>
      </c>
      <c r="D10" s="4795" t="s">
        <v>142</v>
      </c>
      <c r="E10" s="4795"/>
      <c r="F10" s="2180"/>
      <c r="G10" s="2180"/>
      <c r="H10" s="2180"/>
      <c r="I10" s="4796" t="s">
        <v>143</v>
      </c>
      <c r="J10" s="4796"/>
      <c r="K10" s="4796"/>
      <c r="L10" s="4796"/>
      <c r="M10" s="4797" t="s">
        <v>142</v>
      </c>
      <c r="N10" s="4797"/>
      <c r="O10" s="2180"/>
      <c r="P10" s="2180"/>
      <c r="Q10" s="2180"/>
      <c r="R10" s="2180"/>
      <c r="S10" s="2180"/>
      <c r="T10" s="2180"/>
      <c r="U10" s="2180"/>
      <c r="V10" s="2180"/>
    </row>
    <row r="11" spans="1:22" ht="16.2" thickBot="1" x14ac:dyDescent="0.35">
      <c r="B11" s="2240" t="s">
        <v>144</v>
      </c>
      <c r="C11" s="4788" t="s">
        <v>145</v>
      </c>
      <c r="D11" s="4788"/>
      <c r="E11" s="4788"/>
      <c r="F11" s="4789"/>
      <c r="G11" s="2180"/>
      <c r="H11" s="2180"/>
      <c r="I11" s="4785" t="s">
        <v>146</v>
      </c>
      <c r="J11" s="4786"/>
      <c r="K11" s="4786"/>
      <c r="L11" s="4787"/>
      <c r="M11" s="4785" t="s">
        <v>147</v>
      </c>
      <c r="N11" s="4786"/>
      <c r="O11" s="4787"/>
      <c r="P11" s="4785" t="s">
        <v>148</v>
      </c>
      <c r="Q11" s="4786"/>
      <c r="R11" s="4787"/>
      <c r="S11" s="2180"/>
      <c r="T11" s="2239" t="s">
        <v>149</v>
      </c>
      <c r="U11" s="2180"/>
      <c r="V11" s="2180"/>
    </row>
    <row r="12" spans="1:22" ht="16.2" thickBot="1" x14ac:dyDescent="0.35">
      <c r="B12" s="2250">
        <v>2011</v>
      </c>
      <c r="C12" s="2238" t="s">
        <v>150</v>
      </c>
      <c r="D12" s="2235">
        <v>2012</v>
      </c>
      <c r="E12" s="2235">
        <v>2013</v>
      </c>
      <c r="F12" s="2235" t="s">
        <v>151</v>
      </c>
      <c r="G12" s="2180"/>
      <c r="H12" s="2199"/>
      <c r="I12" s="4790" t="s">
        <v>152</v>
      </c>
      <c r="J12" s="4791"/>
      <c r="K12" s="4792"/>
      <c r="L12" s="2231" t="s">
        <v>153</v>
      </c>
      <c r="M12" s="2232" t="s">
        <v>154</v>
      </c>
      <c r="N12" s="2233" t="s">
        <v>155</v>
      </c>
      <c r="O12" s="2234" t="s">
        <v>156</v>
      </c>
      <c r="P12" s="2232" t="s">
        <v>157</v>
      </c>
      <c r="Q12" s="2232" t="s">
        <v>158</v>
      </c>
      <c r="R12" s="2234" t="s">
        <v>159</v>
      </c>
      <c r="S12" s="2180"/>
      <c r="T12" s="2240" t="s">
        <v>160</v>
      </c>
      <c r="U12" s="2180"/>
      <c r="V12" s="2180"/>
    </row>
    <row r="13" spans="1:22" ht="14.4" thickBot="1" x14ac:dyDescent="0.35">
      <c r="B13" s="2272">
        <v>0</v>
      </c>
      <c r="C13" s="2211" t="s">
        <v>161</v>
      </c>
      <c r="D13" s="2212">
        <f>SUM(D14:D17)</f>
        <v>25839.16</v>
      </c>
      <c r="E13" s="3683">
        <f>SUM(E14:E17)</f>
        <v>26329.27</v>
      </c>
      <c r="F13" s="2213">
        <f>SUM(D13:E13)</f>
        <v>52168.43</v>
      </c>
      <c r="G13" s="2180"/>
      <c r="H13" s="2202"/>
      <c r="I13" s="2226" t="s">
        <v>409</v>
      </c>
      <c r="J13" s="2229"/>
      <c r="K13" s="2230"/>
      <c r="L13" s="2258">
        <v>0</v>
      </c>
      <c r="M13" s="2187">
        <v>0</v>
      </c>
      <c r="N13" s="2187">
        <v>0</v>
      </c>
      <c r="O13" s="2203">
        <v>0</v>
      </c>
      <c r="P13" s="2259">
        <v>0</v>
      </c>
      <c r="Q13" s="2259">
        <v>0</v>
      </c>
      <c r="R13" s="2260">
        <v>0</v>
      </c>
      <c r="S13" s="2180"/>
      <c r="T13" s="2187"/>
      <c r="U13" s="2180"/>
      <c r="V13" s="2180"/>
    </row>
    <row r="14" spans="1:22" ht="13.8" x14ac:dyDescent="0.3">
      <c r="B14" s="2248"/>
      <c r="C14" s="2186" t="s">
        <v>906</v>
      </c>
      <c r="D14" s="2194">
        <v>16592.240000000002</v>
      </c>
      <c r="E14" s="2194">
        <v>16889.84</v>
      </c>
      <c r="F14" s="2194">
        <f>SUM(D14:E14)</f>
        <v>33482.080000000002</v>
      </c>
      <c r="G14" s="2180"/>
      <c r="H14" s="2202"/>
      <c r="I14" s="2226" t="s">
        <v>410</v>
      </c>
      <c r="J14" s="2229"/>
      <c r="K14" s="2230"/>
      <c r="L14" s="2258">
        <v>0</v>
      </c>
      <c r="M14" s="2187">
        <v>0</v>
      </c>
      <c r="N14" s="2187">
        <v>0</v>
      </c>
      <c r="O14" s="2203">
        <v>0</v>
      </c>
      <c r="P14" s="2259">
        <v>0</v>
      </c>
      <c r="Q14" s="2259">
        <v>0</v>
      </c>
      <c r="R14" s="2260">
        <v>0</v>
      </c>
      <c r="S14" s="2180"/>
      <c r="T14" s="2184"/>
      <c r="U14" s="2180"/>
      <c r="V14" s="2180"/>
    </row>
    <row r="15" spans="1:22" ht="13.8" x14ac:dyDescent="0.3">
      <c r="B15" s="2249"/>
      <c r="C15" s="2186" t="s">
        <v>889</v>
      </c>
      <c r="D15" s="2194">
        <v>8296.1200000000008</v>
      </c>
      <c r="E15" s="2194">
        <v>8444.92</v>
      </c>
      <c r="F15" s="3681">
        <f t="shared" ref="F15:F17" si="1">SUM(D15:E15)</f>
        <v>16741.04</v>
      </c>
      <c r="G15" s="2180"/>
      <c r="H15" s="2202"/>
      <c r="I15" s="2226" t="s">
        <v>411</v>
      </c>
      <c r="J15" s="2229"/>
      <c r="K15" s="2230"/>
      <c r="L15" s="2258">
        <v>0</v>
      </c>
      <c r="M15" s="2187">
        <v>0</v>
      </c>
      <c r="N15" s="2187">
        <v>0</v>
      </c>
      <c r="O15" s="2203">
        <v>0</v>
      </c>
      <c r="P15" s="2259">
        <v>0</v>
      </c>
      <c r="Q15" s="2259">
        <v>0</v>
      </c>
      <c r="R15" s="2260">
        <v>0</v>
      </c>
      <c r="S15" s="2180"/>
      <c r="T15" s="2184"/>
      <c r="U15" s="2180"/>
      <c r="V15" s="2180"/>
    </row>
    <row r="16" spans="1:22" ht="13.8" x14ac:dyDescent="0.3">
      <c r="B16" s="2249"/>
      <c r="C16" s="2186"/>
      <c r="D16" s="2194"/>
      <c r="E16" s="2194"/>
      <c r="F16" s="3681">
        <f t="shared" si="1"/>
        <v>0</v>
      </c>
      <c r="G16" s="2180"/>
      <c r="H16" s="2202"/>
      <c r="I16" s="2226" t="s">
        <v>213</v>
      </c>
      <c r="J16" s="2229"/>
      <c r="K16" s="2230"/>
      <c r="L16" s="2258">
        <v>0</v>
      </c>
      <c r="M16" s="2187">
        <v>0</v>
      </c>
      <c r="N16" s="2187">
        <v>0</v>
      </c>
      <c r="O16" s="2203">
        <v>0</v>
      </c>
      <c r="P16" s="2259">
        <v>0</v>
      </c>
      <c r="Q16" s="2259">
        <v>0</v>
      </c>
      <c r="R16" s="2260">
        <v>0</v>
      </c>
      <c r="S16" s="2180"/>
      <c r="T16" s="2184"/>
      <c r="U16" s="2180"/>
      <c r="V16" s="2180"/>
    </row>
    <row r="17" spans="2:22" ht="14.4" thickBot="1" x14ac:dyDescent="0.35">
      <c r="B17" s="2249"/>
      <c r="C17" s="2186" t="s">
        <v>907</v>
      </c>
      <c r="D17" s="2194">
        <v>950.8</v>
      </c>
      <c r="E17" s="2194">
        <v>994.51</v>
      </c>
      <c r="F17" s="3681">
        <f t="shared" si="1"/>
        <v>1945.31</v>
      </c>
      <c r="G17" s="2180"/>
      <c r="H17" s="2202"/>
      <c r="I17" s="2226" t="s">
        <v>214</v>
      </c>
      <c r="J17" s="2229"/>
      <c r="K17" s="2230"/>
      <c r="L17" s="2258">
        <v>0</v>
      </c>
      <c r="M17" s="2187">
        <v>0</v>
      </c>
      <c r="N17" s="2187">
        <v>0</v>
      </c>
      <c r="O17" s="2203">
        <v>0</v>
      </c>
      <c r="P17" s="2259">
        <v>0</v>
      </c>
      <c r="Q17" s="2259">
        <v>0</v>
      </c>
      <c r="R17" s="2260">
        <v>0</v>
      </c>
      <c r="S17" s="2180"/>
      <c r="T17" s="2184"/>
      <c r="U17" s="2180"/>
      <c r="V17" s="2180"/>
    </row>
    <row r="18" spans="2:22" ht="14.4" thickBot="1" x14ac:dyDescent="0.35">
      <c r="B18" s="2247">
        <v>0</v>
      </c>
      <c r="C18" s="2211" t="s">
        <v>166</v>
      </c>
      <c r="D18" s="2212">
        <f>SUM(D19:D22)</f>
        <v>0</v>
      </c>
      <c r="E18" s="2212">
        <f>SUM(E19:E22)</f>
        <v>0</v>
      </c>
      <c r="F18" s="2213">
        <f>SUM(D18:E18)</f>
        <v>0</v>
      </c>
      <c r="G18" s="2180"/>
      <c r="H18" s="2202"/>
      <c r="I18" s="2226" t="s">
        <v>215</v>
      </c>
      <c r="J18" s="2229"/>
      <c r="K18" s="2230"/>
      <c r="L18" s="2258">
        <v>0</v>
      </c>
      <c r="M18" s="2187">
        <v>0</v>
      </c>
      <c r="N18" s="2187">
        <v>0</v>
      </c>
      <c r="O18" s="2203">
        <v>0</v>
      </c>
      <c r="P18" s="2259">
        <v>0</v>
      </c>
      <c r="Q18" s="2259">
        <v>0</v>
      </c>
      <c r="R18" s="2260">
        <v>0</v>
      </c>
      <c r="S18" s="2180"/>
      <c r="T18" s="2184"/>
    </row>
    <row r="19" spans="2:22" ht="13.8" x14ac:dyDescent="0.3">
      <c r="B19" s="2248"/>
      <c r="C19" s="2186" t="s">
        <v>162</v>
      </c>
      <c r="D19" s="2271">
        <v>0</v>
      </c>
      <c r="E19" s="2271">
        <v>0</v>
      </c>
      <c r="F19" s="2194">
        <f>SUM(D19:E19)</f>
        <v>0</v>
      </c>
      <c r="G19" s="2180"/>
      <c r="H19" s="2202"/>
      <c r="I19" s="2226" t="s">
        <v>216</v>
      </c>
      <c r="J19" s="2229"/>
      <c r="K19" s="2230"/>
      <c r="L19" s="2258">
        <v>0</v>
      </c>
      <c r="M19" s="2187">
        <v>0</v>
      </c>
      <c r="N19" s="2187">
        <v>0</v>
      </c>
      <c r="O19" s="2203">
        <v>0</v>
      </c>
      <c r="P19" s="2259">
        <v>0</v>
      </c>
      <c r="Q19" s="2259">
        <v>0</v>
      </c>
      <c r="R19" s="2260">
        <v>0</v>
      </c>
      <c r="S19" s="2180"/>
      <c r="T19" s="2184"/>
    </row>
    <row r="20" spans="2:22" ht="13.8" x14ac:dyDescent="0.3">
      <c r="B20" s="2249"/>
      <c r="C20" s="2186" t="s">
        <v>163</v>
      </c>
      <c r="D20" s="2271">
        <v>0</v>
      </c>
      <c r="E20" s="2271">
        <v>0</v>
      </c>
      <c r="F20" s="3681">
        <f t="shared" ref="F20:F22" si="2">SUM(D20:E20)</f>
        <v>0</v>
      </c>
      <c r="G20" s="2180"/>
      <c r="H20" s="2202"/>
      <c r="I20" s="2226" t="s">
        <v>217</v>
      </c>
      <c r="J20" s="2229"/>
      <c r="K20" s="2230"/>
      <c r="L20" s="2258">
        <v>0</v>
      </c>
      <c r="M20" s="2187">
        <v>0</v>
      </c>
      <c r="N20" s="2187">
        <v>0</v>
      </c>
      <c r="O20" s="2203">
        <v>0</v>
      </c>
      <c r="P20" s="2259">
        <v>0</v>
      </c>
      <c r="Q20" s="2259">
        <v>0</v>
      </c>
      <c r="R20" s="2260">
        <v>0</v>
      </c>
      <c r="S20" s="2180"/>
      <c r="T20" s="2184"/>
    </row>
    <row r="21" spans="2:22" ht="13.8" x14ac:dyDescent="0.3">
      <c r="B21" s="2249"/>
      <c r="C21" s="2186" t="s">
        <v>164</v>
      </c>
      <c r="D21" s="2196">
        <v>0</v>
      </c>
      <c r="E21" s="2196"/>
      <c r="F21" s="3681">
        <f t="shared" si="2"/>
        <v>0</v>
      </c>
      <c r="G21" s="2180"/>
      <c r="H21" s="2202"/>
      <c r="I21" s="2226" t="s">
        <v>218</v>
      </c>
      <c r="J21" s="2229"/>
      <c r="K21" s="2230"/>
      <c r="L21" s="2258">
        <v>0</v>
      </c>
      <c r="M21" s="2187">
        <v>0</v>
      </c>
      <c r="N21" s="2187">
        <v>0</v>
      </c>
      <c r="O21" s="2203">
        <v>0</v>
      </c>
      <c r="P21" s="2259">
        <v>0</v>
      </c>
      <c r="Q21" s="2259">
        <v>0</v>
      </c>
      <c r="R21" s="2260">
        <v>0</v>
      </c>
      <c r="S21" s="2180"/>
      <c r="T21" s="2184"/>
    </row>
    <row r="22" spans="2:22" ht="14.4" thickBot="1" x14ac:dyDescent="0.35">
      <c r="B22" s="2249"/>
      <c r="C22" s="2186" t="s">
        <v>165</v>
      </c>
      <c r="D22" s="2196">
        <v>0</v>
      </c>
      <c r="E22" s="2196"/>
      <c r="F22" s="3681">
        <f t="shared" si="2"/>
        <v>0</v>
      </c>
      <c r="G22" s="2180"/>
      <c r="H22" s="2202"/>
      <c r="I22" s="2226" t="s">
        <v>219</v>
      </c>
      <c r="J22" s="2229"/>
      <c r="K22" s="2230"/>
      <c r="L22" s="2258">
        <v>0</v>
      </c>
      <c r="M22" s="2187">
        <v>0</v>
      </c>
      <c r="N22" s="2187">
        <v>0</v>
      </c>
      <c r="O22" s="2203">
        <v>0</v>
      </c>
      <c r="P22" s="2259">
        <v>0</v>
      </c>
      <c r="Q22" s="2259">
        <v>0</v>
      </c>
      <c r="R22" s="2260">
        <v>0</v>
      </c>
      <c r="S22" s="2180"/>
      <c r="T22" s="2184"/>
    </row>
    <row r="23" spans="2:22" ht="14.4" thickBot="1" x14ac:dyDescent="0.35">
      <c r="B23" s="2247">
        <v>0</v>
      </c>
      <c r="C23" s="2211" t="s">
        <v>167</v>
      </c>
      <c r="D23" s="2212">
        <f>SUM(D24:D27)</f>
        <v>16278.670800000004</v>
      </c>
      <c r="E23" s="3683">
        <f>SUM(E24:E27)</f>
        <v>16587.4401</v>
      </c>
      <c r="F23" s="2213">
        <f>SUM(D23:E23)</f>
        <v>32866.1109</v>
      </c>
      <c r="G23" s="2185"/>
      <c r="H23" s="2202"/>
      <c r="I23" s="2226" t="s">
        <v>221</v>
      </c>
      <c r="J23" s="2229"/>
      <c r="K23" s="2230"/>
      <c r="L23" s="2258">
        <v>0</v>
      </c>
      <c r="M23" s="2187">
        <v>0</v>
      </c>
      <c r="N23" s="2187">
        <v>0</v>
      </c>
      <c r="O23" s="2203">
        <v>0</v>
      </c>
      <c r="P23" s="2259">
        <v>0</v>
      </c>
      <c r="Q23" s="2259">
        <v>0</v>
      </c>
      <c r="R23" s="2260">
        <v>0</v>
      </c>
      <c r="S23" s="2180"/>
      <c r="T23" s="2184"/>
    </row>
    <row r="24" spans="2:22" ht="13.8" x14ac:dyDescent="0.3">
      <c r="B24" s="2248"/>
      <c r="C24" s="2192" t="s">
        <v>168</v>
      </c>
      <c r="D24" s="2194">
        <f>D14*0.63</f>
        <v>10453.111200000001</v>
      </c>
      <c r="E24" s="3908">
        <f>E14*0.63</f>
        <v>10640.599200000001</v>
      </c>
      <c r="F24" s="2194">
        <f>SUM(D24:E24)</f>
        <v>21093.710400000004</v>
      </c>
      <c r="G24" s="2180"/>
      <c r="H24" s="2202"/>
      <c r="I24" s="2226" t="s">
        <v>222</v>
      </c>
      <c r="J24" s="2229"/>
      <c r="K24" s="2230"/>
      <c r="L24" s="2258">
        <v>0</v>
      </c>
      <c r="M24" s="2187">
        <v>0</v>
      </c>
      <c r="N24" s="2187">
        <v>0</v>
      </c>
      <c r="O24" s="2203">
        <v>0</v>
      </c>
      <c r="P24" s="2259">
        <v>0</v>
      </c>
      <c r="Q24" s="2259">
        <v>0</v>
      </c>
      <c r="R24" s="2260">
        <v>0</v>
      </c>
      <c r="S24" s="2180"/>
      <c r="T24" s="2184"/>
    </row>
    <row r="25" spans="2:22" ht="13.8" x14ac:dyDescent="0.3">
      <c r="B25" s="2248"/>
      <c r="C25" s="2192" t="s">
        <v>169</v>
      </c>
      <c r="D25" s="2195">
        <f>D15*0.63</f>
        <v>5226.5556000000006</v>
      </c>
      <c r="E25" s="3909">
        <f>E15*0.63</f>
        <v>5320.2996000000003</v>
      </c>
      <c r="F25" s="3681">
        <f t="shared" ref="F25:F27" si="3">SUM(D25:E25)</f>
        <v>10546.855200000002</v>
      </c>
      <c r="G25" s="2180"/>
      <c r="H25" s="2202"/>
      <c r="I25" s="2226" t="s">
        <v>223</v>
      </c>
      <c r="J25" s="2229"/>
      <c r="K25" s="2230"/>
      <c r="L25" s="2258">
        <v>0</v>
      </c>
      <c r="M25" s="2187">
        <v>0</v>
      </c>
      <c r="N25" s="2187">
        <v>0</v>
      </c>
      <c r="O25" s="2203">
        <v>0</v>
      </c>
      <c r="P25" s="2259">
        <v>0</v>
      </c>
      <c r="Q25" s="2259">
        <v>0</v>
      </c>
      <c r="R25" s="2260">
        <v>0</v>
      </c>
      <c r="S25" s="2180"/>
      <c r="T25" s="2184"/>
    </row>
    <row r="26" spans="2:22" ht="13.8" x14ac:dyDescent="0.3">
      <c r="B26" s="2249"/>
      <c r="C26" s="4517" t="s">
        <v>907</v>
      </c>
      <c r="D26" s="2196">
        <f>D17*0.63</f>
        <v>599.00400000000002</v>
      </c>
      <c r="E26" s="3910">
        <f>E17*0.63</f>
        <v>626.54129999999998</v>
      </c>
      <c r="F26" s="3681">
        <f t="shared" si="3"/>
        <v>1225.5453</v>
      </c>
      <c r="G26" s="2180"/>
      <c r="H26" s="2202"/>
      <c r="I26" s="2226" t="s">
        <v>224</v>
      </c>
      <c r="J26" s="2229"/>
      <c r="K26" s="2230"/>
      <c r="L26" s="2258">
        <v>0</v>
      </c>
      <c r="M26" s="2187">
        <v>0</v>
      </c>
      <c r="N26" s="2187">
        <v>0</v>
      </c>
      <c r="O26" s="2203">
        <v>0</v>
      </c>
      <c r="P26" s="2259">
        <v>0</v>
      </c>
      <c r="Q26" s="2259">
        <v>0</v>
      </c>
      <c r="R26" s="2260">
        <v>0</v>
      </c>
      <c r="S26" s="2180"/>
      <c r="T26" s="2184"/>
    </row>
    <row r="27" spans="2:22" ht="14.4" thickBot="1" x14ac:dyDescent="0.35">
      <c r="B27" s="2249"/>
      <c r="C27" s="2186"/>
      <c r="D27" s="2196"/>
      <c r="E27" s="2196"/>
      <c r="F27" s="3681">
        <f t="shared" si="3"/>
        <v>0</v>
      </c>
      <c r="G27" s="2180"/>
      <c r="H27" s="2202"/>
      <c r="I27" s="2226" t="s">
        <v>225</v>
      </c>
      <c r="J27" s="2229"/>
      <c r="K27" s="2230"/>
      <c r="L27" s="2258">
        <v>0</v>
      </c>
      <c r="M27" s="2187">
        <v>0</v>
      </c>
      <c r="N27" s="2187">
        <v>0</v>
      </c>
      <c r="O27" s="2203">
        <v>0</v>
      </c>
      <c r="P27" s="2259">
        <v>0</v>
      </c>
      <c r="Q27" s="2259">
        <v>0</v>
      </c>
      <c r="R27" s="2260">
        <v>0</v>
      </c>
      <c r="S27" s="2180"/>
      <c r="T27" s="2184"/>
    </row>
    <row r="28" spans="2:22" ht="14.4" thickBot="1" x14ac:dyDescent="0.35">
      <c r="B28" s="2247">
        <v>12600</v>
      </c>
      <c r="C28" s="2211" t="s">
        <v>170</v>
      </c>
      <c r="D28" s="2212">
        <f>SUM(D29:D32)</f>
        <v>3017.8</v>
      </c>
      <c r="E28" s="3683">
        <f>SUM(E29:E32)</f>
        <v>1529.8</v>
      </c>
      <c r="F28" s="2213">
        <f>SUM(D28:E28)</f>
        <v>4547.6000000000004</v>
      </c>
      <c r="G28" s="2180"/>
      <c r="H28" s="2202"/>
      <c r="I28" s="2226" t="s">
        <v>226</v>
      </c>
      <c r="J28" s="2229"/>
      <c r="K28" s="2230"/>
      <c r="L28" s="2258">
        <v>0</v>
      </c>
      <c r="M28" s="2187">
        <v>0</v>
      </c>
      <c r="N28" s="2187">
        <v>0</v>
      </c>
      <c r="O28" s="2203">
        <v>0</v>
      </c>
      <c r="P28" s="2259">
        <v>0</v>
      </c>
      <c r="Q28" s="2259">
        <v>0</v>
      </c>
      <c r="R28" s="2260">
        <v>0</v>
      </c>
      <c r="S28" s="2180"/>
      <c r="T28" s="2184"/>
    </row>
    <row r="29" spans="2:22" ht="13.8" x14ac:dyDescent="0.3">
      <c r="B29" s="2248"/>
      <c r="C29" s="3679" t="s">
        <v>1120</v>
      </c>
      <c r="D29" s="2194">
        <v>2001.8</v>
      </c>
      <c r="E29" s="2194">
        <v>513.79999999999995</v>
      </c>
      <c r="F29" s="2194">
        <f>SUM(D29:E29)</f>
        <v>2515.6</v>
      </c>
      <c r="G29" s="2180"/>
      <c r="H29" s="2202"/>
      <c r="I29" s="2226" t="s">
        <v>227</v>
      </c>
      <c r="J29" s="2229"/>
      <c r="K29" s="2230"/>
      <c r="L29" s="2258">
        <v>0</v>
      </c>
      <c r="M29" s="2187">
        <v>0</v>
      </c>
      <c r="N29" s="2187">
        <v>0</v>
      </c>
      <c r="O29" s="2203">
        <v>0</v>
      </c>
      <c r="P29" s="2259">
        <v>0</v>
      </c>
      <c r="Q29" s="2259">
        <v>0</v>
      </c>
      <c r="R29" s="2260">
        <v>0</v>
      </c>
      <c r="S29" s="2180"/>
      <c r="T29" s="2184"/>
    </row>
    <row r="30" spans="2:22" ht="13.8" x14ac:dyDescent="0.3">
      <c r="B30" s="2249"/>
      <c r="C30" s="2186" t="s">
        <v>908</v>
      </c>
      <c r="D30" s="2195">
        <v>1016</v>
      </c>
      <c r="E30" s="2195">
        <v>1016</v>
      </c>
      <c r="F30" s="3681">
        <f t="shared" ref="F30:F32" si="4">SUM(D30:E30)</f>
        <v>2032</v>
      </c>
      <c r="G30" s="2180"/>
      <c r="H30" s="2202"/>
      <c r="I30" s="2226" t="s">
        <v>228</v>
      </c>
      <c r="J30" s="2229"/>
      <c r="K30" s="2230"/>
      <c r="L30" s="2258">
        <v>0</v>
      </c>
      <c r="M30" s="2187">
        <v>0</v>
      </c>
      <c r="N30" s="2187">
        <v>0</v>
      </c>
      <c r="O30" s="2203">
        <v>0</v>
      </c>
      <c r="P30" s="2259">
        <v>0</v>
      </c>
      <c r="Q30" s="2259">
        <v>0</v>
      </c>
      <c r="R30" s="2260">
        <v>0</v>
      </c>
      <c r="S30" s="2180"/>
      <c r="T30" s="2184"/>
    </row>
    <row r="31" spans="2:22" ht="13.8" x14ac:dyDescent="0.3">
      <c r="B31" s="2249"/>
      <c r="C31" s="2186" t="s">
        <v>164</v>
      </c>
      <c r="D31" s="2195">
        <v>0</v>
      </c>
      <c r="E31" s="2195"/>
      <c r="F31" s="3681">
        <f t="shared" si="4"/>
        <v>0</v>
      </c>
      <c r="G31" s="2180"/>
      <c r="H31" s="2202"/>
      <c r="I31" s="2226" t="s">
        <v>229</v>
      </c>
      <c r="J31" s="2229"/>
      <c r="K31" s="2230"/>
      <c r="L31" s="2258">
        <v>0</v>
      </c>
      <c r="M31" s="2187">
        <v>0</v>
      </c>
      <c r="N31" s="2187">
        <v>0</v>
      </c>
      <c r="O31" s="2203">
        <v>0</v>
      </c>
      <c r="P31" s="2259">
        <v>0</v>
      </c>
      <c r="Q31" s="2259">
        <v>0</v>
      </c>
      <c r="R31" s="2260">
        <v>0</v>
      </c>
      <c r="S31" s="2180"/>
      <c r="T31" s="2184"/>
    </row>
    <row r="32" spans="2:22" ht="14.4" thickBot="1" x14ac:dyDescent="0.35">
      <c r="B32" s="2249"/>
      <c r="C32" s="2186" t="s">
        <v>165</v>
      </c>
      <c r="D32" s="2195">
        <v>0</v>
      </c>
      <c r="E32" s="2195"/>
      <c r="F32" s="3681">
        <f t="shared" si="4"/>
        <v>0</v>
      </c>
      <c r="G32" s="2180"/>
      <c r="H32" s="2202"/>
      <c r="I32" s="2226" t="s">
        <v>230</v>
      </c>
      <c r="J32" s="2229"/>
      <c r="K32" s="2230"/>
      <c r="L32" s="2258">
        <v>0</v>
      </c>
      <c r="M32" s="2187">
        <v>0</v>
      </c>
      <c r="N32" s="2187">
        <v>0</v>
      </c>
      <c r="O32" s="2203">
        <v>0</v>
      </c>
      <c r="P32" s="2259">
        <v>0</v>
      </c>
      <c r="Q32" s="2259">
        <v>0</v>
      </c>
      <c r="R32" s="2260">
        <v>0</v>
      </c>
      <c r="S32" s="2180"/>
      <c r="T32" s="2184"/>
    </row>
    <row r="33" spans="2:20" ht="14.4" thickBot="1" x14ac:dyDescent="0.35">
      <c r="B33" s="2247">
        <v>192</v>
      </c>
      <c r="C33" s="2211" t="s">
        <v>171</v>
      </c>
      <c r="D33" s="2212">
        <f>SUM(D34:D37)</f>
        <v>226.14</v>
      </c>
      <c r="E33" s="3683">
        <f>SUM(E34:E37)</f>
        <v>226.14</v>
      </c>
      <c r="F33" s="2213">
        <f>SUM(D33:E33)</f>
        <v>452.28</v>
      </c>
      <c r="G33" s="2180"/>
      <c r="H33" s="2202"/>
      <c r="I33" s="2226" t="s">
        <v>231</v>
      </c>
      <c r="J33" s="2229"/>
      <c r="K33" s="2230"/>
      <c r="L33" s="2258">
        <v>0</v>
      </c>
      <c r="M33" s="2187">
        <v>0</v>
      </c>
      <c r="N33" s="2187">
        <v>0</v>
      </c>
      <c r="O33" s="2203">
        <v>0</v>
      </c>
      <c r="P33" s="2259">
        <v>0</v>
      </c>
      <c r="Q33" s="2259">
        <v>0</v>
      </c>
      <c r="R33" s="2260">
        <v>0</v>
      </c>
      <c r="S33" s="2180"/>
      <c r="T33" s="2184"/>
    </row>
    <row r="34" spans="2:20" ht="13.8" x14ac:dyDescent="0.3">
      <c r="B34" s="2249"/>
      <c r="C34" s="2281" t="s">
        <v>162</v>
      </c>
      <c r="D34" s="2195">
        <v>91.14</v>
      </c>
      <c r="E34" s="2195">
        <v>91.14</v>
      </c>
      <c r="F34" s="2194">
        <f>SUM(D34:E34)</f>
        <v>182.28</v>
      </c>
      <c r="G34" s="2180"/>
      <c r="H34" s="2202"/>
      <c r="I34" s="2226" t="s">
        <v>232</v>
      </c>
      <c r="J34" s="2229"/>
      <c r="K34" s="2230"/>
      <c r="L34" s="2258">
        <v>0</v>
      </c>
      <c r="M34" s="2187">
        <v>0</v>
      </c>
      <c r="N34" s="2187">
        <v>0</v>
      </c>
      <c r="O34" s="2203">
        <v>0</v>
      </c>
      <c r="P34" s="2259">
        <v>0</v>
      </c>
      <c r="Q34" s="2259">
        <v>0</v>
      </c>
      <c r="R34" s="2260">
        <v>0</v>
      </c>
      <c r="S34" s="2180"/>
      <c r="T34" s="2184"/>
    </row>
    <row r="35" spans="2:20" ht="13.8" x14ac:dyDescent="0.3">
      <c r="B35" s="2249"/>
      <c r="C35" s="2186" t="s">
        <v>914</v>
      </c>
      <c r="D35" s="2195">
        <v>135</v>
      </c>
      <c r="E35" s="2195">
        <v>135</v>
      </c>
      <c r="F35" s="3681">
        <f t="shared" ref="F35:F37" si="5">SUM(D35:E35)</f>
        <v>270</v>
      </c>
      <c r="G35" s="2180"/>
      <c r="H35" s="2202"/>
      <c r="I35" s="2226" t="s">
        <v>233</v>
      </c>
      <c r="J35" s="2229"/>
      <c r="K35" s="2230"/>
      <c r="L35" s="2258">
        <v>0</v>
      </c>
      <c r="M35" s="2187">
        <v>0</v>
      </c>
      <c r="N35" s="2187">
        <v>0</v>
      </c>
      <c r="O35" s="2203">
        <v>0</v>
      </c>
      <c r="P35" s="2259">
        <v>0</v>
      </c>
      <c r="Q35" s="2259">
        <v>0</v>
      </c>
      <c r="R35" s="2260">
        <v>0</v>
      </c>
      <c r="S35" s="2180"/>
      <c r="T35" s="2184"/>
    </row>
    <row r="36" spans="2:20" ht="13.8" x14ac:dyDescent="0.3">
      <c r="B36" s="2249"/>
      <c r="C36" s="2186" t="s">
        <v>164</v>
      </c>
      <c r="D36" s="2195">
        <v>0</v>
      </c>
      <c r="E36" s="2195"/>
      <c r="F36" s="3681">
        <f t="shared" si="5"/>
        <v>0</v>
      </c>
      <c r="G36" s="2180"/>
      <c r="H36" s="2202"/>
      <c r="I36" s="2226" t="s">
        <v>234</v>
      </c>
      <c r="J36" s="2229"/>
      <c r="K36" s="2230"/>
      <c r="L36" s="2258">
        <v>0</v>
      </c>
      <c r="M36" s="2187">
        <v>0</v>
      </c>
      <c r="N36" s="2187">
        <v>0</v>
      </c>
      <c r="O36" s="2203">
        <v>0</v>
      </c>
      <c r="P36" s="2259">
        <v>0</v>
      </c>
      <c r="Q36" s="2259">
        <v>0</v>
      </c>
      <c r="R36" s="2260">
        <v>0</v>
      </c>
      <c r="S36" s="2180"/>
      <c r="T36" s="2184"/>
    </row>
    <row r="37" spans="2:20" ht="14.4" thickBot="1" x14ac:dyDescent="0.35">
      <c r="B37" s="2249"/>
      <c r="C37" s="2186" t="s">
        <v>165</v>
      </c>
      <c r="D37" s="2195">
        <v>0</v>
      </c>
      <c r="E37" s="2195"/>
      <c r="F37" s="3681">
        <f t="shared" si="5"/>
        <v>0</v>
      </c>
      <c r="G37" s="2180"/>
      <c r="H37" s="2202"/>
      <c r="I37" s="2226" t="s">
        <v>235</v>
      </c>
      <c r="J37" s="2229"/>
      <c r="K37" s="2230"/>
      <c r="L37" s="2258">
        <v>0</v>
      </c>
      <c r="M37" s="2187">
        <v>0</v>
      </c>
      <c r="N37" s="2187">
        <v>0</v>
      </c>
      <c r="O37" s="2203">
        <v>0</v>
      </c>
      <c r="P37" s="2259">
        <v>0</v>
      </c>
      <c r="Q37" s="2259">
        <v>0</v>
      </c>
      <c r="R37" s="2260">
        <v>0</v>
      </c>
      <c r="S37" s="2180"/>
      <c r="T37" s="2184"/>
    </row>
    <row r="38" spans="2:20" ht="14.4" thickBot="1" x14ac:dyDescent="0.35">
      <c r="B38" s="2247">
        <v>5196</v>
      </c>
      <c r="C38" s="2211" t="s">
        <v>172</v>
      </c>
      <c r="D38" s="2212">
        <f>SUM(D39:D43)</f>
        <v>15784</v>
      </c>
      <c r="E38" s="3683">
        <f>SUM(E39:E43)</f>
        <v>15784</v>
      </c>
      <c r="F38" s="2213">
        <f>SUM(D38:E38)</f>
        <v>31568</v>
      </c>
      <c r="G38" s="2180"/>
      <c r="H38" s="2202"/>
      <c r="I38" s="2226" t="s">
        <v>236</v>
      </c>
      <c r="J38" s="2229"/>
      <c r="K38" s="2230"/>
      <c r="L38" s="2258">
        <v>0</v>
      </c>
      <c r="M38" s="2187">
        <v>0</v>
      </c>
      <c r="N38" s="2187">
        <v>0</v>
      </c>
      <c r="O38" s="2203">
        <v>0</v>
      </c>
      <c r="P38" s="2259">
        <v>0</v>
      </c>
      <c r="Q38" s="2259">
        <v>0</v>
      </c>
      <c r="R38" s="2260">
        <v>0</v>
      </c>
      <c r="S38" s="2180"/>
      <c r="T38" s="2184"/>
    </row>
    <row r="39" spans="2:20" ht="33.75" customHeight="1" x14ac:dyDescent="0.3">
      <c r="B39" s="2249"/>
      <c r="C39" s="3680" t="s">
        <v>1130</v>
      </c>
      <c r="D39" s="3911">
        <v>8054</v>
      </c>
      <c r="E39" s="3911">
        <v>8054</v>
      </c>
      <c r="F39" s="2194">
        <f>SUM(D39:E39)</f>
        <v>16108</v>
      </c>
      <c r="G39" s="2180"/>
      <c r="H39" s="2202"/>
      <c r="I39" s="2226" t="s">
        <v>237</v>
      </c>
      <c r="J39" s="2229"/>
      <c r="K39" s="2230"/>
      <c r="L39" s="2258">
        <v>0</v>
      </c>
      <c r="M39" s="2187">
        <v>0</v>
      </c>
      <c r="N39" s="2187">
        <v>0</v>
      </c>
      <c r="O39" s="2203">
        <v>0</v>
      </c>
      <c r="P39" s="2259">
        <v>0</v>
      </c>
      <c r="Q39" s="2259">
        <v>0</v>
      </c>
      <c r="R39" s="2260">
        <v>0</v>
      </c>
      <c r="S39" s="2180"/>
      <c r="T39" s="2184"/>
    </row>
    <row r="40" spans="2:20" ht="13.8" x14ac:dyDescent="0.3">
      <c r="B40" s="4520"/>
      <c r="C40" s="4517" t="s">
        <v>1284</v>
      </c>
      <c r="D40" s="4519">
        <v>4400</v>
      </c>
      <c r="E40" s="4519">
        <v>4400</v>
      </c>
      <c r="F40" s="4518"/>
      <c r="G40" s="4514"/>
      <c r="H40" s="4515"/>
      <c r="I40" s="2226" t="s">
        <v>238</v>
      </c>
      <c r="J40" s="2229"/>
      <c r="K40" s="2230"/>
      <c r="L40" s="2258">
        <v>0</v>
      </c>
      <c r="M40" s="2187">
        <v>0</v>
      </c>
      <c r="N40" s="2187">
        <v>0</v>
      </c>
      <c r="O40" s="2203">
        <v>0</v>
      </c>
      <c r="P40" s="2259">
        <v>0</v>
      </c>
      <c r="Q40" s="2259">
        <v>0</v>
      </c>
      <c r="R40" s="2260">
        <v>0</v>
      </c>
      <c r="S40" s="2180"/>
      <c r="T40" s="2184"/>
    </row>
    <row r="41" spans="2:20" ht="13.8" x14ac:dyDescent="0.3">
      <c r="B41" s="2249"/>
      <c r="C41" s="3680" t="s">
        <v>1121</v>
      </c>
      <c r="D41" s="3911">
        <v>390</v>
      </c>
      <c r="E41" s="3911">
        <v>390</v>
      </c>
      <c r="F41" s="3681">
        <f t="shared" ref="F41:F43" si="6">SUM(D41:E41)</f>
        <v>780</v>
      </c>
      <c r="G41" s="2180"/>
      <c r="H41" s="2202"/>
      <c r="I41" s="2226" t="s">
        <v>239</v>
      </c>
      <c r="J41" s="2229"/>
      <c r="K41" s="2230"/>
      <c r="L41" s="2258">
        <v>0</v>
      </c>
      <c r="M41" s="2187">
        <v>0</v>
      </c>
      <c r="N41" s="2187">
        <v>0</v>
      </c>
      <c r="O41" s="2203">
        <v>0</v>
      </c>
      <c r="P41" s="2259">
        <v>0</v>
      </c>
      <c r="Q41" s="2259">
        <v>0</v>
      </c>
      <c r="R41" s="2260">
        <v>0</v>
      </c>
      <c r="S41" s="2180"/>
      <c r="T41" s="2184"/>
    </row>
    <row r="42" spans="2:20" ht="13.8" x14ac:dyDescent="0.3">
      <c r="B42" s="2249"/>
      <c r="C42" s="3680" t="s">
        <v>1122</v>
      </c>
      <c r="D42" s="3911">
        <v>1640</v>
      </c>
      <c r="E42" s="3911">
        <v>1640</v>
      </c>
      <c r="F42" s="3681">
        <f t="shared" si="6"/>
        <v>3280</v>
      </c>
      <c r="G42" s="2180"/>
      <c r="H42" s="2202"/>
      <c r="I42" s="2226" t="s">
        <v>240</v>
      </c>
      <c r="J42" s="2229"/>
      <c r="K42" s="2230"/>
      <c r="L42" s="2258">
        <v>0</v>
      </c>
      <c r="M42" s="2187">
        <v>0</v>
      </c>
      <c r="N42" s="2187">
        <v>0</v>
      </c>
      <c r="O42" s="2203">
        <v>0</v>
      </c>
      <c r="P42" s="2259">
        <v>0</v>
      </c>
      <c r="Q42" s="2259">
        <v>0</v>
      </c>
      <c r="R42" s="2260">
        <v>0</v>
      </c>
      <c r="S42" s="2180"/>
      <c r="T42" s="2184"/>
    </row>
    <row r="43" spans="2:20" ht="14.4" thickBot="1" x14ac:dyDescent="0.35">
      <c r="B43" s="2249"/>
      <c r="C43" s="3680" t="s">
        <v>1123</v>
      </c>
      <c r="D43" s="3911">
        <v>1300</v>
      </c>
      <c r="E43" s="3911">
        <v>1300</v>
      </c>
      <c r="F43" s="3681">
        <f t="shared" si="6"/>
        <v>2600</v>
      </c>
      <c r="G43" s="2180"/>
      <c r="H43" s="2202"/>
      <c r="I43" s="2226" t="s">
        <v>241</v>
      </c>
      <c r="J43" s="2229"/>
      <c r="K43" s="2230"/>
      <c r="L43" s="2258">
        <v>0</v>
      </c>
      <c r="M43" s="2187">
        <v>0</v>
      </c>
      <c r="N43" s="2187">
        <v>0</v>
      </c>
      <c r="O43" s="2203">
        <v>0</v>
      </c>
      <c r="P43" s="2259">
        <v>0</v>
      </c>
      <c r="Q43" s="2259">
        <v>0</v>
      </c>
      <c r="R43" s="2260">
        <v>0</v>
      </c>
      <c r="S43" s="2180"/>
      <c r="T43" s="2184"/>
    </row>
    <row r="44" spans="2:20" ht="14.4" thickBot="1" x14ac:dyDescent="0.35">
      <c r="B44" s="2247">
        <v>0</v>
      </c>
      <c r="C44" s="2211" t="s">
        <v>173</v>
      </c>
      <c r="D44" s="2212">
        <f>SUM(D45:D48)</f>
        <v>900</v>
      </c>
      <c r="E44" s="3683">
        <f>SUM(E45:E48)</f>
        <v>900</v>
      </c>
      <c r="F44" s="2213">
        <f>SUM(D44:E44)</f>
        <v>1800</v>
      </c>
      <c r="G44" s="2180"/>
      <c r="H44" s="2202"/>
      <c r="I44" s="2226" t="s">
        <v>242</v>
      </c>
      <c r="J44" s="2229"/>
      <c r="K44" s="2230"/>
      <c r="L44" s="2258">
        <v>0</v>
      </c>
      <c r="M44" s="2187">
        <v>0</v>
      </c>
      <c r="N44" s="2187">
        <v>0</v>
      </c>
      <c r="O44" s="2203">
        <v>0</v>
      </c>
      <c r="P44" s="2259">
        <v>0</v>
      </c>
      <c r="Q44" s="2259">
        <v>0</v>
      </c>
      <c r="R44" s="2260">
        <v>0</v>
      </c>
      <c r="S44" s="2180"/>
      <c r="T44" s="2184"/>
    </row>
    <row r="45" spans="2:20" ht="13.8" x14ac:dyDescent="0.3">
      <c r="B45" s="2249"/>
      <c r="C45" s="2186" t="s">
        <v>912</v>
      </c>
      <c r="D45" s="2195">
        <v>900</v>
      </c>
      <c r="E45" s="2195">
        <v>900</v>
      </c>
      <c r="F45" s="2194">
        <f>SUM(D45:E45)</f>
        <v>1800</v>
      </c>
      <c r="G45" s="2180"/>
      <c r="H45" s="2202"/>
      <c r="I45" s="2226" t="s">
        <v>243</v>
      </c>
      <c r="J45" s="2229"/>
      <c r="K45" s="2230"/>
      <c r="L45" s="2258">
        <v>0</v>
      </c>
      <c r="M45" s="2187">
        <v>0</v>
      </c>
      <c r="N45" s="2187">
        <v>0</v>
      </c>
      <c r="O45" s="2203">
        <v>0</v>
      </c>
      <c r="P45" s="2259">
        <v>0</v>
      </c>
      <c r="Q45" s="2259">
        <v>0</v>
      </c>
      <c r="R45" s="2260">
        <v>0</v>
      </c>
      <c r="S45" s="2180"/>
      <c r="T45" s="2184"/>
    </row>
    <row r="46" spans="2:20" ht="13.8" x14ac:dyDescent="0.3">
      <c r="B46" s="2249"/>
      <c r="C46" s="2186" t="s">
        <v>163</v>
      </c>
      <c r="D46" s="2195">
        <v>0</v>
      </c>
      <c r="E46" s="2195"/>
      <c r="F46" s="3681">
        <f t="shared" ref="F46:F48" si="7">SUM(D46:E46)</f>
        <v>0</v>
      </c>
      <c r="G46" s="2180"/>
      <c r="H46" s="2202"/>
      <c r="I46" s="2226" t="s">
        <v>244</v>
      </c>
      <c r="J46" s="2229"/>
      <c r="K46" s="2230"/>
      <c r="L46" s="2258">
        <v>0</v>
      </c>
      <c r="M46" s="2187">
        <v>0</v>
      </c>
      <c r="N46" s="2187">
        <v>0</v>
      </c>
      <c r="O46" s="2203">
        <v>0</v>
      </c>
      <c r="P46" s="2259">
        <v>0</v>
      </c>
      <c r="Q46" s="2259">
        <v>0</v>
      </c>
      <c r="R46" s="2260">
        <v>0</v>
      </c>
      <c r="S46" s="2180"/>
      <c r="T46" s="2184"/>
    </row>
    <row r="47" spans="2:20" ht="13.8" x14ac:dyDescent="0.3">
      <c r="B47" s="2249"/>
      <c r="C47" s="2186" t="s">
        <v>164</v>
      </c>
      <c r="D47" s="2195">
        <v>0</v>
      </c>
      <c r="E47" s="2195"/>
      <c r="F47" s="3681">
        <f t="shared" si="7"/>
        <v>0</v>
      </c>
      <c r="G47" s="2180"/>
      <c r="H47" s="2202"/>
      <c r="I47" s="2226" t="s">
        <v>245</v>
      </c>
      <c r="J47" s="2229"/>
      <c r="K47" s="2230"/>
      <c r="L47" s="2258">
        <v>0</v>
      </c>
      <c r="M47" s="2187">
        <v>0</v>
      </c>
      <c r="N47" s="2187">
        <v>0</v>
      </c>
      <c r="O47" s="2203">
        <v>0</v>
      </c>
      <c r="P47" s="2259">
        <v>0</v>
      </c>
      <c r="Q47" s="2259">
        <v>0</v>
      </c>
      <c r="R47" s="2260">
        <v>0</v>
      </c>
      <c r="S47" s="2180"/>
      <c r="T47" s="2184"/>
    </row>
    <row r="48" spans="2:20" ht="14.4" thickBot="1" x14ac:dyDescent="0.35">
      <c r="B48" s="2249"/>
      <c r="C48" s="2186" t="s">
        <v>165</v>
      </c>
      <c r="D48" s="2195">
        <v>0</v>
      </c>
      <c r="E48" s="2195"/>
      <c r="F48" s="3681">
        <f t="shared" si="7"/>
        <v>0</v>
      </c>
      <c r="G48" s="2180"/>
      <c r="H48" s="2202"/>
      <c r="I48" s="2226" t="s">
        <v>246</v>
      </c>
      <c r="J48" s="2229"/>
      <c r="K48" s="2230"/>
      <c r="L48" s="2258">
        <v>0</v>
      </c>
      <c r="M48" s="2187">
        <v>0</v>
      </c>
      <c r="N48" s="2187">
        <v>0</v>
      </c>
      <c r="O48" s="2203">
        <v>0</v>
      </c>
      <c r="P48" s="2259">
        <v>0</v>
      </c>
      <c r="Q48" s="2259">
        <v>0</v>
      </c>
      <c r="R48" s="2260">
        <v>0</v>
      </c>
      <c r="S48" s="2180"/>
      <c r="T48" s="2184"/>
    </row>
    <row r="49" spans="2:24" ht="14.4" thickBot="1" x14ac:dyDescent="0.35">
      <c r="B49" s="2247">
        <v>0</v>
      </c>
      <c r="C49" s="2211" t="s">
        <v>174</v>
      </c>
      <c r="D49" s="2212">
        <f>SUM(D50:D53)</f>
        <v>585</v>
      </c>
      <c r="E49" s="3683">
        <f>SUM(E50:E53)</f>
        <v>585</v>
      </c>
      <c r="F49" s="2213">
        <f>SUM(D49:E49)</f>
        <v>1170</v>
      </c>
      <c r="G49" s="2180"/>
      <c r="H49" s="2202"/>
      <c r="I49" s="2226" t="s">
        <v>247</v>
      </c>
      <c r="J49" s="2229"/>
      <c r="K49" s="2230"/>
      <c r="L49" s="2258">
        <v>0</v>
      </c>
      <c r="M49" s="2187">
        <v>0</v>
      </c>
      <c r="N49" s="2187">
        <v>0</v>
      </c>
      <c r="O49" s="2203">
        <v>0</v>
      </c>
      <c r="P49" s="2259">
        <v>0</v>
      </c>
      <c r="Q49" s="2259">
        <v>0</v>
      </c>
      <c r="R49" s="2260">
        <v>0</v>
      </c>
      <c r="S49" s="2180"/>
      <c r="T49" s="2184"/>
    </row>
    <row r="50" spans="2:24" ht="13.8" x14ac:dyDescent="0.3">
      <c r="B50" s="2249"/>
      <c r="C50" s="3684" t="s">
        <v>1124</v>
      </c>
      <c r="D50" s="3912">
        <v>325</v>
      </c>
      <c r="E50" s="3912">
        <v>325</v>
      </c>
      <c r="F50" s="2194">
        <f>SUM(D50:E50)</f>
        <v>650</v>
      </c>
      <c r="G50" s="2180"/>
      <c r="H50" s="2202"/>
      <c r="I50" s="2226" t="s">
        <v>248</v>
      </c>
      <c r="J50" s="2229"/>
      <c r="K50" s="2230"/>
      <c r="L50" s="2258">
        <v>0</v>
      </c>
      <c r="M50" s="2187">
        <v>0</v>
      </c>
      <c r="N50" s="2187">
        <v>0</v>
      </c>
      <c r="O50" s="2203">
        <v>0</v>
      </c>
      <c r="P50" s="2259">
        <v>0</v>
      </c>
      <c r="Q50" s="2259">
        <v>0</v>
      </c>
      <c r="R50" s="2260">
        <v>0</v>
      </c>
      <c r="S50" s="2180"/>
      <c r="T50" s="2184"/>
      <c r="U50" s="2180"/>
      <c r="V50" s="2180"/>
      <c r="W50" s="2180"/>
      <c r="X50" s="2180"/>
    </row>
    <row r="51" spans="2:24" ht="13.8" x14ac:dyDescent="0.3">
      <c r="B51" s="2249"/>
      <c r="C51" s="3684" t="s">
        <v>1125</v>
      </c>
      <c r="D51" s="3912">
        <v>65</v>
      </c>
      <c r="E51" s="3912">
        <v>65</v>
      </c>
      <c r="F51" s="3681">
        <f t="shared" ref="F51:F53" si="8">SUM(D51:E51)</f>
        <v>130</v>
      </c>
      <c r="G51" s="2180"/>
      <c r="H51" s="2180"/>
      <c r="I51" s="2226" t="s">
        <v>249</v>
      </c>
      <c r="J51" s="2229"/>
      <c r="K51" s="2230"/>
      <c r="L51" s="2258">
        <v>0</v>
      </c>
      <c r="M51" s="2187">
        <v>0</v>
      </c>
      <c r="N51" s="2187">
        <v>0</v>
      </c>
      <c r="O51" s="2203">
        <v>0</v>
      </c>
      <c r="P51" s="2259">
        <v>0</v>
      </c>
      <c r="Q51" s="2259">
        <v>0</v>
      </c>
      <c r="R51" s="2260">
        <v>0</v>
      </c>
      <c r="S51" s="2180"/>
      <c r="T51" s="2184"/>
      <c r="U51" s="2180"/>
      <c r="V51" s="2180"/>
      <c r="W51" s="2180"/>
      <c r="X51" s="2180"/>
    </row>
    <row r="52" spans="2:24" ht="13.8" x14ac:dyDescent="0.3">
      <c r="B52" s="2249"/>
      <c r="C52" s="3684" t="s">
        <v>1126</v>
      </c>
      <c r="D52" s="3912">
        <v>65</v>
      </c>
      <c r="E52" s="3912">
        <v>65</v>
      </c>
      <c r="F52" s="3681">
        <f t="shared" si="8"/>
        <v>130</v>
      </c>
      <c r="G52" s="2180"/>
      <c r="H52" s="2180"/>
      <c r="I52" s="2226" t="s">
        <v>250</v>
      </c>
      <c r="J52" s="2229"/>
      <c r="K52" s="2230"/>
      <c r="L52" s="2258">
        <v>0</v>
      </c>
      <c r="M52" s="2187">
        <v>0</v>
      </c>
      <c r="N52" s="2187">
        <v>0</v>
      </c>
      <c r="O52" s="2203">
        <v>0</v>
      </c>
      <c r="P52" s="2259">
        <v>0</v>
      </c>
      <c r="Q52" s="2259">
        <v>0</v>
      </c>
      <c r="R52" s="2260">
        <v>0</v>
      </c>
      <c r="S52" s="2180"/>
      <c r="T52" s="2184"/>
      <c r="U52" s="2180"/>
      <c r="V52" s="2180"/>
      <c r="W52" s="2180"/>
      <c r="X52" s="2180"/>
    </row>
    <row r="53" spans="2:24" ht="14.4" thickBot="1" x14ac:dyDescent="0.35">
      <c r="B53" s="2249"/>
      <c r="C53" s="3696" t="s">
        <v>1129</v>
      </c>
      <c r="D53" s="3912">
        <v>130</v>
      </c>
      <c r="E53" s="3912">
        <v>130</v>
      </c>
      <c r="F53" s="3681">
        <f t="shared" si="8"/>
        <v>260</v>
      </c>
      <c r="G53" s="2180"/>
      <c r="H53" s="2180"/>
      <c r="I53" s="2226" t="s">
        <v>251</v>
      </c>
      <c r="J53" s="2229"/>
      <c r="K53" s="2230"/>
      <c r="L53" s="2258">
        <v>0</v>
      </c>
      <c r="M53" s="2187">
        <v>0</v>
      </c>
      <c r="N53" s="2187">
        <v>0</v>
      </c>
      <c r="O53" s="2203">
        <v>0</v>
      </c>
      <c r="P53" s="2259">
        <v>0</v>
      </c>
      <c r="Q53" s="2259">
        <v>0</v>
      </c>
      <c r="R53" s="2260">
        <v>0</v>
      </c>
      <c r="S53" s="2180"/>
      <c r="T53" s="2184"/>
      <c r="U53" s="2180"/>
      <c r="V53" s="2180"/>
      <c r="W53" s="2180"/>
      <c r="X53" s="2180"/>
    </row>
    <row r="54" spans="2:24" ht="14.4" thickBot="1" x14ac:dyDescent="0.35">
      <c r="B54" s="2247">
        <v>0</v>
      </c>
      <c r="C54" s="2211" t="s">
        <v>175</v>
      </c>
      <c r="D54" s="2212">
        <v>0</v>
      </c>
      <c r="E54" s="2212">
        <v>0</v>
      </c>
      <c r="F54" s="2213">
        <v>0</v>
      </c>
      <c r="G54" s="2214" t="s">
        <v>176</v>
      </c>
      <c r="H54" s="2180"/>
      <c r="I54" s="2226">
        <v>0</v>
      </c>
      <c r="J54" s="2227"/>
      <c r="K54" s="2228"/>
      <c r="L54" s="2258">
        <v>0</v>
      </c>
      <c r="M54" s="2187">
        <v>0</v>
      </c>
      <c r="N54" s="2187">
        <v>0</v>
      </c>
      <c r="O54" s="2203">
        <v>0</v>
      </c>
      <c r="P54" s="2259">
        <v>0</v>
      </c>
      <c r="Q54" s="2259">
        <v>0</v>
      </c>
      <c r="R54" s="2260">
        <v>0</v>
      </c>
      <c r="S54" s="2180"/>
      <c r="T54" s="2184"/>
      <c r="U54" s="2180"/>
      <c r="V54" s="2180"/>
      <c r="W54" s="2180"/>
      <c r="X54" s="2180"/>
    </row>
    <row r="55" spans="2:24" ht="14.4" thickBot="1" x14ac:dyDescent="0.35">
      <c r="B55" s="2247">
        <v>0</v>
      </c>
      <c r="C55" s="2211" t="s">
        <v>177</v>
      </c>
      <c r="D55" s="2212">
        <v>0</v>
      </c>
      <c r="E55" s="2212">
        <v>0</v>
      </c>
      <c r="F55" s="2213">
        <v>0</v>
      </c>
      <c r="G55" s="2180"/>
      <c r="H55" s="2180"/>
      <c r="I55" s="2180"/>
      <c r="J55" s="2180"/>
      <c r="K55" s="2180"/>
      <c r="L55" s="2180"/>
      <c r="M55" s="2180"/>
      <c r="N55" s="2180"/>
      <c r="O55" s="2180"/>
      <c r="P55" s="2261">
        <v>0</v>
      </c>
      <c r="Q55" s="2261">
        <v>0</v>
      </c>
      <c r="R55" s="2261">
        <v>0</v>
      </c>
      <c r="S55" s="2180"/>
      <c r="T55" s="2261">
        <v>0</v>
      </c>
      <c r="U55" s="2180"/>
      <c r="V55" s="2180"/>
      <c r="W55" s="2180"/>
      <c r="X55" s="2180"/>
    </row>
    <row r="56" spans="2:24" ht="13.8" x14ac:dyDescent="0.3">
      <c r="B56" s="2197">
        <v>17988</v>
      </c>
      <c r="C56" s="2181" t="s">
        <v>178</v>
      </c>
      <c r="D56" s="2197">
        <f>D13+D18+D23+D28+D33+D38+D44+D49+D54+D55</f>
        <v>62630.770800000006</v>
      </c>
      <c r="E56" s="3682">
        <f>E13+E18+E23+E28+E33+E38+E44+E49+E54+E55</f>
        <v>61941.650099999999</v>
      </c>
      <c r="F56" s="3682">
        <f>F13+F18+F23+F28+F33+F38+F44+F49+F54+F55</f>
        <v>124572.4209</v>
      </c>
      <c r="G56" s="2180"/>
      <c r="H56" s="2180"/>
      <c r="I56" s="2180"/>
      <c r="J56" s="2180"/>
      <c r="K56" s="2180"/>
      <c r="L56" s="2180"/>
      <c r="M56" s="2180"/>
      <c r="N56" s="2180"/>
      <c r="O56" s="2180"/>
      <c r="P56" s="2180"/>
      <c r="Q56" s="2180"/>
      <c r="R56" s="2180"/>
      <c r="S56" s="2180"/>
      <c r="T56" s="2180"/>
      <c r="U56" s="2180"/>
      <c r="V56" s="2180"/>
      <c r="W56" s="2180"/>
      <c r="X56" s="2180"/>
    </row>
    <row r="57" spans="2:24" ht="13.8" x14ac:dyDescent="0.3">
      <c r="B57" s="2180"/>
      <c r="C57" s="2181"/>
      <c r="D57" s="2197"/>
      <c r="E57" s="2197"/>
      <c r="F57" s="2197"/>
      <c r="G57" s="2180"/>
      <c r="H57" s="2180"/>
      <c r="I57" s="2180"/>
      <c r="J57" s="2180"/>
      <c r="K57" s="2180"/>
      <c r="L57" s="2180"/>
      <c r="M57" s="2180"/>
      <c r="N57" s="2180"/>
      <c r="O57" s="2180"/>
      <c r="P57" s="2180"/>
      <c r="Q57" s="2180"/>
      <c r="R57" s="2180"/>
      <c r="S57" s="2180"/>
      <c r="T57" s="2180"/>
      <c r="U57" s="2180"/>
      <c r="V57" s="2180"/>
      <c r="W57" s="2180"/>
      <c r="X57" s="2180"/>
    </row>
    <row r="58" spans="2:24" ht="13.8" x14ac:dyDescent="0.3">
      <c r="B58" s="2180"/>
      <c r="C58" s="2181" t="s">
        <v>179</v>
      </c>
      <c r="D58" s="2197">
        <v>84455.56</v>
      </c>
      <c r="E58" s="2197">
        <v>87314.57</v>
      </c>
      <c r="F58" s="2197">
        <v>171770.13</v>
      </c>
      <c r="G58" s="2180"/>
      <c r="H58" s="2180"/>
      <c r="I58" s="2180"/>
      <c r="J58" s="2180"/>
      <c r="K58" s="2180"/>
      <c r="L58" s="2180"/>
      <c r="M58" s="2180"/>
      <c r="N58" s="2180"/>
      <c r="O58" s="2180"/>
      <c r="P58" s="2180"/>
      <c r="Q58" s="2180"/>
      <c r="R58" s="2180"/>
      <c r="S58" s="2180"/>
      <c r="T58" s="2180"/>
      <c r="U58" s="2180"/>
      <c r="V58" s="2180"/>
      <c r="W58" s="2180"/>
      <c r="X58" s="2180"/>
    </row>
    <row r="59" spans="2:24" ht="13.8" x14ac:dyDescent="0.3">
      <c r="B59" s="2180"/>
      <c r="C59" s="2181" t="s">
        <v>180</v>
      </c>
      <c r="D59" s="2182">
        <v>0</v>
      </c>
      <c r="E59" s="2182">
        <v>0</v>
      </c>
      <c r="F59" s="2182">
        <v>0</v>
      </c>
      <c r="G59" s="2273">
        <v>0</v>
      </c>
      <c r="H59" s="2274" t="s">
        <v>181</v>
      </c>
      <c r="I59" s="2180"/>
      <c r="J59" s="2180"/>
      <c r="K59" s="2180"/>
      <c r="L59" s="2180"/>
      <c r="M59" s="2180"/>
      <c r="N59" s="2180"/>
      <c r="O59" s="2180"/>
      <c r="P59" s="2180"/>
      <c r="Q59" s="2180"/>
      <c r="R59" s="2180"/>
      <c r="S59" s="2180"/>
      <c r="T59" s="2180"/>
      <c r="U59" s="2180"/>
      <c r="V59" s="2180"/>
      <c r="W59" s="2180"/>
      <c r="X59" s="2180"/>
    </row>
    <row r="60" spans="2:24" ht="14.4" thickBot="1" x14ac:dyDescent="0.35">
      <c r="B60" s="2180"/>
      <c r="C60" s="2180"/>
      <c r="D60" s="2180"/>
      <c r="E60" s="2180"/>
      <c r="F60" s="2180"/>
      <c r="G60" s="2180"/>
      <c r="H60" s="2180"/>
      <c r="I60" s="2180"/>
      <c r="J60" s="2180"/>
      <c r="K60" s="3690"/>
      <c r="L60" s="2180"/>
      <c r="M60" s="2180"/>
      <c r="N60" s="2180"/>
      <c r="O60" s="2180"/>
      <c r="P60" s="2180"/>
      <c r="Q60" s="2180"/>
      <c r="R60" s="2180"/>
      <c r="S60" s="2180"/>
      <c r="T60" s="2180"/>
      <c r="U60" s="2180"/>
      <c r="V60" s="2180"/>
      <c r="W60" s="2180"/>
      <c r="X60" s="2180"/>
    </row>
    <row r="61" spans="2:24" ht="16.2" thickBot="1" x14ac:dyDescent="0.35">
      <c r="B61" s="2224" t="s">
        <v>182</v>
      </c>
      <c r="C61" s="2225"/>
      <c r="D61" s="3625" t="s">
        <v>183</v>
      </c>
      <c r="E61" s="3624"/>
      <c r="F61" s="3624"/>
      <c r="G61" s="3662"/>
      <c r="H61" s="3662"/>
      <c r="I61" s="4514"/>
      <c r="J61" s="4514"/>
      <c r="K61" s="3690"/>
      <c r="L61" s="4514"/>
      <c r="M61" s="4514"/>
      <c r="N61" s="4514"/>
      <c r="O61" s="4514"/>
      <c r="P61" s="4514"/>
      <c r="Q61" s="4514"/>
      <c r="R61" s="4514"/>
      <c r="S61" s="4514"/>
      <c r="T61" s="4514"/>
      <c r="U61" s="4514"/>
      <c r="V61" s="4514"/>
      <c r="W61" s="4514"/>
      <c r="X61" s="4514"/>
    </row>
    <row r="62" spans="2:24" ht="16.2" thickBot="1" x14ac:dyDescent="0.35">
      <c r="B62" s="3621" t="s">
        <v>184</v>
      </c>
      <c r="C62" s="3622"/>
      <c r="D62" s="3622"/>
      <c r="E62" s="3622"/>
      <c r="F62" s="3622"/>
      <c r="G62" s="3622"/>
      <c r="H62" s="3622"/>
      <c r="I62" s="3622"/>
      <c r="J62" s="3622"/>
      <c r="K62" s="3623"/>
      <c r="L62" s="4785" t="s">
        <v>185</v>
      </c>
      <c r="M62" s="4786"/>
      <c r="N62" s="4786"/>
      <c r="O62" s="4786"/>
      <c r="P62" s="4786"/>
      <c r="Q62" s="4786"/>
      <c r="R62" s="4787"/>
      <c r="S62" s="4785" t="s">
        <v>186</v>
      </c>
      <c r="T62" s="4786"/>
      <c r="U62" s="4787"/>
      <c r="V62" s="4785" t="s">
        <v>132</v>
      </c>
      <c r="W62" s="4786"/>
      <c r="X62" s="4787"/>
    </row>
    <row r="63" spans="2:24" ht="14.4" thickBot="1" x14ac:dyDescent="0.35">
      <c r="B63" s="2188" t="s">
        <v>187</v>
      </c>
      <c r="C63" s="2189" t="s">
        <v>152</v>
      </c>
      <c r="D63" s="2189" t="s">
        <v>153</v>
      </c>
      <c r="E63" s="2189" t="s">
        <v>188</v>
      </c>
      <c r="F63" s="2189" t="s">
        <v>189</v>
      </c>
      <c r="G63" s="2189" t="s">
        <v>190</v>
      </c>
      <c r="H63" s="2189" t="s">
        <v>191</v>
      </c>
      <c r="I63" s="2189" t="s">
        <v>192</v>
      </c>
      <c r="J63" s="2189" t="s">
        <v>193</v>
      </c>
      <c r="K63" s="2190" t="s">
        <v>194</v>
      </c>
      <c r="L63" s="2262" t="s">
        <v>195</v>
      </c>
      <c r="M63" s="2263" t="s">
        <v>196</v>
      </c>
      <c r="N63" s="2215" t="s">
        <v>881</v>
      </c>
      <c r="O63" s="2215" t="s">
        <v>882</v>
      </c>
      <c r="P63" s="2264" t="s">
        <v>883</v>
      </c>
      <c r="Q63" s="2264" t="s">
        <v>884</v>
      </c>
      <c r="R63" s="2222" t="s">
        <v>885</v>
      </c>
      <c r="S63" s="2200" t="s">
        <v>202</v>
      </c>
      <c r="T63" s="2200" t="s">
        <v>203</v>
      </c>
      <c r="U63" s="2201" t="s">
        <v>204</v>
      </c>
      <c r="V63" s="2200" t="s">
        <v>137</v>
      </c>
      <c r="W63" s="2200" t="s">
        <v>12</v>
      </c>
      <c r="X63" s="2201" t="s">
        <v>138</v>
      </c>
    </row>
    <row r="64" spans="2:24" ht="13.8" x14ac:dyDescent="0.3">
      <c r="B64" s="2187"/>
      <c r="C64" s="2184" t="s">
        <v>409</v>
      </c>
      <c r="D64" s="2187">
        <v>0</v>
      </c>
      <c r="E64" s="2187" t="s">
        <v>617</v>
      </c>
      <c r="F64" s="2184" t="s">
        <v>211</v>
      </c>
      <c r="G64" s="2193">
        <v>0</v>
      </c>
      <c r="H64" s="2193">
        <v>0</v>
      </c>
      <c r="I64" s="2270">
        <v>0</v>
      </c>
      <c r="J64" s="2187">
        <v>0</v>
      </c>
      <c r="K64" s="2187"/>
      <c r="L64" s="2216" t="e">
        <v>#N/A</v>
      </c>
      <c r="M64" s="2216" t="e">
        <v>#N/A</v>
      </c>
      <c r="N64" s="2267" t="e">
        <v>#DIV/0!</v>
      </c>
      <c r="O64" s="2267" t="e">
        <v>#DIV/0!</v>
      </c>
      <c r="P64" s="2267" t="e">
        <v>#N/A</v>
      </c>
      <c r="Q64" s="2267" t="e">
        <v>#N/A</v>
      </c>
      <c r="R64" s="2267" t="e">
        <v>#N/A</v>
      </c>
      <c r="S64" s="2206">
        <v>0</v>
      </c>
      <c r="T64" s="2206">
        <v>0</v>
      </c>
      <c r="U64" s="2206">
        <v>0</v>
      </c>
      <c r="V64" s="2275" t="e">
        <v>#DIV/0!</v>
      </c>
      <c r="W64" s="2275" t="e">
        <v>#DIV/0!</v>
      </c>
      <c r="X64" s="2275" t="e">
        <v>#DIV/0!</v>
      </c>
    </row>
    <row r="65" spans="2:24" ht="13.8" x14ac:dyDescent="0.3">
      <c r="B65" s="2184"/>
      <c r="C65" s="2184" t="s">
        <v>410</v>
      </c>
      <c r="D65" s="2184">
        <v>0</v>
      </c>
      <c r="E65" s="2184" t="s">
        <v>617</v>
      </c>
      <c r="F65" s="2184" t="s">
        <v>211</v>
      </c>
      <c r="G65" s="2193">
        <v>0</v>
      </c>
      <c r="H65" s="2193">
        <v>0</v>
      </c>
      <c r="I65" s="2270">
        <v>0</v>
      </c>
      <c r="J65" s="2187">
        <v>0</v>
      </c>
      <c r="K65" s="2187"/>
      <c r="L65" s="2216" t="e">
        <v>#N/A</v>
      </c>
      <c r="M65" s="2216" t="e">
        <v>#N/A</v>
      </c>
      <c r="N65" s="2267" t="e">
        <v>#DIV/0!</v>
      </c>
      <c r="O65" s="2267" t="e">
        <v>#DIV/0!</v>
      </c>
      <c r="P65" s="2267" t="e">
        <v>#N/A</v>
      </c>
      <c r="Q65" s="2267" t="e">
        <v>#N/A</v>
      </c>
      <c r="R65" s="2267" t="e">
        <v>#N/A</v>
      </c>
      <c r="S65" s="2206">
        <v>0</v>
      </c>
      <c r="T65" s="2206">
        <v>0</v>
      </c>
      <c r="U65" s="2206">
        <v>0</v>
      </c>
      <c r="V65" s="2275" t="e">
        <v>#DIV/0!</v>
      </c>
      <c r="W65" s="2275" t="e">
        <v>#DIV/0!</v>
      </c>
      <c r="X65" s="2275" t="e">
        <v>#DIV/0!</v>
      </c>
    </row>
    <row r="66" spans="2:24" ht="13.8" x14ac:dyDescent="0.3">
      <c r="B66" s="2184"/>
      <c r="C66" s="2184" t="s">
        <v>411</v>
      </c>
      <c r="D66" s="2184">
        <v>0</v>
      </c>
      <c r="E66" s="2184" t="s">
        <v>617</v>
      </c>
      <c r="F66" s="2184" t="s">
        <v>211</v>
      </c>
      <c r="G66" s="2193">
        <v>0</v>
      </c>
      <c r="H66" s="2193">
        <v>0</v>
      </c>
      <c r="I66" s="2270">
        <v>0</v>
      </c>
      <c r="J66" s="2187">
        <v>0</v>
      </c>
      <c r="K66" s="2187"/>
      <c r="L66" s="2216" t="e">
        <v>#N/A</v>
      </c>
      <c r="M66" s="2216" t="e">
        <v>#N/A</v>
      </c>
      <c r="N66" s="2267" t="e">
        <v>#DIV/0!</v>
      </c>
      <c r="O66" s="2267" t="e">
        <v>#DIV/0!</v>
      </c>
      <c r="P66" s="2267" t="e">
        <v>#N/A</v>
      </c>
      <c r="Q66" s="2267" t="e">
        <v>#N/A</v>
      </c>
      <c r="R66" s="2267" t="e">
        <v>#N/A</v>
      </c>
      <c r="S66" s="2206">
        <v>0</v>
      </c>
      <c r="T66" s="2206">
        <v>0</v>
      </c>
      <c r="U66" s="2206">
        <v>0</v>
      </c>
      <c r="V66" s="2275" t="e">
        <v>#DIV/0!</v>
      </c>
      <c r="W66" s="2275" t="e">
        <v>#DIV/0!</v>
      </c>
      <c r="X66" s="2275" t="e">
        <v>#DIV/0!</v>
      </c>
    </row>
    <row r="67" spans="2:24" ht="13.8" x14ac:dyDescent="0.3">
      <c r="B67" s="2184"/>
      <c r="C67" s="2184" t="s">
        <v>213</v>
      </c>
      <c r="D67" s="2184">
        <v>0</v>
      </c>
      <c r="E67" s="2184" t="s">
        <v>617</v>
      </c>
      <c r="F67" s="2184" t="s">
        <v>211</v>
      </c>
      <c r="G67" s="2193">
        <v>0</v>
      </c>
      <c r="H67" s="2193">
        <v>0</v>
      </c>
      <c r="I67" s="2270">
        <v>0</v>
      </c>
      <c r="J67" s="2187">
        <v>0</v>
      </c>
      <c r="K67" s="2187"/>
      <c r="L67" s="2216" t="e">
        <v>#N/A</v>
      </c>
      <c r="M67" s="2216" t="e">
        <v>#N/A</v>
      </c>
      <c r="N67" s="2267" t="e">
        <v>#DIV/0!</v>
      </c>
      <c r="O67" s="2267" t="e">
        <v>#DIV/0!</v>
      </c>
      <c r="P67" s="2267" t="e">
        <v>#N/A</v>
      </c>
      <c r="Q67" s="2267" t="e">
        <v>#N/A</v>
      </c>
      <c r="R67" s="2267" t="e">
        <v>#N/A</v>
      </c>
      <c r="S67" s="2206">
        <v>0</v>
      </c>
      <c r="T67" s="2206">
        <v>0</v>
      </c>
      <c r="U67" s="2206">
        <v>0</v>
      </c>
      <c r="V67" s="2275" t="e">
        <v>#DIV/0!</v>
      </c>
      <c r="W67" s="2275" t="e">
        <v>#DIV/0!</v>
      </c>
      <c r="X67" s="2275" t="e">
        <v>#DIV/0!</v>
      </c>
    </row>
    <row r="68" spans="2:24" ht="13.8" x14ac:dyDescent="0.3">
      <c r="B68" s="2184"/>
      <c r="C68" s="2184" t="s">
        <v>214</v>
      </c>
      <c r="D68" s="2184">
        <v>0</v>
      </c>
      <c r="E68" s="2184" t="s">
        <v>617</v>
      </c>
      <c r="F68" s="2184" t="s">
        <v>211</v>
      </c>
      <c r="G68" s="2193">
        <v>0</v>
      </c>
      <c r="H68" s="2193">
        <v>0</v>
      </c>
      <c r="I68" s="2270">
        <v>0</v>
      </c>
      <c r="J68" s="2187">
        <v>0</v>
      </c>
      <c r="K68" s="2187"/>
      <c r="L68" s="2216" t="e">
        <v>#N/A</v>
      </c>
      <c r="M68" s="2216" t="e">
        <v>#N/A</v>
      </c>
      <c r="N68" s="2267" t="e">
        <v>#DIV/0!</v>
      </c>
      <c r="O68" s="2267" t="e">
        <v>#DIV/0!</v>
      </c>
      <c r="P68" s="2267" t="e">
        <v>#N/A</v>
      </c>
      <c r="Q68" s="2267" t="e">
        <v>#N/A</v>
      </c>
      <c r="R68" s="2267" t="e">
        <v>#N/A</v>
      </c>
      <c r="S68" s="2206">
        <v>0</v>
      </c>
      <c r="T68" s="2206">
        <v>0</v>
      </c>
      <c r="U68" s="2206">
        <v>0</v>
      </c>
      <c r="V68" s="2275" t="e">
        <v>#DIV/0!</v>
      </c>
      <c r="W68" s="2275" t="e">
        <v>#DIV/0!</v>
      </c>
      <c r="X68" s="2275" t="e">
        <v>#DIV/0!</v>
      </c>
    </row>
    <row r="69" spans="2:24" ht="13.8" x14ac:dyDescent="0.3">
      <c r="B69" s="2184"/>
      <c r="C69" s="2184" t="s">
        <v>215</v>
      </c>
      <c r="D69" s="2184">
        <v>0</v>
      </c>
      <c r="E69" s="2184" t="s">
        <v>617</v>
      </c>
      <c r="F69" s="2184" t="s">
        <v>211</v>
      </c>
      <c r="G69" s="2193">
        <v>0</v>
      </c>
      <c r="H69" s="2193">
        <v>0</v>
      </c>
      <c r="I69" s="2270">
        <v>0</v>
      </c>
      <c r="J69" s="2187">
        <v>0</v>
      </c>
      <c r="K69" s="2187"/>
      <c r="L69" s="2216" t="e">
        <v>#N/A</v>
      </c>
      <c r="M69" s="2216" t="e">
        <v>#N/A</v>
      </c>
      <c r="N69" s="2267" t="e">
        <v>#DIV/0!</v>
      </c>
      <c r="O69" s="2267" t="e">
        <v>#DIV/0!</v>
      </c>
      <c r="P69" s="2267" t="e">
        <v>#N/A</v>
      </c>
      <c r="Q69" s="2267" t="e">
        <v>#N/A</v>
      </c>
      <c r="R69" s="2267" t="e">
        <v>#N/A</v>
      </c>
      <c r="S69" s="2206">
        <v>0</v>
      </c>
      <c r="T69" s="2206">
        <v>0</v>
      </c>
      <c r="U69" s="2206">
        <v>0</v>
      </c>
      <c r="V69" s="2275" t="e">
        <v>#DIV/0!</v>
      </c>
      <c r="W69" s="2275" t="e">
        <v>#DIV/0!</v>
      </c>
      <c r="X69" s="2275" t="e">
        <v>#DIV/0!</v>
      </c>
    </row>
    <row r="70" spans="2:24" ht="13.8" x14ac:dyDescent="0.3">
      <c r="B70" s="2184"/>
      <c r="C70" s="2184" t="s">
        <v>216</v>
      </c>
      <c r="D70" s="2187">
        <v>0</v>
      </c>
      <c r="E70" s="2184" t="s">
        <v>617</v>
      </c>
      <c r="F70" s="2184" t="s">
        <v>211</v>
      </c>
      <c r="G70" s="2193"/>
      <c r="H70" s="2193"/>
      <c r="I70" s="2204">
        <v>0</v>
      </c>
      <c r="J70" s="2187">
        <v>0</v>
      </c>
      <c r="K70" s="2187"/>
      <c r="L70" s="2216" t="e">
        <v>#N/A</v>
      </c>
      <c r="M70" s="2216" t="e">
        <v>#N/A</v>
      </c>
      <c r="N70" s="2267" t="e">
        <v>#DIV/0!</v>
      </c>
      <c r="O70" s="2267" t="e">
        <v>#DIV/0!</v>
      </c>
      <c r="P70" s="2267" t="e">
        <v>#N/A</v>
      </c>
      <c r="Q70" s="2267" t="e">
        <v>#N/A</v>
      </c>
      <c r="R70" s="2267" t="e">
        <v>#N/A</v>
      </c>
      <c r="S70" s="2206">
        <v>0</v>
      </c>
      <c r="T70" s="2206">
        <v>0</v>
      </c>
      <c r="U70" s="2206">
        <v>0</v>
      </c>
      <c r="V70" s="2275" t="e">
        <v>#DIV/0!</v>
      </c>
      <c r="W70" s="2275" t="e">
        <v>#DIV/0!</v>
      </c>
      <c r="X70" s="2275" t="e">
        <v>#DIV/0!</v>
      </c>
    </row>
    <row r="71" spans="2:24" ht="13.8" x14ac:dyDescent="0.3">
      <c r="B71" s="2184"/>
      <c r="C71" s="2184" t="s">
        <v>217</v>
      </c>
      <c r="D71" s="2184">
        <v>0</v>
      </c>
      <c r="E71" s="2184" t="s">
        <v>617</v>
      </c>
      <c r="F71" s="2184" t="s">
        <v>211</v>
      </c>
      <c r="G71" s="2193"/>
      <c r="H71" s="2193"/>
      <c r="I71" s="2204">
        <v>0</v>
      </c>
      <c r="J71" s="2187"/>
      <c r="K71" s="2187"/>
      <c r="L71" s="2216" t="e">
        <v>#N/A</v>
      </c>
      <c r="M71" s="2216" t="e">
        <v>#N/A</v>
      </c>
      <c r="N71" s="2267" t="e">
        <v>#DIV/0!</v>
      </c>
      <c r="O71" s="2267" t="e">
        <v>#DIV/0!</v>
      </c>
      <c r="P71" s="2267" t="e">
        <v>#N/A</v>
      </c>
      <c r="Q71" s="2267" t="e">
        <v>#N/A</v>
      </c>
      <c r="R71" s="2267" t="e">
        <v>#N/A</v>
      </c>
      <c r="S71" s="2206">
        <v>0</v>
      </c>
      <c r="T71" s="2206">
        <v>0</v>
      </c>
      <c r="U71" s="2206">
        <v>0</v>
      </c>
      <c r="V71" s="2275" t="e">
        <v>#DIV/0!</v>
      </c>
      <c r="W71" s="2275" t="e">
        <v>#DIV/0!</v>
      </c>
      <c r="X71" s="2275" t="e">
        <v>#DIV/0!</v>
      </c>
    </row>
    <row r="72" spans="2:24" ht="13.8" x14ac:dyDescent="0.3">
      <c r="B72" s="2184"/>
      <c r="C72" s="2184" t="s">
        <v>218</v>
      </c>
      <c r="D72" s="2187">
        <v>0</v>
      </c>
      <c r="E72" s="2184" t="s">
        <v>617</v>
      </c>
      <c r="F72" s="2184" t="s">
        <v>211</v>
      </c>
      <c r="G72" s="2193"/>
      <c r="H72" s="2193"/>
      <c r="I72" s="2204">
        <v>0</v>
      </c>
      <c r="J72" s="2187"/>
      <c r="K72" s="2187"/>
      <c r="L72" s="2216" t="e">
        <v>#N/A</v>
      </c>
      <c r="M72" s="2216" t="e">
        <v>#N/A</v>
      </c>
      <c r="N72" s="2267" t="e">
        <v>#DIV/0!</v>
      </c>
      <c r="O72" s="2267" t="e">
        <v>#DIV/0!</v>
      </c>
      <c r="P72" s="2267" t="e">
        <v>#N/A</v>
      </c>
      <c r="Q72" s="2267" t="e">
        <v>#N/A</v>
      </c>
      <c r="R72" s="2267" t="e">
        <v>#N/A</v>
      </c>
      <c r="S72" s="2206">
        <v>0</v>
      </c>
      <c r="T72" s="2206">
        <v>0</v>
      </c>
      <c r="U72" s="2206">
        <v>0</v>
      </c>
      <c r="V72" s="2275" t="e">
        <v>#DIV/0!</v>
      </c>
      <c r="W72" s="2275" t="e">
        <v>#DIV/0!</v>
      </c>
      <c r="X72" s="2275" t="e">
        <v>#DIV/0!</v>
      </c>
    </row>
    <row r="73" spans="2:24" ht="13.8" x14ac:dyDescent="0.3">
      <c r="B73" s="2184"/>
      <c r="C73" s="2184" t="s">
        <v>219</v>
      </c>
      <c r="D73" s="2184">
        <v>0</v>
      </c>
      <c r="E73" s="2184" t="s">
        <v>617</v>
      </c>
      <c r="F73" s="2184" t="s">
        <v>211</v>
      </c>
      <c r="G73" s="2193"/>
      <c r="H73" s="2193"/>
      <c r="I73" s="2204">
        <v>0</v>
      </c>
      <c r="J73" s="2187"/>
      <c r="K73" s="2187"/>
      <c r="L73" s="2216" t="e">
        <v>#N/A</v>
      </c>
      <c r="M73" s="2216" t="e">
        <v>#N/A</v>
      </c>
      <c r="N73" s="2267" t="e">
        <v>#DIV/0!</v>
      </c>
      <c r="O73" s="2267" t="e">
        <v>#DIV/0!</v>
      </c>
      <c r="P73" s="2267" t="e">
        <v>#N/A</v>
      </c>
      <c r="Q73" s="2267" t="e">
        <v>#N/A</v>
      </c>
      <c r="R73" s="2267" t="e">
        <v>#N/A</v>
      </c>
      <c r="S73" s="2206">
        <v>0</v>
      </c>
      <c r="T73" s="2206">
        <v>0</v>
      </c>
      <c r="U73" s="2206">
        <v>0</v>
      </c>
      <c r="V73" s="2275" t="e">
        <v>#DIV/0!</v>
      </c>
      <c r="W73" s="2275" t="e">
        <v>#DIV/0!</v>
      </c>
      <c r="X73" s="2275" t="e">
        <v>#DIV/0!</v>
      </c>
    </row>
    <row r="74" spans="2:24" ht="13.8" x14ac:dyDescent="0.3">
      <c r="B74" s="2184"/>
      <c r="C74" s="2184" t="s">
        <v>220</v>
      </c>
      <c r="D74" s="2187">
        <v>0</v>
      </c>
      <c r="E74" s="2184" t="s">
        <v>617</v>
      </c>
      <c r="F74" s="2184" t="s">
        <v>211</v>
      </c>
      <c r="G74" s="2193"/>
      <c r="H74" s="2193"/>
      <c r="I74" s="2204">
        <v>0</v>
      </c>
      <c r="J74" s="2187"/>
      <c r="K74" s="2187"/>
      <c r="L74" s="2216" t="e">
        <v>#N/A</v>
      </c>
      <c r="M74" s="2216" t="e">
        <v>#N/A</v>
      </c>
      <c r="N74" s="2267" t="e">
        <v>#DIV/0!</v>
      </c>
      <c r="O74" s="2267" t="e">
        <v>#DIV/0!</v>
      </c>
      <c r="P74" s="2267" t="e">
        <v>#N/A</v>
      </c>
      <c r="Q74" s="2267" t="e">
        <v>#N/A</v>
      </c>
      <c r="R74" s="2267" t="e">
        <v>#N/A</v>
      </c>
      <c r="S74" s="2206">
        <v>0</v>
      </c>
      <c r="T74" s="2206">
        <v>0</v>
      </c>
      <c r="U74" s="2206">
        <v>0</v>
      </c>
      <c r="V74" s="2275" t="e">
        <v>#DIV/0!</v>
      </c>
      <c r="W74" s="2275" t="e">
        <v>#DIV/0!</v>
      </c>
      <c r="X74" s="2275" t="e">
        <v>#DIV/0!</v>
      </c>
    </row>
    <row r="75" spans="2:24" ht="13.8" x14ac:dyDescent="0.3">
      <c r="B75" s="2184"/>
      <c r="C75" s="2184" t="s">
        <v>221</v>
      </c>
      <c r="D75" s="2184">
        <v>0</v>
      </c>
      <c r="E75" s="2184" t="s">
        <v>617</v>
      </c>
      <c r="F75" s="2184" t="s">
        <v>211</v>
      </c>
      <c r="G75" s="2193"/>
      <c r="H75" s="2193"/>
      <c r="I75" s="2204">
        <v>0</v>
      </c>
      <c r="J75" s="2187"/>
      <c r="K75" s="2187"/>
      <c r="L75" s="2216" t="e">
        <v>#N/A</v>
      </c>
      <c r="M75" s="2216" t="e">
        <v>#N/A</v>
      </c>
      <c r="N75" s="2267" t="e">
        <v>#DIV/0!</v>
      </c>
      <c r="O75" s="2267" t="e">
        <v>#DIV/0!</v>
      </c>
      <c r="P75" s="2267" t="e">
        <v>#N/A</v>
      </c>
      <c r="Q75" s="2267" t="e">
        <v>#N/A</v>
      </c>
      <c r="R75" s="2267" t="e">
        <v>#N/A</v>
      </c>
      <c r="S75" s="2206">
        <v>0</v>
      </c>
      <c r="T75" s="2206">
        <v>0</v>
      </c>
      <c r="U75" s="2206">
        <v>0</v>
      </c>
      <c r="V75" s="2275" t="e">
        <v>#DIV/0!</v>
      </c>
      <c r="W75" s="2275" t="e">
        <v>#DIV/0!</v>
      </c>
      <c r="X75" s="2275" t="e">
        <v>#DIV/0!</v>
      </c>
    </row>
    <row r="76" spans="2:24" ht="13.8" x14ac:dyDescent="0.3">
      <c r="B76" s="2184"/>
      <c r="C76" s="2184" t="s">
        <v>222</v>
      </c>
      <c r="D76" s="2187">
        <v>0</v>
      </c>
      <c r="E76" s="2184" t="s">
        <v>617</v>
      </c>
      <c r="F76" s="2184" t="s">
        <v>211</v>
      </c>
      <c r="G76" s="2193"/>
      <c r="H76" s="2193"/>
      <c r="I76" s="2204">
        <v>0</v>
      </c>
      <c r="J76" s="2187"/>
      <c r="K76" s="2187"/>
      <c r="L76" s="2216" t="e">
        <v>#N/A</v>
      </c>
      <c r="M76" s="2216" t="e">
        <v>#N/A</v>
      </c>
      <c r="N76" s="2267" t="e">
        <v>#DIV/0!</v>
      </c>
      <c r="O76" s="2267" t="e">
        <v>#DIV/0!</v>
      </c>
      <c r="P76" s="2267" t="e">
        <v>#N/A</v>
      </c>
      <c r="Q76" s="2267" t="e">
        <v>#N/A</v>
      </c>
      <c r="R76" s="2267" t="e">
        <v>#N/A</v>
      </c>
      <c r="S76" s="2206">
        <v>0</v>
      </c>
      <c r="T76" s="2206">
        <v>0</v>
      </c>
      <c r="U76" s="2206">
        <v>0</v>
      </c>
      <c r="V76" s="2275" t="e">
        <v>#DIV/0!</v>
      </c>
      <c r="W76" s="2275" t="e">
        <v>#DIV/0!</v>
      </c>
      <c r="X76" s="2275" t="e">
        <v>#DIV/0!</v>
      </c>
    </row>
    <row r="77" spans="2:24" ht="13.8" x14ac:dyDescent="0.3">
      <c r="B77" s="2184"/>
      <c r="C77" s="2184" t="s">
        <v>223</v>
      </c>
      <c r="D77" s="2184">
        <v>0</v>
      </c>
      <c r="E77" s="2184" t="s">
        <v>617</v>
      </c>
      <c r="F77" s="2184" t="s">
        <v>211</v>
      </c>
      <c r="G77" s="2193"/>
      <c r="H77" s="2193"/>
      <c r="I77" s="2204">
        <v>0</v>
      </c>
      <c r="J77" s="2187"/>
      <c r="K77" s="2187"/>
      <c r="L77" s="2216" t="e">
        <v>#N/A</v>
      </c>
      <c r="M77" s="2216" t="e">
        <v>#N/A</v>
      </c>
      <c r="N77" s="2267" t="e">
        <v>#DIV/0!</v>
      </c>
      <c r="O77" s="2267" t="e">
        <v>#DIV/0!</v>
      </c>
      <c r="P77" s="2267" t="e">
        <v>#N/A</v>
      </c>
      <c r="Q77" s="2267" t="e">
        <v>#N/A</v>
      </c>
      <c r="R77" s="2267" t="e">
        <v>#N/A</v>
      </c>
      <c r="S77" s="2206">
        <v>0</v>
      </c>
      <c r="T77" s="2206">
        <v>0</v>
      </c>
      <c r="U77" s="2206">
        <v>0</v>
      </c>
      <c r="V77" s="2275" t="e">
        <v>#DIV/0!</v>
      </c>
      <c r="W77" s="2275" t="e">
        <v>#DIV/0!</v>
      </c>
      <c r="X77" s="2275" t="e">
        <v>#DIV/0!</v>
      </c>
    </row>
    <row r="78" spans="2:24" ht="13.8" x14ac:dyDescent="0.3">
      <c r="B78" s="2184"/>
      <c r="C78" s="2184" t="s">
        <v>224</v>
      </c>
      <c r="D78" s="2187">
        <v>0</v>
      </c>
      <c r="E78" s="2184" t="s">
        <v>617</v>
      </c>
      <c r="F78" s="2184" t="s">
        <v>211</v>
      </c>
      <c r="G78" s="2193"/>
      <c r="H78" s="2193"/>
      <c r="I78" s="2204">
        <v>0</v>
      </c>
      <c r="J78" s="2187"/>
      <c r="K78" s="2187"/>
      <c r="L78" s="2216" t="e">
        <v>#N/A</v>
      </c>
      <c r="M78" s="2216" t="e">
        <v>#N/A</v>
      </c>
      <c r="N78" s="2267" t="e">
        <v>#DIV/0!</v>
      </c>
      <c r="O78" s="2267" t="e">
        <v>#DIV/0!</v>
      </c>
      <c r="P78" s="2267" t="e">
        <v>#N/A</v>
      </c>
      <c r="Q78" s="2267" t="e">
        <v>#N/A</v>
      </c>
      <c r="R78" s="2267" t="e">
        <v>#N/A</v>
      </c>
      <c r="S78" s="2206">
        <v>0</v>
      </c>
      <c r="T78" s="2206">
        <v>0</v>
      </c>
      <c r="U78" s="2206">
        <v>0</v>
      </c>
      <c r="V78" s="2275" t="e">
        <v>#DIV/0!</v>
      </c>
      <c r="W78" s="2275" t="e">
        <v>#DIV/0!</v>
      </c>
      <c r="X78" s="2275" t="e">
        <v>#DIV/0!</v>
      </c>
    </row>
    <row r="79" spans="2:24" ht="13.8" x14ac:dyDescent="0.3">
      <c r="B79" s="2184"/>
      <c r="C79" s="2184" t="s">
        <v>225</v>
      </c>
      <c r="D79" s="2184">
        <v>0</v>
      </c>
      <c r="E79" s="2184" t="s">
        <v>617</v>
      </c>
      <c r="F79" s="2184" t="s">
        <v>211</v>
      </c>
      <c r="G79" s="2193"/>
      <c r="H79" s="2193"/>
      <c r="I79" s="2204">
        <v>0</v>
      </c>
      <c r="J79" s="2187"/>
      <c r="K79" s="2187"/>
      <c r="L79" s="2216" t="e">
        <v>#N/A</v>
      </c>
      <c r="M79" s="2216" t="e">
        <v>#N/A</v>
      </c>
      <c r="N79" s="2267" t="e">
        <v>#DIV/0!</v>
      </c>
      <c r="O79" s="2267" t="e">
        <v>#DIV/0!</v>
      </c>
      <c r="P79" s="2267" t="e">
        <v>#N/A</v>
      </c>
      <c r="Q79" s="2267" t="e">
        <v>#N/A</v>
      </c>
      <c r="R79" s="2267" t="e">
        <v>#N/A</v>
      </c>
      <c r="S79" s="2206">
        <v>0</v>
      </c>
      <c r="T79" s="2206">
        <v>0</v>
      </c>
      <c r="U79" s="2206">
        <v>0</v>
      </c>
      <c r="V79" s="2275" t="e">
        <v>#DIV/0!</v>
      </c>
      <c r="W79" s="2275" t="e">
        <v>#DIV/0!</v>
      </c>
      <c r="X79" s="2275" t="e">
        <v>#DIV/0!</v>
      </c>
    </row>
    <row r="80" spans="2:24" ht="13.8" x14ac:dyDescent="0.3">
      <c r="B80" s="2184"/>
      <c r="C80" s="2184" t="s">
        <v>226</v>
      </c>
      <c r="D80" s="2187">
        <v>0</v>
      </c>
      <c r="E80" s="2184" t="s">
        <v>617</v>
      </c>
      <c r="F80" s="2184" t="s">
        <v>211</v>
      </c>
      <c r="G80" s="2193"/>
      <c r="H80" s="2193"/>
      <c r="I80" s="2204">
        <v>0</v>
      </c>
      <c r="J80" s="2187"/>
      <c r="K80" s="2187"/>
      <c r="L80" s="2216" t="e">
        <v>#REF!</v>
      </c>
      <c r="M80" s="2216" t="e">
        <v>#REF!</v>
      </c>
      <c r="N80" s="2267" t="e">
        <v>#DIV/0!</v>
      </c>
      <c r="O80" s="2267" t="e">
        <v>#DIV/0!</v>
      </c>
      <c r="P80" s="2267" t="e">
        <v>#REF!</v>
      </c>
      <c r="Q80" s="2267" t="e">
        <v>#REF!</v>
      </c>
      <c r="R80" s="2267" t="e">
        <v>#N/A</v>
      </c>
      <c r="S80" s="2206">
        <v>0</v>
      </c>
      <c r="T80" s="2206">
        <v>0</v>
      </c>
      <c r="U80" s="2206">
        <v>0</v>
      </c>
      <c r="V80" s="2275" t="e">
        <v>#DIV/0!</v>
      </c>
      <c r="W80" s="2275" t="e">
        <v>#DIV/0!</v>
      </c>
      <c r="X80" s="2275" t="e">
        <v>#DIV/0!</v>
      </c>
    </row>
    <row r="81" spans="2:24" ht="13.8" x14ac:dyDescent="0.3">
      <c r="B81" s="2184"/>
      <c r="C81" s="2184" t="s">
        <v>227</v>
      </c>
      <c r="D81" s="2184">
        <v>0</v>
      </c>
      <c r="E81" s="2184" t="s">
        <v>617</v>
      </c>
      <c r="F81" s="2184" t="s">
        <v>211</v>
      </c>
      <c r="G81" s="2193"/>
      <c r="H81" s="2193"/>
      <c r="I81" s="2204">
        <v>0</v>
      </c>
      <c r="J81" s="2187"/>
      <c r="K81" s="2187"/>
      <c r="L81" s="2216" t="e">
        <v>#REF!</v>
      </c>
      <c r="M81" s="2216" t="e">
        <v>#REF!</v>
      </c>
      <c r="N81" s="2267" t="e">
        <v>#DIV/0!</v>
      </c>
      <c r="O81" s="2267" t="e">
        <v>#DIV/0!</v>
      </c>
      <c r="P81" s="2267" t="e">
        <v>#REF!</v>
      </c>
      <c r="Q81" s="2267" t="e">
        <v>#REF!</v>
      </c>
      <c r="R81" s="2267" t="e">
        <v>#N/A</v>
      </c>
      <c r="S81" s="2206">
        <v>0</v>
      </c>
      <c r="T81" s="2206">
        <v>0</v>
      </c>
      <c r="U81" s="2206">
        <v>0</v>
      </c>
      <c r="V81" s="2275" t="e">
        <v>#DIV/0!</v>
      </c>
      <c r="W81" s="2275" t="e">
        <v>#DIV/0!</v>
      </c>
      <c r="X81" s="2275" t="e">
        <v>#DIV/0!</v>
      </c>
    </row>
    <row r="82" spans="2:24" ht="13.8" x14ac:dyDescent="0.3">
      <c r="B82" s="2184"/>
      <c r="C82" s="2184" t="s">
        <v>228</v>
      </c>
      <c r="D82" s="2184">
        <v>0</v>
      </c>
      <c r="E82" s="2184" t="s">
        <v>617</v>
      </c>
      <c r="F82" s="2184" t="s">
        <v>211</v>
      </c>
      <c r="G82" s="2193"/>
      <c r="H82" s="2193"/>
      <c r="I82" s="2204">
        <v>0</v>
      </c>
      <c r="J82" s="2187"/>
      <c r="K82" s="2187"/>
      <c r="L82" s="2216" t="e">
        <v>#REF!</v>
      </c>
      <c r="M82" s="2216" t="e">
        <v>#REF!</v>
      </c>
      <c r="N82" s="2267" t="e">
        <v>#DIV/0!</v>
      </c>
      <c r="O82" s="2267" t="e">
        <v>#DIV/0!</v>
      </c>
      <c r="P82" s="2267" t="e">
        <v>#REF!</v>
      </c>
      <c r="Q82" s="2267" t="e">
        <v>#REF!</v>
      </c>
      <c r="R82" s="2267" t="e">
        <v>#N/A</v>
      </c>
      <c r="S82" s="2206">
        <v>0</v>
      </c>
      <c r="T82" s="2206">
        <v>0</v>
      </c>
      <c r="U82" s="2206">
        <v>0</v>
      </c>
      <c r="V82" s="2275" t="e">
        <v>#DIV/0!</v>
      </c>
      <c r="W82" s="2275" t="e">
        <v>#DIV/0!</v>
      </c>
      <c r="X82" s="2275" t="e">
        <v>#DIV/0!</v>
      </c>
    </row>
    <row r="83" spans="2:24" ht="13.8" x14ac:dyDescent="0.3">
      <c r="B83" s="2184"/>
      <c r="C83" s="2184" t="s">
        <v>229</v>
      </c>
      <c r="D83" s="2184">
        <v>0</v>
      </c>
      <c r="E83" s="2184" t="s">
        <v>617</v>
      </c>
      <c r="F83" s="2184" t="s">
        <v>211</v>
      </c>
      <c r="G83" s="2193"/>
      <c r="H83" s="2193"/>
      <c r="I83" s="2204">
        <v>0</v>
      </c>
      <c r="J83" s="2187"/>
      <c r="K83" s="2187"/>
      <c r="L83" s="2216" t="e">
        <v>#REF!</v>
      </c>
      <c r="M83" s="2216" t="e">
        <v>#REF!</v>
      </c>
      <c r="N83" s="2267" t="e">
        <v>#DIV/0!</v>
      </c>
      <c r="O83" s="2267" t="e">
        <v>#DIV/0!</v>
      </c>
      <c r="P83" s="2267" t="e">
        <v>#REF!</v>
      </c>
      <c r="Q83" s="2267" t="e">
        <v>#REF!</v>
      </c>
      <c r="R83" s="2267" t="e">
        <v>#N/A</v>
      </c>
      <c r="S83" s="2206">
        <v>0</v>
      </c>
      <c r="T83" s="2206">
        <v>0</v>
      </c>
      <c r="U83" s="2206">
        <v>0</v>
      </c>
    </row>
    <row r="84" spans="2:24" ht="13.8" x14ac:dyDescent="0.3">
      <c r="B84" s="2184"/>
      <c r="C84" s="2184" t="s">
        <v>230</v>
      </c>
      <c r="D84" s="2236">
        <v>0</v>
      </c>
      <c r="E84" s="2184" t="s">
        <v>617</v>
      </c>
      <c r="F84" s="2184" t="s">
        <v>211</v>
      </c>
      <c r="G84" s="2193"/>
      <c r="H84" s="2193"/>
      <c r="I84" s="2204">
        <v>0</v>
      </c>
      <c r="J84" s="2187"/>
      <c r="K84" s="2187"/>
      <c r="L84" s="2216" t="e">
        <v>#REF!</v>
      </c>
      <c r="M84" s="2216" t="e">
        <v>#REF!</v>
      </c>
      <c r="N84" s="2267" t="e">
        <v>#DIV/0!</v>
      </c>
      <c r="O84" s="2267" t="e">
        <v>#DIV/0!</v>
      </c>
      <c r="P84" s="2267" t="e">
        <v>#REF!</v>
      </c>
      <c r="Q84" s="2267" t="e">
        <v>#REF!</v>
      </c>
      <c r="R84" s="2267" t="e">
        <v>#N/A</v>
      </c>
      <c r="S84" s="2206">
        <v>0</v>
      </c>
      <c r="T84" s="2206">
        <v>0</v>
      </c>
      <c r="U84" s="2206">
        <v>0</v>
      </c>
    </row>
    <row r="85" spans="2:24" ht="13.8" x14ac:dyDescent="0.3">
      <c r="B85" s="2184"/>
      <c r="C85" s="2184" t="s">
        <v>231</v>
      </c>
      <c r="D85" s="2236">
        <v>0</v>
      </c>
      <c r="E85" s="2184" t="s">
        <v>617</v>
      </c>
      <c r="F85" s="2184" t="s">
        <v>211</v>
      </c>
      <c r="G85" s="2193"/>
      <c r="H85" s="2193"/>
      <c r="I85" s="2204">
        <v>0</v>
      </c>
      <c r="J85" s="2187"/>
      <c r="K85" s="2187"/>
      <c r="L85" s="2216" t="e">
        <v>#REF!</v>
      </c>
      <c r="M85" s="2216" t="e">
        <v>#REF!</v>
      </c>
      <c r="N85" s="2267" t="e">
        <v>#DIV/0!</v>
      </c>
      <c r="O85" s="2267" t="e">
        <v>#DIV/0!</v>
      </c>
      <c r="P85" s="2267" t="e">
        <v>#REF!</v>
      </c>
      <c r="Q85" s="2267" t="e">
        <v>#REF!</v>
      </c>
      <c r="R85" s="2267" t="e">
        <v>#N/A</v>
      </c>
      <c r="S85" s="2206">
        <v>0</v>
      </c>
      <c r="T85" s="2206">
        <v>0</v>
      </c>
      <c r="U85" s="2206">
        <v>0</v>
      </c>
    </row>
    <row r="86" spans="2:24" ht="13.8" x14ac:dyDescent="0.3">
      <c r="B86" s="2184"/>
      <c r="C86" s="2184" t="s">
        <v>232</v>
      </c>
      <c r="D86" s="2236">
        <v>0</v>
      </c>
      <c r="E86" s="2184" t="s">
        <v>617</v>
      </c>
      <c r="F86" s="2184" t="s">
        <v>211</v>
      </c>
      <c r="G86" s="2193"/>
      <c r="H86" s="2193"/>
      <c r="I86" s="2204">
        <v>0</v>
      </c>
      <c r="J86" s="2187"/>
      <c r="K86" s="2187"/>
      <c r="L86" s="2216" t="e">
        <v>#REF!</v>
      </c>
      <c r="M86" s="2216" t="e">
        <v>#REF!</v>
      </c>
      <c r="N86" s="2267" t="e">
        <v>#DIV/0!</v>
      </c>
      <c r="O86" s="2267" t="e">
        <v>#DIV/0!</v>
      </c>
      <c r="P86" s="2267" t="e">
        <v>#REF!</v>
      </c>
      <c r="Q86" s="2267" t="e">
        <v>#REF!</v>
      </c>
      <c r="R86" s="2267" t="e">
        <v>#N/A</v>
      </c>
      <c r="S86" s="2206">
        <v>0</v>
      </c>
      <c r="T86" s="2206">
        <v>0</v>
      </c>
      <c r="U86" s="2206">
        <v>0</v>
      </c>
    </row>
    <row r="87" spans="2:24" ht="13.8" x14ac:dyDescent="0.3">
      <c r="B87" s="2184"/>
      <c r="C87" s="2184" t="s">
        <v>233</v>
      </c>
      <c r="D87" s="2236">
        <v>0</v>
      </c>
      <c r="E87" s="2184" t="s">
        <v>617</v>
      </c>
      <c r="F87" s="2184" t="s">
        <v>211</v>
      </c>
      <c r="G87" s="2193"/>
      <c r="H87" s="2193"/>
      <c r="I87" s="2204">
        <v>0</v>
      </c>
      <c r="J87" s="2187"/>
      <c r="K87" s="2187"/>
      <c r="L87" s="2216" t="e">
        <v>#REF!</v>
      </c>
      <c r="M87" s="2216" t="e">
        <v>#REF!</v>
      </c>
      <c r="N87" s="2267" t="e">
        <v>#DIV/0!</v>
      </c>
      <c r="O87" s="2267" t="e">
        <v>#DIV/0!</v>
      </c>
      <c r="P87" s="2267" t="e">
        <v>#REF!</v>
      </c>
      <c r="Q87" s="2267" t="e">
        <v>#REF!</v>
      </c>
      <c r="R87" s="2267" t="e">
        <v>#N/A</v>
      </c>
      <c r="S87" s="2206">
        <v>0</v>
      </c>
      <c r="T87" s="2206">
        <v>0</v>
      </c>
      <c r="U87" s="2206">
        <v>0</v>
      </c>
    </row>
    <row r="88" spans="2:24" ht="13.8" x14ac:dyDescent="0.3">
      <c r="B88" s="2184"/>
      <c r="C88" s="2184" t="s">
        <v>234</v>
      </c>
      <c r="D88" s="2236">
        <v>0</v>
      </c>
      <c r="E88" s="2184" t="s">
        <v>617</v>
      </c>
      <c r="F88" s="2184" t="s">
        <v>211</v>
      </c>
      <c r="G88" s="2193"/>
      <c r="H88" s="2193"/>
      <c r="I88" s="2204">
        <v>0</v>
      </c>
      <c r="J88" s="2187"/>
      <c r="K88" s="2187"/>
      <c r="L88" s="2216" t="e">
        <v>#REF!</v>
      </c>
      <c r="M88" s="2216" t="e">
        <v>#REF!</v>
      </c>
      <c r="N88" s="2267" t="e">
        <v>#DIV/0!</v>
      </c>
      <c r="O88" s="2267" t="e">
        <v>#DIV/0!</v>
      </c>
      <c r="P88" s="2267" t="e">
        <v>#REF!</v>
      </c>
      <c r="Q88" s="2267" t="e">
        <v>#REF!</v>
      </c>
      <c r="R88" s="2267" t="e">
        <v>#N/A</v>
      </c>
      <c r="S88" s="2206">
        <v>0</v>
      </c>
      <c r="T88" s="2206">
        <v>0</v>
      </c>
      <c r="U88" s="2206">
        <v>0</v>
      </c>
    </row>
    <row r="89" spans="2:24" ht="13.8" x14ac:dyDescent="0.3">
      <c r="B89" s="2184"/>
      <c r="C89" s="2184" t="s">
        <v>235</v>
      </c>
      <c r="D89" s="2236">
        <v>0</v>
      </c>
      <c r="E89" s="2184" t="s">
        <v>617</v>
      </c>
      <c r="F89" s="2184" t="s">
        <v>211</v>
      </c>
      <c r="G89" s="2193"/>
      <c r="H89" s="2193"/>
      <c r="I89" s="2204">
        <v>0</v>
      </c>
      <c r="J89" s="2187"/>
      <c r="K89" s="2187"/>
      <c r="L89" s="2216" t="e">
        <v>#REF!</v>
      </c>
      <c r="M89" s="2216" t="e">
        <v>#REF!</v>
      </c>
      <c r="N89" s="2267" t="e">
        <v>#DIV/0!</v>
      </c>
      <c r="O89" s="2267" t="e">
        <v>#DIV/0!</v>
      </c>
      <c r="P89" s="2267" t="e">
        <v>#REF!</v>
      </c>
      <c r="Q89" s="2267" t="e">
        <v>#REF!</v>
      </c>
      <c r="R89" s="2267" t="e">
        <v>#N/A</v>
      </c>
      <c r="S89" s="2206">
        <v>0</v>
      </c>
      <c r="T89" s="2206">
        <v>0</v>
      </c>
      <c r="U89" s="2206">
        <v>0</v>
      </c>
    </row>
    <row r="90" spans="2:24" ht="13.8" x14ac:dyDescent="0.3">
      <c r="B90" s="2184"/>
      <c r="C90" s="2184" t="s">
        <v>236</v>
      </c>
      <c r="D90" s="2236">
        <v>0</v>
      </c>
      <c r="E90" s="2184" t="s">
        <v>617</v>
      </c>
      <c r="F90" s="2184" t="s">
        <v>211</v>
      </c>
      <c r="G90" s="2193"/>
      <c r="H90" s="2193"/>
      <c r="I90" s="2204">
        <v>0</v>
      </c>
      <c r="J90" s="2187"/>
      <c r="K90" s="2187"/>
      <c r="L90" s="2216" t="e">
        <v>#REF!</v>
      </c>
      <c r="M90" s="2216" t="e">
        <v>#REF!</v>
      </c>
      <c r="N90" s="2267" t="e">
        <v>#DIV/0!</v>
      </c>
      <c r="O90" s="2267" t="e">
        <v>#DIV/0!</v>
      </c>
      <c r="P90" s="2267" t="e">
        <v>#REF!</v>
      </c>
      <c r="Q90" s="2267" t="e">
        <v>#REF!</v>
      </c>
      <c r="R90" s="2267" t="e">
        <v>#N/A</v>
      </c>
      <c r="S90" s="2206">
        <v>0</v>
      </c>
      <c r="T90" s="2206">
        <v>0</v>
      </c>
      <c r="U90" s="2206">
        <v>0</v>
      </c>
    </row>
    <row r="91" spans="2:24" ht="13.8" x14ac:dyDescent="0.3">
      <c r="B91" s="2184"/>
      <c r="C91" s="2184" t="s">
        <v>237</v>
      </c>
      <c r="D91" s="2236">
        <v>0</v>
      </c>
      <c r="E91" s="2184" t="s">
        <v>617</v>
      </c>
      <c r="F91" s="2184" t="s">
        <v>211</v>
      </c>
      <c r="G91" s="2193"/>
      <c r="H91" s="2193"/>
      <c r="I91" s="2204">
        <v>0</v>
      </c>
      <c r="J91" s="2187"/>
      <c r="K91" s="2187"/>
      <c r="L91" s="2216" t="e">
        <v>#REF!</v>
      </c>
      <c r="M91" s="2216" t="e">
        <v>#REF!</v>
      </c>
      <c r="N91" s="2267" t="e">
        <v>#DIV/0!</v>
      </c>
      <c r="O91" s="2267" t="e">
        <v>#DIV/0!</v>
      </c>
      <c r="P91" s="2267" t="e">
        <v>#REF!</v>
      </c>
      <c r="Q91" s="2267" t="e">
        <v>#REF!</v>
      </c>
      <c r="R91" s="2267" t="e">
        <v>#N/A</v>
      </c>
      <c r="S91" s="2206">
        <v>0</v>
      </c>
      <c r="T91" s="2206">
        <v>0</v>
      </c>
      <c r="U91" s="2206">
        <v>0</v>
      </c>
    </row>
    <row r="92" spans="2:24" ht="13.8" x14ac:dyDescent="0.3">
      <c r="B92" s="2184"/>
      <c r="C92" s="2184" t="s">
        <v>238</v>
      </c>
      <c r="D92" s="2236">
        <v>0</v>
      </c>
      <c r="E92" s="2184" t="s">
        <v>617</v>
      </c>
      <c r="F92" s="2184" t="s">
        <v>211</v>
      </c>
      <c r="G92" s="2193"/>
      <c r="H92" s="2193"/>
      <c r="I92" s="2204">
        <v>0</v>
      </c>
      <c r="J92" s="2187"/>
      <c r="K92" s="2187"/>
      <c r="L92" s="2216" t="e">
        <v>#REF!</v>
      </c>
      <c r="M92" s="2216" t="e">
        <v>#REF!</v>
      </c>
      <c r="N92" s="2267" t="e">
        <v>#DIV/0!</v>
      </c>
      <c r="O92" s="2267" t="e">
        <v>#DIV/0!</v>
      </c>
      <c r="P92" s="2267" t="e">
        <v>#REF!</v>
      </c>
      <c r="Q92" s="2267" t="e">
        <v>#REF!</v>
      </c>
      <c r="R92" s="2267" t="e">
        <v>#N/A</v>
      </c>
      <c r="S92" s="2206">
        <v>0</v>
      </c>
      <c r="T92" s="2206">
        <v>0</v>
      </c>
      <c r="U92" s="2206">
        <v>0</v>
      </c>
    </row>
    <row r="93" spans="2:24" ht="13.8" x14ac:dyDescent="0.3">
      <c r="B93" s="2184"/>
      <c r="C93" s="2184" t="s">
        <v>239</v>
      </c>
      <c r="D93" s="2236">
        <v>0</v>
      </c>
      <c r="E93" s="2184" t="s">
        <v>617</v>
      </c>
      <c r="F93" s="2184" t="s">
        <v>211</v>
      </c>
      <c r="G93" s="2193"/>
      <c r="H93" s="2193"/>
      <c r="I93" s="2204">
        <v>0</v>
      </c>
      <c r="J93" s="2187"/>
      <c r="K93" s="2187"/>
      <c r="L93" s="2216" t="e">
        <v>#REF!</v>
      </c>
      <c r="M93" s="2216" t="e">
        <v>#REF!</v>
      </c>
      <c r="N93" s="2267" t="e">
        <v>#DIV/0!</v>
      </c>
      <c r="O93" s="2267" t="e">
        <v>#DIV/0!</v>
      </c>
      <c r="P93" s="2267" t="e">
        <v>#REF!</v>
      </c>
      <c r="Q93" s="2267" t="e">
        <v>#REF!</v>
      </c>
      <c r="R93" s="2267" t="e">
        <v>#N/A</v>
      </c>
      <c r="S93" s="2206">
        <v>0</v>
      </c>
      <c r="T93" s="2206">
        <v>0</v>
      </c>
      <c r="U93" s="2206">
        <v>0</v>
      </c>
    </row>
    <row r="94" spans="2:24" ht="13.8" x14ac:dyDescent="0.3">
      <c r="B94" s="2184"/>
      <c r="C94" s="2184" t="s">
        <v>240</v>
      </c>
      <c r="D94" s="2236">
        <v>0</v>
      </c>
      <c r="E94" s="2184" t="s">
        <v>617</v>
      </c>
      <c r="F94" s="2184" t="s">
        <v>211</v>
      </c>
      <c r="G94" s="2193"/>
      <c r="H94" s="2193"/>
      <c r="I94" s="2204">
        <v>0</v>
      </c>
      <c r="J94" s="2187"/>
      <c r="K94" s="2187"/>
      <c r="L94" s="2216" t="e">
        <v>#REF!</v>
      </c>
      <c r="M94" s="2216" t="e">
        <v>#REF!</v>
      </c>
      <c r="N94" s="2267" t="e">
        <v>#DIV/0!</v>
      </c>
      <c r="O94" s="2267" t="e">
        <v>#DIV/0!</v>
      </c>
      <c r="P94" s="2267" t="e">
        <v>#REF!</v>
      </c>
      <c r="Q94" s="2267" t="e">
        <v>#REF!</v>
      </c>
      <c r="R94" s="2267" t="e">
        <v>#N/A</v>
      </c>
      <c r="S94" s="2206">
        <v>0</v>
      </c>
      <c r="T94" s="2206">
        <v>0</v>
      </c>
      <c r="U94" s="2206">
        <v>0</v>
      </c>
    </row>
    <row r="95" spans="2:24" ht="13.8" x14ac:dyDescent="0.3">
      <c r="B95" s="2184"/>
      <c r="C95" s="2184" t="s">
        <v>241</v>
      </c>
      <c r="D95" s="2236">
        <v>0</v>
      </c>
      <c r="E95" s="2184" t="s">
        <v>617</v>
      </c>
      <c r="F95" s="2184" t="s">
        <v>211</v>
      </c>
      <c r="G95" s="2193"/>
      <c r="H95" s="2193"/>
      <c r="I95" s="2204">
        <v>0</v>
      </c>
      <c r="J95" s="2187"/>
      <c r="K95" s="2187"/>
      <c r="L95" s="2216" t="e">
        <v>#REF!</v>
      </c>
      <c r="M95" s="2216" t="e">
        <v>#REF!</v>
      </c>
      <c r="N95" s="2267" t="e">
        <v>#DIV/0!</v>
      </c>
      <c r="O95" s="2267" t="e">
        <v>#DIV/0!</v>
      </c>
      <c r="P95" s="2267" t="e">
        <v>#REF!</v>
      </c>
      <c r="Q95" s="2267" t="e">
        <v>#REF!</v>
      </c>
      <c r="R95" s="2267" t="e">
        <v>#N/A</v>
      </c>
      <c r="S95" s="2206">
        <v>0</v>
      </c>
      <c r="T95" s="2206">
        <v>0</v>
      </c>
      <c r="U95" s="2206">
        <v>0</v>
      </c>
    </row>
    <row r="96" spans="2:24" ht="13.8" x14ac:dyDescent="0.3">
      <c r="B96" s="2184"/>
      <c r="C96" s="2184" t="s">
        <v>242</v>
      </c>
      <c r="D96" s="2236">
        <v>0</v>
      </c>
      <c r="E96" s="2184" t="s">
        <v>617</v>
      </c>
      <c r="F96" s="2184" t="s">
        <v>211</v>
      </c>
      <c r="G96" s="2193"/>
      <c r="H96" s="2193"/>
      <c r="I96" s="2204">
        <v>0</v>
      </c>
      <c r="J96" s="2187"/>
      <c r="K96" s="2187"/>
      <c r="L96" s="2216" t="e">
        <v>#REF!</v>
      </c>
      <c r="M96" s="2216" t="e">
        <v>#REF!</v>
      </c>
      <c r="N96" s="2267" t="e">
        <v>#DIV/0!</v>
      </c>
      <c r="O96" s="2267" t="e">
        <v>#DIV/0!</v>
      </c>
      <c r="P96" s="2267" t="e">
        <v>#REF!</v>
      </c>
      <c r="Q96" s="2267" t="e">
        <v>#REF!</v>
      </c>
      <c r="R96" s="2267" t="e">
        <v>#N/A</v>
      </c>
      <c r="S96" s="2206">
        <v>0</v>
      </c>
      <c r="T96" s="2206">
        <v>0</v>
      </c>
      <c r="U96" s="2206">
        <v>0</v>
      </c>
    </row>
    <row r="97" spans="2:21" ht="13.8" x14ac:dyDescent="0.3">
      <c r="B97" s="2184"/>
      <c r="C97" s="2184" t="s">
        <v>243</v>
      </c>
      <c r="D97" s="2236">
        <v>0</v>
      </c>
      <c r="E97" s="2184" t="s">
        <v>617</v>
      </c>
      <c r="F97" s="2184" t="s">
        <v>211</v>
      </c>
      <c r="G97" s="2193"/>
      <c r="H97" s="2193"/>
      <c r="I97" s="2204">
        <v>0</v>
      </c>
      <c r="J97" s="2187"/>
      <c r="K97" s="2187"/>
      <c r="L97" s="2216" t="e">
        <v>#REF!</v>
      </c>
      <c r="M97" s="2216" t="e">
        <v>#REF!</v>
      </c>
      <c r="N97" s="2267" t="e">
        <v>#DIV/0!</v>
      </c>
      <c r="O97" s="2267" t="e">
        <v>#DIV/0!</v>
      </c>
      <c r="P97" s="2267" t="e">
        <v>#REF!</v>
      </c>
      <c r="Q97" s="2267" t="e">
        <v>#REF!</v>
      </c>
      <c r="R97" s="2267" t="e">
        <v>#N/A</v>
      </c>
      <c r="S97" s="2206">
        <v>0</v>
      </c>
      <c r="T97" s="2206">
        <v>0</v>
      </c>
      <c r="U97" s="2206">
        <v>0</v>
      </c>
    </row>
    <row r="98" spans="2:21" ht="13.8" x14ac:dyDescent="0.3">
      <c r="B98" s="2184"/>
      <c r="C98" s="2184" t="s">
        <v>244</v>
      </c>
      <c r="D98" s="2236">
        <v>0</v>
      </c>
      <c r="E98" s="2184" t="s">
        <v>617</v>
      </c>
      <c r="F98" s="2184" t="s">
        <v>211</v>
      </c>
      <c r="G98" s="2193"/>
      <c r="H98" s="2193"/>
      <c r="I98" s="2204">
        <v>0</v>
      </c>
      <c r="J98" s="2187"/>
      <c r="K98" s="2187"/>
      <c r="L98" s="2216" t="e">
        <v>#REF!</v>
      </c>
      <c r="M98" s="2216" t="e">
        <v>#REF!</v>
      </c>
      <c r="N98" s="2267" t="e">
        <v>#DIV/0!</v>
      </c>
      <c r="O98" s="2267" t="e">
        <v>#DIV/0!</v>
      </c>
      <c r="P98" s="2267" t="e">
        <v>#REF!</v>
      </c>
      <c r="Q98" s="2267" t="e">
        <v>#REF!</v>
      </c>
      <c r="R98" s="2267" t="e">
        <v>#N/A</v>
      </c>
      <c r="S98" s="2206">
        <v>0</v>
      </c>
      <c r="T98" s="2206">
        <v>0</v>
      </c>
      <c r="U98" s="2206">
        <v>0</v>
      </c>
    </row>
    <row r="99" spans="2:21" ht="13.8" x14ac:dyDescent="0.3">
      <c r="B99" s="2184"/>
      <c r="C99" s="2184" t="s">
        <v>245</v>
      </c>
      <c r="D99" s="2236">
        <v>0</v>
      </c>
      <c r="E99" s="2184" t="s">
        <v>617</v>
      </c>
      <c r="F99" s="2184" t="s">
        <v>211</v>
      </c>
      <c r="G99" s="2193"/>
      <c r="H99" s="2193"/>
      <c r="I99" s="2204">
        <v>0</v>
      </c>
      <c r="J99" s="2187"/>
      <c r="K99" s="2187"/>
      <c r="L99" s="2216" t="e">
        <v>#REF!</v>
      </c>
      <c r="M99" s="2216" t="e">
        <v>#REF!</v>
      </c>
      <c r="N99" s="2267" t="e">
        <v>#DIV/0!</v>
      </c>
      <c r="O99" s="2267" t="e">
        <v>#DIV/0!</v>
      </c>
      <c r="P99" s="2267" t="e">
        <v>#REF!</v>
      </c>
      <c r="Q99" s="2267" t="e">
        <v>#REF!</v>
      </c>
      <c r="R99" s="2267" t="e">
        <v>#N/A</v>
      </c>
      <c r="S99" s="2206">
        <v>0</v>
      </c>
      <c r="T99" s="2206">
        <v>0</v>
      </c>
      <c r="U99" s="2206">
        <v>0</v>
      </c>
    </row>
    <row r="100" spans="2:21" ht="13.8" x14ac:dyDescent="0.3">
      <c r="B100" s="2184"/>
      <c r="C100" s="2184" t="s">
        <v>246</v>
      </c>
      <c r="D100" s="2236">
        <v>0</v>
      </c>
      <c r="E100" s="2184" t="s">
        <v>617</v>
      </c>
      <c r="F100" s="2184" t="s">
        <v>211</v>
      </c>
      <c r="G100" s="2193"/>
      <c r="H100" s="2193"/>
      <c r="I100" s="2204">
        <v>0</v>
      </c>
      <c r="J100" s="2187"/>
      <c r="K100" s="2187"/>
      <c r="L100" s="2216" t="e">
        <v>#REF!</v>
      </c>
      <c r="M100" s="2216" t="e">
        <v>#REF!</v>
      </c>
      <c r="N100" s="2267" t="e">
        <v>#DIV/0!</v>
      </c>
      <c r="O100" s="2267" t="e">
        <v>#DIV/0!</v>
      </c>
      <c r="P100" s="2267" t="e">
        <v>#REF!</v>
      </c>
      <c r="Q100" s="2267" t="e">
        <v>#REF!</v>
      </c>
      <c r="R100" s="2267" t="e">
        <v>#N/A</v>
      </c>
      <c r="S100" s="2206">
        <v>0</v>
      </c>
      <c r="T100" s="2206">
        <v>0</v>
      </c>
      <c r="U100" s="2206">
        <v>0</v>
      </c>
    </row>
    <row r="101" spans="2:21" ht="13.8" x14ac:dyDescent="0.3">
      <c r="B101" s="2184"/>
      <c r="C101" s="2184" t="s">
        <v>247</v>
      </c>
      <c r="D101" s="2236">
        <v>0</v>
      </c>
      <c r="E101" s="2184" t="s">
        <v>617</v>
      </c>
      <c r="F101" s="2184" t="s">
        <v>211</v>
      </c>
      <c r="G101" s="2193"/>
      <c r="H101" s="2193"/>
      <c r="I101" s="2204">
        <v>0</v>
      </c>
      <c r="J101" s="2187"/>
      <c r="K101" s="2187"/>
      <c r="L101" s="2216" t="e">
        <v>#REF!</v>
      </c>
      <c r="M101" s="2216" t="e">
        <v>#REF!</v>
      </c>
      <c r="N101" s="2267" t="e">
        <v>#DIV/0!</v>
      </c>
      <c r="O101" s="2267" t="e">
        <v>#DIV/0!</v>
      </c>
      <c r="P101" s="2267" t="e">
        <v>#REF!</v>
      </c>
      <c r="Q101" s="2267" t="e">
        <v>#REF!</v>
      </c>
      <c r="R101" s="2267" t="e">
        <v>#N/A</v>
      </c>
      <c r="S101" s="2206">
        <v>0</v>
      </c>
      <c r="T101" s="2206">
        <v>0</v>
      </c>
      <c r="U101" s="2206">
        <v>0</v>
      </c>
    </row>
    <row r="102" spans="2:21" ht="13.8" x14ac:dyDescent="0.3">
      <c r="B102" s="2184"/>
      <c r="C102" s="2184" t="s">
        <v>248</v>
      </c>
      <c r="D102" s="2236">
        <v>0</v>
      </c>
      <c r="E102" s="2184" t="s">
        <v>617</v>
      </c>
      <c r="F102" s="2184" t="s">
        <v>211</v>
      </c>
      <c r="G102" s="2193"/>
      <c r="H102" s="2193"/>
      <c r="I102" s="2204">
        <v>0</v>
      </c>
      <c r="J102" s="2187"/>
      <c r="K102" s="2187"/>
      <c r="L102" s="2216" t="e">
        <v>#REF!</v>
      </c>
      <c r="M102" s="2216" t="e">
        <v>#REF!</v>
      </c>
      <c r="N102" s="2267" t="e">
        <v>#DIV/0!</v>
      </c>
      <c r="O102" s="2267" t="e">
        <v>#DIV/0!</v>
      </c>
      <c r="P102" s="2267" t="e">
        <v>#REF!</v>
      </c>
      <c r="Q102" s="2267" t="e">
        <v>#REF!</v>
      </c>
      <c r="R102" s="2267" t="e">
        <v>#N/A</v>
      </c>
      <c r="S102" s="2206">
        <v>0</v>
      </c>
      <c r="T102" s="2206">
        <v>0</v>
      </c>
      <c r="U102" s="2206">
        <v>0</v>
      </c>
    </row>
    <row r="103" spans="2:21" ht="13.8" x14ac:dyDescent="0.3">
      <c r="B103" s="2184"/>
      <c r="C103" s="2184" t="s">
        <v>249</v>
      </c>
      <c r="D103" s="2236">
        <v>0</v>
      </c>
      <c r="E103" s="2184" t="s">
        <v>617</v>
      </c>
      <c r="F103" s="2184" t="s">
        <v>211</v>
      </c>
      <c r="G103" s="2193"/>
      <c r="H103" s="2193"/>
      <c r="I103" s="2204">
        <v>0</v>
      </c>
      <c r="J103" s="2187"/>
      <c r="K103" s="2187"/>
      <c r="L103" s="2216" t="e">
        <v>#REF!</v>
      </c>
      <c r="M103" s="2216" t="e">
        <v>#REF!</v>
      </c>
      <c r="N103" s="2267" t="e">
        <v>#DIV/0!</v>
      </c>
      <c r="O103" s="2267" t="e">
        <v>#DIV/0!</v>
      </c>
      <c r="P103" s="2267" t="e">
        <v>#REF!</v>
      </c>
      <c r="Q103" s="2267" t="e">
        <v>#REF!</v>
      </c>
      <c r="R103" s="2267" t="e">
        <v>#N/A</v>
      </c>
      <c r="S103" s="2206">
        <v>0</v>
      </c>
      <c r="T103" s="2206">
        <v>0</v>
      </c>
      <c r="U103" s="2206">
        <v>0</v>
      </c>
    </row>
    <row r="104" spans="2:21" ht="13.8" x14ac:dyDescent="0.3">
      <c r="B104" s="2184"/>
      <c r="C104" s="2184" t="s">
        <v>250</v>
      </c>
      <c r="D104" s="2236">
        <v>0</v>
      </c>
      <c r="E104" s="2184" t="s">
        <v>617</v>
      </c>
      <c r="F104" s="2184" t="s">
        <v>211</v>
      </c>
      <c r="G104" s="2193"/>
      <c r="H104" s="2193"/>
      <c r="I104" s="2204">
        <v>0</v>
      </c>
      <c r="J104" s="2187"/>
      <c r="K104" s="2187"/>
      <c r="L104" s="2216" t="e">
        <v>#REF!</v>
      </c>
      <c r="M104" s="2216" t="e">
        <v>#REF!</v>
      </c>
      <c r="N104" s="2267" t="e">
        <v>#DIV/0!</v>
      </c>
      <c r="O104" s="2267" t="e">
        <v>#DIV/0!</v>
      </c>
      <c r="P104" s="2267" t="e">
        <v>#REF!</v>
      </c>
      <c r="Q104" s="2267" t="e">
        <v>#REF!</v>
      </c>
      <c r="R104" s="2267" t="e">
        <v>#N/A</v>
      </c>
      <c r="S104" s="2206">
        <v>0</v>
      </c>
      <c r="T104" s="2206">
        <v>0</v>
      </c>
      <c r="U104" s="2206">
        <v>0</v>
      </c>
    </row>
    <row r="105" spans="2:21" ht="14.4" thickBot="1" x14ac:dyDescent="0.35">
      <c r="B105" s="2184"/>
      <c r="C105" s="2184" t="s">
        <v>251</v>
      </c>
      <c r="D105" s="2236">
        <v>0</v>
      </c>
      <c r="E105" s="2184" t="s">
        <v>617</v>
      </c>
      <c r="F105" s="2184" t="s">
        <v>211</v>
      </c>
      <c r="G105" s="2193"/>
      <c r="H105" s="2193"/>
      <c r="I105" s="2204">
        <v>0</v>
      </c>
      <c r="J105" s="2187"/>
      <c r="K105" s="2187"/>
      <c r="L105" s="2219" t="e">
        <v>#REF!</v>
      </c>
      <c r="M105" s="2219" t="e">
        <v>#REF!</v>
      </c>
      <c r="N105" s="2268" t="e">
        <v>#DIV/0!</v>
      </c>
      <c r="O105" s="2268" t="e">
        <v>#DIV/0!</v>
      </c>
      <c r="P105" s="2267" t="e">
        <v>#REF!</v>
      </c>
      <c r="Q105" s="2268" t="e">
        <v>#REF!</v>
      </c>
      <c r="R105" s="2268" t="e">
        <v>#N/A</v>
      </c>
      <c r="S105" s="2206">
        <v>0</v>
      </c>
      <c r="T105" s="2206">
        <v>0</v>
      </c>
      <c r="U105" s="2206">
        <v>0</v>
      </c>
    </row>
    <row r="106" spans="2:21" ht="14.4" thickBot="1" x14ac:dyDescent="0.35">
      <c r="B106" s="2180"/>
      <c r="C106" s="2180"/>
      <c r="D106" s="2180"/>
      <c r="E106" s="2180"/>
      <c r="F106" s="2180"/>
      <c r="G106" s="2218">
        <v>0</v>
      </c>
      <c r="H106" s="2205">
        <v>0</v>
      </c>
      <c r="I106" s="2217">
        <v>0</v>
      </c>
      <c r="J106" s="2183" t="e">
        <v>#DIV/0!</v>
      </c>
      <c r="K106" s="2181"/>
      <c r="L106" s="2220" t="e">
        <v>#N/A</v>
      </c>
      <c r="M106" s="2221" t="e">
        <v>#N/A</v>
      </c>
      <c r="N106" s="2251" t="e">
        <v>#DIV/0!</v>
      </c>
      <c r="O106" s="2251" t="e">
        <v>#DIV/0!</v>
      </c>
      <c r="P106" s="2251" t="e">
        <v>#N/A</v>
      </c>
      <c r="Q106" s="2252" t="e">
        <v>#N/A</v>
      </c>
      <c r="R106" s="2252" t="e">
        <v>#DIV/0!</v>
      </c>
      <c r="S106" s="2207">
        <v>0</v>
      </c>
      <c r="T106" s="2207">
        <v>0</v>
      </c>
      <c r="U106" s="2207">
        <v>0</v>
      </c>
    </row>
  </sheetData>
  <customSheetViews>
    <customSheetView guid="{074EB09C-6289-46D7-9513-012B68BCA7BF}" showPageBreaks="1" topLeftCell="G1">
      <selection activeCell="O8" sqref="O8"/>
      <pageMargins left="0.7" right="0.7" top="0.75" bottom="0.75" header="0.3" footer="0.3"/>
      <pageSetup orientation="portrait" r:id="rId1"/>
    </customSheetView>
  </customSheetViews>
  <mergeCells count="14">
    <mergeCell ref="V62:X62"/>
    <mergeCell ref="Q2:R2"/>
    <mergeCell ref="S2:U2"/>
    <mergeCell ref="V2:V3"/>
    <mergeCell ref="P11:R11"/>
    <mergeCell ref="L62:R62"/>
    <mergeCell ref="I11:L11"/>
    <mergeCell ref="D10:E10"/>
    <mergeCell ref="I10:L10"/>
    <mergeCell ref="M10:N10"/>
    <mergeCell ref="S62:U62"/>
    <mergeCell ref="M11:O11"/>
    <mergeCell ref="I12:K12"/>
    <mergeCell ref="C11:F11"/>
  </mergeCells>
  <pageMargins left="0.23" right="0.25" top="0.35" bottom="0.46" header="0.3" footer="0.3"/>
  <pageSetup paperSize="17" scale="51" orientation="landscape"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9"/>
  <sheetViews>
    <sheetView workbookViewId="0">
      <pane xSplit="1" ySplit="1" topLeftCell="B2" activePane="bottomRight" state="frozen"/>
      <selection pane="topRight" activeCell="B1" sqref="B1"/>
      <selection pane="bottomLeft" activeCell="A2" sqref="A2"/>
      <selection pane="bottomRight" activeCell="B4" sqref="B4"/>
    </sheetView>
  </sheetViews>
  <sheetFormatPr defaultRowHeight="13.2" x14ac:dyDescent="0.25"/>
  <cols>
    <col min="1" max="1" width="16" style="3369" customWidth="1"/>
    <col min="2" max="2" width="17" customWidth="1"/>
    <col min="3" max="3" width="23.6640625" customWidth="1"/>
    <col min="4" max="5" width="11.5546875" customWidth="1"/>
    <col min="6" max="6" width="14.109375" customWidth="1"/>
    <col min="7" max="7" width="12.6640625" customWidth="1"/>
    <col min="8" max="8" width="14.33203125" customWidth="1"/>
    <col min="9" max="10" width="13" customWidth="1"/>
    <col min="11" max="11" width="15.6640625" customWidth="1"/>
    <col min="12" max="12" width="17.5546875" customWidth="1"/>
    <col min="13" max="15" width="13" customWidth="1"/>
    <col min="16" max="18" width="15.6640625" customWidth="1"/>
    <col min="20" max="20" width="11.109375" customWidth="1"/>
  </cols>
  <sheetData>
    <row r="1" spans="1:22" ht="42" customHeight="1" x14ac:dyDescent="0.25"/>
    <row r="4" spans="1:22" ht="16.2" thickBot="1" x14ac:dyDescent="0.35">
      <c r="B4" s="3881"/>
      <c r="C4" s="1876"/>
      <c r="D4" s="1876"/>
      <c r="E4" s="1876"/>
      <c r="F4" s="1887"/>
      <c r="G4" s="1887">
        <v>18230685</v>
      </c>
      <c r="H4" s="3698" t="s">
        <v>1207</v>
      </c>
      <c r="I4" s="1887"/>
      <c r="J4" s="1876"/>
      <c r="K4" s="1876"/>
      <c r="L4" s="1876"/>
      <c r="M4" s="1876"/>
      <c r="N4" s="1876"/>
      <c r="O4" s="1876"/>
      <c r="P4" s="1876"/>
      <c r="Q4" s="1876"/>
      <c r="R4" s="1876"/>
      <c r="S4" s="1876"/>
      <c r="T4" s="1876"/>
      <c r="U4" s="1876"/>
      <c r="V4" s="1876"/>
    </row>
    <row r="5" spans="1:22" ht="16.2" thickBot="1" x14ac:dyDescent="0.35">
      <c r="B5" s="1887" t="s">
        <v>131</v>
      </c>
      <c r="C5" s="4521" t="s">
        <v>896</v>
      </c>
      <c r="D5" s="1876"/>
      <c r="E5" s="1876"/>
      <c r="F5" s="1876"/>
      <c r="G5" s="1894" t="s">
        <v>8</v>
      </c>
      <c r="H5" s="1876"/>
      <c r="I5" s="1876"/>
      <c r="J5" s="1876"/>
      <c r="K5" s="1876"/>
      <c r="L5" s="1876"/>
      <c r="M5" s="1876"/>
      <c r="N5" s="1876"/>
      <c r="O5" s="1876"/>
      <c r="P5" s="1876"/>
      <c r="Q5" s="4798" t="s">
        <v>612</v>
      </c>
      <c r="R5" s="4798"/>
      <c r="S5" s="4785" t="s">
        <v>132</v>
      </c>
      <c r="T5" s="4786"/>
      <c r="U5" s="4787"/>
      <c r="V5" s="4793" t="s">
        <v>133</v>
      </c>
    </row>
    <row r="6" spans="1:22" ht="16.2" thickBot="1" x14ac:dyDescent="0.35">
      <c r="B6" s="1919" t="s">
        <v>6</v>
      </c>
      <c r="C6" s="1919">
        <v>18230685</v>
      </c>
      <c r="D6" s="1876"/>
      <c r="E6" s="1876"/>
      <c r="F6" s="1876"/>
      <c r="G6" s="1905" t="s">
        <v>9</v>
      </c>
      <c r="H6" s="1904" t="s">
        <v>10</v>
      </c>
      <c r="I6" s="1904" t="s">
        <v>11</v>
      </c>
      <c r="J6" s="1904" t="s">
        <v>12</v>
      </c>
      <c r="K6" s="1904" t="s">
        <v>13</v>
      </c>
      <c r="L6" s="1904" t="s">
        <v>14</v>
      </c>
      <c r="M6" s="1904" t="s">
        <v>15</v>
      </c>
      <c r="N6" s="1904" t="s">
        <v>16</v>
      </c>
      <c r="O6" s="1904" t="s">
        <v>134</v>
      </c>
      <c r="P6" s="1904" t="s">
        <v>135</v>
      </c>
      <c r="Q6" s="1906" t="s">
        <v>18</v>
      </c>
      <c r="R6" s="1906" t="s">
        <v>136</v>
      </c>
      <c r="S6" s="1896" t="s">
        <v>137</v>
      </c>
      <c r="T6" s="1896" t="s">
        <v>12</v>
      </c>
      <c r="U6" s="1897" t="s">
        <v>138</v>
      </c>
      <c r="V6" s="4794"/>
    </row>
    <row r="7" spans="1:22" ht="16.2" thickBot="1" x14ac:dyDescent="0.35">
      <c r="B7" s="1919" t="s">
        <v>139</v>
      </c>
      <c r="C7" s="3702" t="s">
        <v>1206</v>
      </c>
      <c r="D7" s="1876"/>
      <c r="E7" s="1876"/>
      <c r="F7" s="1887">
        <v>2011</v>
      </c>
      <c r="G7" s="1935">
        <v>0</v>
      </c>
      <c r="H7" s="1936">
        <v>0</v>
      </c>
      <c r="I7" s="1936">
        <v>0</v>
      </c>
      <c r="J7" s="1936">
        <v>2400</v>
      </c>
      <c r="K7" s="1936">
        <v>0</v>
      </c>
      <c r="L7" s="1936">
        <v>0</v>
      </c>
      <c r="M7" s="1936">
        <v>0</v>
      </c>
      <c r="N7" s="1936">
        <v>0</v>
      </c>
      <c r="O7" s="1936">
        <v>0</v>
      </c>
      <c r="P7" s="1936">
        <v>0</v>
      </c>
      <c r="Q7" s="1940">
        <v>2400</v>
      </c>
      <c r="R7" s="1947">
        <v>0</v>
      </c>
      <c r="S7" s="1972">
        <v>0</v>
      </c>
      <c r="T7" s="1972">
        <v>1</v>
      </c>
      <c r="U7" s="1972">
        <v>0</v>
      </c>
      <c r="V7" s="1974" t="e">
        <v>#DIV/0!</v>
      </c>
    </row>
    <row r="8" spans="1:22" ht="16.2" thickBot="1" x14ac:dyDescent="0.35">
      <c r="B8" s="1887" t="s">
        <v>34</v>
      </c>
      <c r="C8" s="1876"/>
      <c r="D8" s="1876"/>
      <c r="E8" s="1876"/>
      <c r="F8" s="1887">
        <v>2012</v>
      </c>
      <c r="G8" s="1937">
        <f>D16</f>
        <v>0</v>
      </c>
      <c r="H8" s="1938">
        <f>D21</f>
        <v>0</v>
      </c>
      <c r="I8" s="1938">
        <f>D26</f>
        <v>0</v>
      </c>
      <c r="J8" s="1938">
        <f>D31</f>
        <v>4139</v>
      </c>
      <c r="K8" s="1938">
        <f>D36</f>
        <v>0</v>
      </c>
      <c r="L8" s="1938">
        <f>D41</f>
        <v>325</v>
      </c>
      <c r="M8" s="1938">
        <f>D46</f>
        <v>3705</v>
      </c>
      <c r="N8" s="1938">
        <f>D52</f>
        <v>0</v>
      </c>
      <c r="O8" s="1938">
        <f>D57</f>
        <v>0</v>
      </c>
      <c r="P8" s="1938">
        <f>D58</f>
        <v>0</v>
      </c>
      <c r="Q8" s="1939">
        <f>SUM(G8:P8)</f>
        <v>8169</v>
      </c>
      <c r="R8" s="1959">
        <v>0</v>
      </c>
      <c r="S8" s="1973">
        <v>0</v>
      </c>
      <c r="T8" s="1973">
        <v>1</v>
      </c>
      <c r="U8" s="1973">
        <v>0</v>
      </c>
      <c r="V8" s="1975" t="e">
        <v>#DIV/0!</v>
      </c>
    </row>
    <row r="9" spans="1:22" ht="16.2" thickBot="1" x14ac:dyDescent="0.35">
      <c r="B9" s="1876"/>
      <c r="C9" s="1887" t="s">
        <v>886</v>
      </c>
      <c r="D9" s="1876"/>
      <c r="E9" s="1876"/>
      <c r="F9" s="1887">
        <v>2013</v>
      </c>
      <c r="G9" s="1948">
        <f>E16</f>
        <v>0</v>
      </c>
      <c r="H9" s="1949">
        <f>E21</f>
        <v>0</v>
      </c>
      <c r="I9" s="1949">
        <f>E26</f>
        <v>0</v>
      </c>
      <c r="J9" s="1949">
        <f>E31</f>
        <v>4139</v>
      </c>
      <c r="K9" s="1949">
        <f>E36</f>
        <v>0</v>
      </c>
      <c r="L9" s="1949">
        <f>E41</f>
        <v>325</v>
      </c>
      <c r="M9" s="1949">
        <f>E46</f>
        <v>3705</v>
      </c>
      <c r="N9" s="1949">
        <f>E52</f>
        <v>0</v>
      </c>
      <c r="O9" s="1949">
        <f>E57</f>
        <v>0</v>
      </c>
      <c r="P9" s="1949">
        <f>E58</f>
        <v>0</v>
      </c>
      <c r="Q9" s="3703">
        <f>SUM(G9:P9)</f>
        <v>8169</v>
      </c>
      <c r="R9" s="1959">
        <v>0</v>
      </c>
      <c r="S9" s="1973">
        <v>0</v>
      </c>
      <c r="T9" s="1973">
        <v>1</v>
      </c>
      <c r="U9" s="1973">
        <v>0</v>
      </c>
      <c r="V9" s="1975" t="e">
        <v>#DIV/0!</v>
      </c>
    </row>
    <row r="10" spans="1:22" ht="16.2" thickBot="1" x14ac:dyDescent="0.35">
      <c r="B10" s="1876"/>
      <c r="C10" s="1963" t="s">
        <v>873</v>
      </c>
      <c r="D10" s="1876"/>
      <c r="E10" s="1876"/>
      <c r="F10" s="1950" t="s">
        <v>178</v>
      </c>
      <c r="G10" s="1951">
        <f>SUM(G8:G9)</f>
        <v>0</v>
      </c>
      <c r="H10" s="3704">
        <f t="shared" ref="H10:Q10" si="0">SUM(H8:H9)</f>
        <v>0</v>
      </c>
      <c r="I10" s="3704">
        <f t="shared" si="0"/>
        <v>0</v>
      </c>
      <c r="J10" s="3704">
        <f t="shared" si="0"/>
        <v>8278</v>
      </c>
      <c r="K10" s="3704">
        <f t="shared" si="0"/>
        <v>0</v>
      </c>
      <c r="L10" s="3704">
        <f t="shared" si="0"/>
        <v>650</v>
      </c>
      <c r="M10" s="3704">
        <f t="shared" si="0"/>
        <v>7410</v>
      </c>
      <c r="N10" s="3704">
        <f t="shared" si="0"/>
        <v>0</v>
      </c>
      <c r="O10" s="3704">
        <f t="shared" si="0"/>
        <v>0</v>
      </c>
      <c r="P10" s="3704">
        <f t="shared" si="0"/>
        <v>0</v>
      </c>
      <c r="Q10" s="3704">
        <f t="shared" si="0"/>
        <v>16338</v>
      </c>
      <c r="R10" s="1960">
        <v>0</v>
      </c>
      <c r="S10" s="1973">
        <v>0</v>
      </c>
      <c r="T10" s="1973">
        <v>1</v>
      </c>
      <c r="U10" s="1973">
        <v>0</v>
      </c>
      <c r="V10" s="1975" t="e">
        <v>#DIV/0!</v>
      </c>
    </row>
    <row r="11" spans="1:22" ht="13.8" x14ac:dyDescent="0.3">
      <c r="P11" s="2427"/>
      <c r="Q11" s="86"/>
    </row>
    <row r="12" spans="1:22" s="2410" customFormat="1" ht="13.8" x14ac:dyDescent="0.3">
      <c r="A12" s="3369"/>
      <c r="P12" s="2427"/>
    </row>
    <row r="13" spans="1:22" ht="14.4" thickBot="1" x14ac:dyDescent="0.35">
      <c r="B13" s="1876"/>
      <c r="C13" s="1931" t="s">
        <v>141</v>
      </c>
      <c r="D13" s="4795" t="s">
        <v>142</v>
      </c>
      <c r="E13" s="4795"/>
      <c r="F13" s="1876"/>
      <c r="G13" s="1876"/>
      <c r="H13" s="1876"/>
      <c r="I13" s="4796" t="s">
        <v>143</v>
      </c>
      <c r="J13" s="4796"/>
      <c r="K13" s="4796"/>
      <c r="L13" s="4796"/>
      <c r="M13" s="4797" t="s">
        <v>142</v>
      </c>
      <c r="N13" s="4797"/>
      <c r="O13" s="1876"/>
      <c r="P13" s="1876"/>
      <c r="Q13" s="1876"/>
      <c r="R13" s="1876"/>
      <c r="S13" s="1876"/>
      <c r="T13" s="1876"/>
      <c r="U13" s="1876"/>
      <c r="V13" s="1876"/>
    </row>
    <row r="14" spans="1:22" ht="16.2" thickBot="1" x14ac:dyDescent="0.35">
      <c r="B14" s="1934" t="s">
        <v>144</v>
      </c>
      <c r="C14" s="4788" t="s">
        <v>145</v>
      </c>
      <c r="D14" s="4788"/>
      <c r="E14" s="4788"/>
      <c r="F14" s="4789"/>
      <c r="G14" s="1876"/>
      <c r="H14" s="1876"/>
      <c r="I14" s="4785" t="s">
        <v>146</v>
      </c>
      <c r="J14" s="4786"/>
      <c r="K14" s="4786"/>
      <c r="L14" s="4787"/>
      <c r="M14" s="4785" t="s">
        <v>147</v>
      </c>
      <c r="N14" s="4786"/>
      <c r="O14" s="4787"/>
      <c r="P14" s="4785" t="s">
        <v>148</v>
      </c>
      <c r="Q14" s="4786"/>
      <c r="R14" s="4787"/>
      <c r="S14" s="1876"/>
      <c r="T14" s="1933" t="s">
        <v>149</v>
      </c>
      <c r="U14" s="1876"/>
      <c r="V14" s="1876"/>
    </row>
    <row r="15" spans="1:22" ht="16.2" thickBot="1" x14ac:dyDescent="0.35">
      <c r="B15" s="1944">
        <v>2011</v>
      </c>
      <c r="C15" s="1932" t="s">
        <v>150</v>
      </c>
      <c r="D15" s="1929">
        <v>2012</v>
      </c>
      <c r="E15" s="1929">
        <v>2013</v>
      </c>
      <c r="F15" s="1929" t="s">
        <v>151</v>
      </c>
      <c r="G15" s="1876"/>
      <c r="H15" s="1895"/>
      <c r="I15" s="4790" t="s">
        <v>152</v>
      </c>
      <c r="J15" s="4791"/>
      <c r="K15" s="4792"/>
      <c r="L15" s="1925" t="s">
        <v>153</v>
      </c>
      <c r="M15" s="1926" t="s">
        <v>154</v>
      </c>
      <c r="N15" s="1927" t="s">
        <v>155</v>
      </c>
      <c r="O15" s="1928" t="s">
        <v>156</v>
      </c>
      <c r="P15" s="1926" t="s">
        <v>157</v>
      </c>
      <c r="Q15" s="1926" t="s">
        <v>158</v>
      </c>
      <c r="R15" s="1928" t="s">
        <v>159</v>
      </c>
      <c r="S15" s="1876"/>
      <c r="T15" s="1934" t="s">
        <v>160</v>
      </c>
      <c r="U15" s="1876"/>
      <c r="V15" s="1876"/>
    </row>
    <row r="16" spans="1:22" ht="14.4" thickBot="1" x14ac:dyDescent="0.35">
      <c r="B16" s="1968">
        <v>0</v>
      </c>
      <c r="C16" s="1907" t="s">
        <v>161</v>
      </c>
      <c r="D16" s="1908">
        <f>SUM(D17:D20)</f>
        <v>0</v>
      </c>
      <c r="E16" s="3694">
        <f>SUM(E17:E20)</f>
        <v>0</v>
      </c>
      <c r="F16" s="1909">
        <f>SUM(D16:E16)</f>
        <v>0</v>
      </c>
      <c r="G16" s="1876"/>
      <c r="H16" s="1898"/>
      <c r="I16" s="1922" t="s">
        <v>409</v>
      </c>
      <c r="J16" s="1923"/>
      <c r="K16" s="1924"/>
      <c r="L16" s="1952">
        <v>0</v>
      </c>
      <c r="M16" s="1883">
        <v>0</v>
      </c>
      <c r="N16" s="1883">
        <v>0</v>
      </c>
      <c r="O16" s="1899">
        <v>0</v>
      </c>
      <c r="P16" s="1953">
        <v>0</v>
      </c>
      <c r="Q16" s="1953">
        <v>0</v>
      </c>
      <c r="R16" s="1954">
        <v>0</v>
      </c>
      <c r="S16" s="1876"/>
      <c r="T16" s="1883"/>
      <c r="U16" s="1876"/>
      <c r="V16" s="1876"/>
    </row>
    <row r="17" spans="2:22" ht="13.8" x14ac:dyDescent="0.3">
      <c r="B17" s="1942"/>
      <c r="C17" s="1888"/>
      <c r="D17" s="1890">
        <v>0</v>
      </c>
      <c r="E17" s="1890">
        <v>0</v>
      </c>
      <c r="F17" s="1890">
        <f>SUM(D17:E17)</f>
        <v>0</v>
      </c>
      <c r="G17" s="1876"/>
      <c r="H17" s="1898"/>
      <c r="I17" s="1922" t="s">
        <v>410</v>
      </c>
      <c r="J17" s="1923"/>
      <c r="K17" s="1924"/>
      <c r="L17" s="1952">
        <v>0</v>
      </c>
      <c r="M17" s="1883">
        <v>0</v>
      </c>
      <c r="N17" s="1883">
        <v>0</v>
      </c>
      <c r="O17" s="1899">
        <v>0</v>
      </c>
      <c r="P17" s="1953">
        <v>0</v>
      </c>
      <c r="Q17" s="1953">
        <v>0</v>
      </c>
      <c r="R17" s="1954">
        <v>0</v>
      </c>
      <c r="S17" s="1876"/>
      <c r="T17" s="1880"/>
      <c r="U17" s="1876"/>
      <c r="V17" s="1876"/>
    </row>
    <row r="18" spans="2:22" ht="13.8" x14ac:dyDescent="0.3">
      <c r="B18" s="1943"/>
      <c r="C18" s="1888"/>
      <c r="D18" s="1890">
        <v>0</v>
      </c>
      <c r="E18" s="1890">
        <v>0</v>
      </c>
      <c r="F18" s="3692">
        <f t="shared" ref="F18:F20" si="1">SUM(D18:E18)</f>
        <v>0</v>
      </c>
      <c r="G18" s="1876"/>
      <c r="H18" s="1898"/>
      <c r="I18" s="1922" t="s">
        <v>411</v>
      </c>
      <c r="J18" s="1923"/>
      <c r="K18" s="1924"/>
      <c r="L18" s="1952">
        <v>0</v>
      </c>
      <c r="M18" s="1883">
        <v>0</v>
      </c>
      <c r="N18" s="1883">
        <v>0</v>
      </c>
      <c r="O18" s="1899">
        <v>0</v>
      </c>
      <c r="P18" s="1953">
        <v>0</v>
      </c>
      <c r="Q18" s="1953">
        <v>0</v>
      </c>
      <c r="R18" s="1954">
        <v>0</v>
      </c>
      <c r="S18" s="1876"/>
      <c r="T18" s="1880"/>
      <c r="U18" s="1876"/>
      <c r="V18" s="1876"/>
    </row>
    <row r="19" spans="2:22" ht="13.8" x14ac:dyDescent="0.3">
      <c r="B19" s="1943"/>
      <c r="C19" s="1882"/>
      <c r="D19" s="1890">
        <v>0</v>
      </c>
      <c r="E19" s="1890">
        <v>0</v>
      </c>
      <c r="F19" s="3692">
        <f t="shared" si="1"/>
        <v>0</v>
      </c>
      <c r="G19" s="1876"/>
      <c r="H19" s="1898"/>
      <c r="I19" s="1922" t="s">
        <v>213</v>
      </c>
      <c r="J19" s="1923"/>
      <c r="K19" s="1924"/>
      <c r="L19" s="1952">
        <v>0</v>
      </c>
      <c r="M19" s="1883">
        <v>0</v>
      </c>
      <c r="N19" s="1883">
        <v>0</v>
      </c>
      <c r="O19" s="1899">
        <v>0</v>
      </c>
      <c r="P19" s="1953">
        <v>0</v>
      </c>
      <c r="Q19" s="1953">
        <v>0</v>
      </c>
      <c r="R19" s="1954">
        <v>0</v>
      </c>
      <c r="S19" s="1876"/>
      <c r="T19" s="1880"/>
      <c r="U19" s="1876"/>
      <c r="V19" s="1876"/>
    </row>
    <row r="20" spans="2:22" ht="14.4" thickBot="1" x14ac:dyDescent="0.35">
      <c r="B20" s="1943"/>
      <c r="C20" s="1882"/>
      <c r="D20" s="1890">
        <v>0</v>
      </c>
      <c r="E20" s="1890">
        <v>0</v>
      </c>
      <c r="F20" s="3692">
        <f t="shared" si="1"/>
        <v>0</v>
      </c>
      <c r="G20" s="1876"/>
      <c r="H20" s="1898"/>
      <c r="I20" s="1922" t="s">
        <v>214</v>
      </c>
      <c r="J20" s="1923"/>
      <c r="K20" s="1924"/>
      <c r="L20" s="1952">
        <v>0</v>
      </c>
      <c r="M20" s="1883">
        <v>0</v>
      </c>
      <c r="N20" s="1883">
        <v>0</v>
      </c>
      <c r="O20" s="1899">
        <v>0</v>
      </c>
      <c r="P20" s="1953">
        <v>0</v>
      </c>
      <c r="Q20" s="1953">
        <v>0</v>
      </c>
      <c r="R20" s="1954">
        <v>0</v>
      </c>
      <c r="S20" s="1876"/>
      <c r="T20" s="1880"/>
      <c r="U20" s="1876"/>
      <c r="V20" s="1876"/>
    </row>
    <row r="21" spans="2:22" ht="14.4" thickBot="1" x14ac:dyDescent="0.35">
      <c r="B21" s="1941">
        <v>0</v>
      </c>
      <c r="C21" s="1907" t="s">
        <v>166</v>
      </c>
      <c r="D21" s="1908">
        <f>SUM(D22:D25)</f>
        <v>0</v>
      </c>
      <c r="E21" s="3694">
        <f>SUM(E22:E25)</f>
        <v>0</v>
      </c>
      <c r="F21" s="1909">
        <f>SUM(D21:E21)</f>
        <v>0</v>
      </c>
      <c r="G21" s="1876"/>
      <c r="H21" s="1898"/>
      <c r="I21" s="1922" t="s">
        <v>215</v>
      </c>
      <c r="J21" s="1923"/>
      <c r="K21" s="1924"/>
      <c r="L21" s="1952">
        <v>0</v>
      </c>
      <c r="M21" s="1883">
        <v>0</v>
      </c>
      <c r="N21" s="1883">
        <v>0</v>
      </c>
      <c r="O21" s="1899">
        <v>0</v>
      </c>
      <c r="P21" s="1953">
        <v>0</v>
      </c>
      <c r="Q21" s="1953">
        <v>0</v>
      </c>
      <c r="R21" s="1954">
        <v>0</v>
      </c>
      <c r="S21" s="1876"/>
      <c r="T21" s="1880"/>
    </row>
    <row r="22" spans="2:22" ht="13.8" x14ac:dyDescent="0.3">
      <c r="B22" s="1942"/>
      <c r="C22" s="1964"/>
      <c r="D22" s="1967">
        <v>0</v>
      </c>
      <c r="E22" s="1967">
        <v>0</v>
      </c>
      <c r="F22" s="1890">
        <f>SUM(D22:E22)</f>
        <v>0</v>
      </c>
      <c r="G22" s="1876"/>
      <c r="H22" s="1898"/>
      <c r="I22" s="1922" t="s">
        <v>216</v>
      </c>
      <c r="J22" s="1923"/>
      <c r="K22" s="1924"/>
      <c r="L22" s="1952">
        <v>0</v>
      </c>
      <c r="M22" s="1883">
        <v>0</v>
      </c>
      <c r="N22" s="1883">
        <v>0</v>
      </c>
      <c r="O22" s="1899">
        <v>0</v>
      </c>
      <c r="P22" s="1953">
        <v>0</v>
      </c>
      <c r="Q22" s="1953">
        <v>0</v>
      </c>
      <c r="R22" s="1954">
        <v>0</v>
      </c>
      <c r="S22" s="1876"/>
      <c r="T22" s="1880"/>
    </row>
    <row r="23" spans="2:22" ht="13.8" x14ac:dyDescent="0.3">
      <c r="B23" s="1943"/>
      <c r="C23" s="1965"/>
      <c r="D23" s="1967">
        <v>0</v>
      </c>
      <c r="E23" s="1967">
        <v>0</v>
      </c>
      <c r="F23" s="3692">
        <f t="shared" ref="F23:F25" si="2">SUM(D23:E23)</f>
        <v>0</v>
      </c>
      <c r="G23" s="1876"/>
      <c r="H23" s="1898"/>
      <c r="I23" s="1922" t="s">
        <v>217</v>
      </c>
      <c r="J23" s="1923"/>
      <c r="K23" s="1924"/>
      <c r="L23" s="1952">
        <v>0</v>
      </c>
      <c r="M23" s="1883">
        <v>0</v>
      </c>
      <c r="N23" s="1883">
        <v>0</v>
      </c>
      <c r="O23" s="1899">
        <v>0</v>
      </c>
      <c r="P23" s="1953">
        <v>0</v>
      </c>
      <c r="Q23" s="1953">
        <v>0</v>
      </c>
      <c r="R23" s="1954">
        <v>0</v>
      </c>
      <c r="S23" s="1876"/>
      <c r="T23" s="1880"/>
    </row>
    <row r="24" spans="2:22" ht="13.8" x14ac:dyDescent="0.3">
      <c r="B24" s="1943"/>
      <c r="C24" s="1882" t="s">
        <v>164</v>
      </c>
      <c r="D24" s="1892">
        <v>0</v>
      </c>
      <c r="E24" s="1892"/>
      <c r="F24" s="3692">
        <f t="shared" si="2"/>
        <v>0</v>
      </c>
      <c r="G24" s="1876"/>
      <c r="H24" s="1898"/>
      <c r="I24" s="1922" t="s">
        <v>218</v>
      </c>
      <c r="J24" s="1923"/>
      <c r="K24" s="1924"/>
      <c r="L24" s="1952">
        <v>0</v>
      </c>
      <c r="M24" s="1883">
        <v>0</v>
      </c>
      <c r="N24" s="1883">
        <v>0</v>
      </c>
      <c r="O24" s="1899">
        <v>0</v>
      </c>
      <c r="P24" s="1953">
        <v>0</v>
      </c>
      <c r="Q24" s="1953">
        <v>0</v>
      </c>
      <c r="R24" s="1954">
        <v>0</v>
      </c>
      <c r="S24" s="1876"/>
      <c r="T24" s="1880"/>
    </row>
    <row r="25" spans="2:22" ht="14.4" thickBot="1" x14ac:dyDescent="0.35">
      <c r="B25" s="1943"/>
      <c r="C25" s="1882" t="s">
        <v>165</v>
      </c>
      <c r="D25" s="1892">
        <v>0</v>
      </c>
      <c r="E25" s="1892"/>
      <c r="F25" s="3692">
        <f t="shared" si="2"/>
        <v>0</v>
      </c>
      <c r="G25" s="1876"/>
      <c r="H25" s="1898"/>
      <c r="I25" s="1922" t="s">
        <v>219</v>
      </c>
      <c r="J25" s="1923"/>
      <c r="K25" s="1924"/>
      <c r="L25" s="1952">
        <v>0</v>
      </c>
      <c r="M25" s="1883">
        <v>0</v>
      </c>
      <c r="N25" s="1883">
        <v>0</v>
      </c>
      <c r="O25" s="1899">
        <v>0</v>
      </c>
      <c r="P25" s="1953">
        <v>0</v>
      </c>
      <c r="Q25" s="1953">
        <v>0</v>
      </c>
      <c r="R25" s="1954">
        <v>0</v>
      </c>
      <c r="S25" s="1876"/>
      <c r="T25" s="1880"/>
    </row>
    <row r="26" spans="2:22" ht="14.4" thickBot="1" x14ac:dyDescent="0.35">
      <c r="B26" s="1941">
        <v>0</v>
      </c>
      <c r="C26" s="1907" t="s">
        <v>167</v>
      </c>
      <c r="D26" s="1908">
        <f>SUM(D27:D30)</f>
        <v>0</v>
      </c>
      <c r="E26" s="3694">
        <f>SUM(E27:E30)</f>
        <v>0</v>
      </c>
      <c r="F26" s="1909">
        <f>SUM(D26:E26)</f>
        <v>0</v>
      </c>
      <c r="G26" s="1881"/>
      <c r="H26" s="1898"/>
      <c r="I26" s="1922" t="s">
        <v>220</v>
      </c>
      <c r="J26" s="1923"/>
      <c r="K26" s="1924"/>
      <c r="L26" s="1952">
        <v>0</v>
      </c>
      <c r="M26" s="1883">
        <v>0</v>
      </c>
      <c r="N26" s="1883">
        <v>0</v>
      </c>
      <c r="O26" s="1899">
        <v>0</v>
      </c>
      <c r="P26" s="1953">
        <v>0</v>
      </c>
      <c r="Q26" s="1953">
        <v>0</v>
      </c>
      <c r="R26" s="1954">
        <v>0</v>
      </c>
      <c r="S26" s="1876"/>
      <c r="T26" s="1880"/>
    </row>
    <row r="27" spans="2:22" ht="13.8" x14ac:dyDescent="0.3">
      <c r="B27" s="1942"/>
      <c r="C27" s="1888" t="s">
        <v>168</v>
      </c>
      <c r="D27" s="1890">
        <v>0</v>
      </c>
      <c r="E27" s="1890">
        <v>0</v>
      </c>
      <c r="F27" s="1890">
        <f>SUM(D27:E27)</f>
        <v>0</v>
      </c>
      <c r="G27" s="1876"/>
      <c r="H27" s="1898"/>
      <c r="I27" s="1922" t="s">
        <v>221</v>
      </c>
      <c r="J27" s="1923"/>
      <c r="K27" s="1924"/>
      <c r="L27" s="1952">
        <v>0</v>
      </c>
      <c r="M27" s="1883">
        <v>0</v>
      </c>
      <c r="N27" s="1883">
        <v>0</v>
      </c>
      <c r="O27" s="1899">
        <v>0</v>
      </c>
      <c r="P27" s="1953">
        <v>0</v>
      </c>
      <c r="Q27" s="1953">
        <v>0</v>
      </c>
      <c r="R27" s="1954">
        <v>0</v>
      </c>
      <c r="S27" s="1876"/>
      <c r="T27" s="1880"/>
    </row>
    <row r="28" spans="2:22" ht="13.8" x14ac:dyDescent="0.3">
      <c r="B28" s="1942"/>
      <c r="C28" s="1888" t="s">
        <v>169</v>
      </c>
      <c r="D28" s="1891">
        <v>0</v>
      </c>
      <c r="E28" s="1891">
        <v>0</v>
      </c>
      <c r="F28" s="3692">
        <f t="shared" ref="F28:F30" si="3">SUM(D28:E28)</f>
        <v>0</v>
      </c>
      <c r="G28" s="1876"/>
      <c r="H28" s="1898"/>
      <c r="I28" s="1922" t="s">
        <v>222</v>
      </c>
      <c r="J28" s="1923"/>
      <c r="K28" s="1924"/>
      <c r="L28" s="1952">
        <v>0</v>
      </c>
      <c r="M28" s="1883">
        <v>0</v>
      </c>
      <c r="N28" s="1883">
        <v>0</v>
      </c>
      <c r="O28" s="1899">
        <v>0</v>
      </c>
      <c r="P28" s="1953">
        <v>0</v>
      </c>
      <c r="Q28" s="1953">
        <v>0</v>
      </c>
      <c r="R28" s="1954">
        <v>0</v>
      </c>
      <c r="S28" s="1876"/>
      <c r="T28" s="1880"/>
    </row>
    <row r="29" spans="2:22" ht="13.8" x14ac:dyDescent="0.3">
      <c r="B29" s="1943"/>
      <c r="C29" s="1882"/>
      <c r="D29" s="1892"/>
      <c r="E29" s="1892"/>
      <c r="F29" s="3692">
        <f t="shared" si="3"/>
        <v>0</v>
      </c>
      <c r="G29" s="1876"/>
      <c r="H29" s="1898"/>
      <c r="I29" s="1922" t="s">
        <v>223</v>
      </c>
      <c r="J29" s="1923"/>
      <c r="K29" s="1924"/>
      <c r="L29" s="1952">
        <v>0</v>
      </c>
      <c r="M29" s="1883">
        <v>0</v>
      </c>
      <c r="N29" s="1883">
        <v>0</v>
      </c>
      <c r="O29" s="1899">
        <v>0</v>
      </c>
      <c r="P29" s="1953">
        <v>0</v>
      </c>
      <c r="Q29" s="1953">
        <v>0</v>
      </c>
      <c r="R29" s="1954">
        <v>0</v>
      </c>
      <c r="S29" s="1876"/>
      <c r="T29" s="1880"/>
    </row>
    <row r="30" spans="2:22" ht="14.4" thickBot="1" x14ac:dyDescent="0.35">
      <c r="B30" s="1943"/>
      <c r="C30" s="1882"/>
      <c r="D30" s="1892"/>
      <c r="E30" s="1892"/>
      <c r="F30" s="3692">
        <f t="shared" si="3"/>
        <v>0</v>
      </c>
      <c r="G30" s="1876"/>
      <c r="H30" s="1898"/>
      <c r="I30" s="1922" t="s">
        <v>224</v>
      </c>
      <c r="J30" s="1923"/>
      <c r="K30" s="1924"/>
      <c r="L30" s="1952">
        <v>0</v>
      </c>
      <c r="M30" s="1883">
        <v>0</v>
      </c>
      <c r="N30" s="1883">
        <v>0</v>
      </c>
      <c r="O30" s="1899">
        <v>0</v>
      </c>
      <c r="P30" s="1953">
        <v>0</v>
      </c>
      <c r="Q30" s="1953">
        <v>0</v>
      </c>
      <c r="R30" s="1954">
        <v>0</v>
      </c>
      <c r="S30" s="1876"/>
      <c r="T30" s="1880"/>
    </row>
    <row r="31" spans="2:22" ht="14.4" thickBot="1" x14ac:dyDescent="0.35">
      <c r="B31" s="1941">
        <v>2400</v>
      </c>
      <c r="C31" s="1907" t="s">
        <v>170</v>
      </c>
      <c r="D31" s="1908">
        <f>SUM(D32:D35)</f>
        <v>4139</v>
      </c>
      <c r="E31" s="3694">
        <f>SUM(E32:E35)</f>
        <v>4139</v>
      </c>
      <c r="F31" s="1909">
        <f>SUM(D31:E31)</f>
        <v>8278</v>
      </c>
      <c r="G31" s="1876"/>
      <c r="H31" s="1898"/>
      <c r="I31" s="1922" t="s">
        <v>225</v>
      </c>
      <c r="J31" s="1923"/>
      <c r="K31" s="1924"/>
      <c r="L31" s="1952">
        <v>0</v>
      </c>
      <c r="M31" s="1883">
        <v>0</v>
      </c>
      <c r="N31" s="1883">
        <v>0</v>
      </c>
      <c r="O31" s="1899">
        <v>0</v>
      </c>
      <c r="P31" s="1953">
        <v>0</v>
      </c>
      <c r="Q31" s="1953">
        <v>0</v>
      </c>
      <c r="R31" s="1954">
        <v>0</v>
      </c>
      <c r="S31" s="1876"/>
      <c r="T31" s="1880"/>
    </row>
    <row r="32" spans="2:22" ht="13.8" x14ac:dyDescent="0.3">
      <c r="B32" s="1942"/>
      <c r="C32" s="3697" t="s">
        <v>1131</v>
      </c>
      <c r="D32" s="1890">
        <v>4139</v>
      </c>
      <c r="E32" s="1890">
        <v>4139</v>
      </c>
      <c r="F32" s="1890">
        <f>SUM(D32:E32)</f>
        <v>8278</v>
      </c>
      <c r="G32" s="1876"/>
      <c r="H32" s="1898"/>
      <c r="I32" s="1922" t="s">
        <v>226</v>
      </c>
      <c r="J32" s="1923"/>
      <c r="K32" s="1924"/>
      <c r="L32" s="1952">
        <v>0</v>
      </c>
      <c r="M32" s="1883">
        <v>0</v>
      </c>
      <c r="N32" s="1883">
        <v>0</v>
      </c>
      <c r="O32" s="1899">
        <v>0</v>
      </c>
      <c r="P32" s="1953">
        <v>0</v>
      </c>
      <c r="Q32" s="1953">
        <v>0</v>
      </c>
      <c r="R32" s="1954">
        <v>0</v>
      </c>
      <c r="S32" s="1876"/>
      <c r="T32" s="1880"/>
    </row>
    <row r="33" spans="2:20" ht="13.8" x14ac:dyDescent="0.3">
      <c r="B33" s="1943"/>
      <c r="C33" s="1882" t="s">
        <v>163</v>
      </c>
      <c r="D33" s="1891">
        <v>0</v>
      </c>
      <c r="E33" s="1891"/>
      <c r="F33" s="3692">
        <f t="shared" ref="F33:F35" si="4">SUM(D33:E33)</f>
        <v>0</v>
      </c>
      <c r="G33" s="1876"/>
      <c r="H33" s="1898"/>
      <c r="I33" s="1922" t="s">
        <v>227</v>
      </c>
      <c r="J33" s="1923"/>
      <c r="K33" s="1924"/>
      <c r="L33" s="1952">
        <v>0</v>
      </c>
      <c r="M33" s="1883">
        <v>0</v>
      </c>
      <c r="N33" s="1883">
        <v>0</v>
      </c>
      <c r="O33" s="1899">
        <v>0</v>
      </c>
      <c r="P33" s="1953">
        <v>0</v>
      </c>
      <c r="Q33" s="1953">
        <v>0</v>
      </c>
      <c r="R33" s="1954">
        <v>0</v>
      </c>
      <c r="S33" s="1876"/>
      <c r="T33" s="1880"/>
    </row>
    <row r="34" spans="2:20" ht="13.8" x14ac:dyDescent="0.3">
      <c r="B34" s="1943"/>
      <c r="C34" s="1882" t="s">
        <v>164</v>
      </c>
      <c r="D34" s="1891">
        <v>0</v>
      </c>
      <c r="E34" s="1891"/>
      <c r="F34" s="3692">
        <f t="shared" si="4"/>
        <v>0</v>
      </c>
      <c r="G34" s="1876"/>
      <c r="H34" s="1898"/>
      <c r="I34" s="1922" t="s">
        <v>228</v>
      </c>
      <c r="J34" s="1923"/>
      <c r="K34" s="1924"/>
      <c r="L34" s="1952">
        <v>0</v>
      </c>
      <c r="M34" s="1883">
        <v>0</v>
      </c>
      <c r="N34" s="1883">
        <v>0</v>
      </c>
      <c r="O34" s="1899">
        <v>0</v>
      </c>
      <c r="P34" s="1953">
        <v>0</v>
      </c>
      <c r="Q34" s="1953">
        <v>0</v>
      </c>
      <c r="R34" s="1954">
        <v>0</v>
      </c>
      <c r="S34" s="1876"/>
      <c r="T34" s="1880"/>
    </row>
    <row r="35" spans="2:20" ht="14.4" thickBot="1" x14ac:dyDescent="0.35">
      <c r="B35" s="1943"/>
      <c r="C35" s="1882" t="s">
        <v>165</v>
      </c>
      <c r="D35" s="1891">
        <v>0</v>
      </c>
      <c r="E35" s="1891"/>
      <c r="F35" s="3692">
        <f t="shared" si="4"/>
        <v>0</v>
      </c>
      <c r="G35" s="1876"/>
      <c r="H35" s="1898"/>
      <c r="I35" s="1922" t="s">
        <v>229</v>
      </c>
      <c r="J35" s="1923"/>
      <c r="K35" s="1924"/>
      <c r="L35" s="1952">
        <v>0</v>
      </c>
      <c r="M35" s="1883">
        <v>0</v>
      </c>
      <c r="N35" s="1883">
        <v>0</v>
      </c>
      <c r="O35" s="1899">
        <v>0</v>
      </c>
      <c r="P35" s="1953">
        <v>0</v>
      </c>
      <c r="Q35" s="1953">
        <v>0</v>
      </c>
      <c r="R35" s="1954">
        <v>0</v>
      </c>
      <c r="S35" s="1876"/>
      <c r="T35" s="1880"/>
    </row>
    <row r="36" spans="2:20" ht="14.4" thickBot="1" x14ac:dyDescent="0.35">
      <c r="B36" s="1941">
        <v>0</v>
      </c>
      <c r="C36" s="1907" t="s">
        <v>171</v>
      </c>
      <c r="D36" s="1908">
        <f>SUM(D37:D40)</f>
        <v>0</v>
      </c>
      <c r="E36" s="3694">
        <f>SUM(E37:E40)</f>
        <v>0</v>
      </c>
      <c r="F36" s="1909">
        <f>SUM(D36:E36)</f>
        <v>0</v>
      </c>
      <c r="G36" s="1876"/>
      <c r="H36" s="1898"/>
      <c r="I36" s="1922" t="s">
        <v>230</v>
      </c>
      <c r="J36" s="1923"/>
      <c r="K36" s="1924"/>
      <c r="L36" s="1952">
        <v>0</v>
      </c>
      <c r="M36" s="1883">
        <v>0</v>
      </c>
      <c r="N36" s="1883">
        <v>0</v>
      </c>
      <c r="O36" s="1899">
        <v>0</v>
      </c>
      <c r="P36" s="1953">
        <v>0</v>
      </c>
      <c r="Q36" s="1953">
        <v>0</v>
      </c>
      <c r="R36" s="1954">
        <v>0</v>
      </c>
      <c r="S36" s="1876"/>
      <c r="T36" s="1880"/>
    </row>
    <row r="37" spans="2:20" ht="13.8" x14ac:dyDescent="0.3">
      <c r="B37" s="1943"/>
      <c r="C37" s="1882" t="s">
        <v>162</v>
      </c>
      <c r="D37" s="1891">
        <v>0</v>
      </c>
      <c r="E37" s="1891">
        <v>0</v>
      </c>
      <c r="F37" s="1890">
        <f>SUM(D37:E37)</f>
        <v>0</v>
      </c>
      <c r="G37" s="1876"/>
      <c r="H37" s="1898"/>
      <c r="I37" s="1922" t="s">
        <v>231</v>
      </c>
      <c r="J37" s="1923"/>
      <c r="K37" s="1924"/>
      <c r="L37" s="1952">
        <v>0</v>
      </c>
      <c r="M37" s="1883">
        <v>0</v>
      </c>
      <c r="N37" s="1883">
        <v>0</v>
      </c>
      <c r="O37" s="1899">
        <v>0</v>
      </c>
      <c r="P37" s="1953">
        <v>0</v>
      </c>
      <c r="Q37" s="1953">
        <v>0</v>
      </c>
      <c r="R37" s="1954">
        <v>0</v>
      </c>
      <c r="S37" s="1876"/>
      <c r="T37" s="1880"/>
    </row>
    <row r="38" spans="2:20" ht="13.8" x14ac:dyDescent="0.3">
      <c r="B38" s="1943"/>
      <c r="C38" s="1882" t="s">
        <v>163</v>
      </c>
      <c r="D38" s="1891">
        <v>0</v>
      </c>
      <c r="E38" s="1891"/>
      <c r="F38" s="3692">
        <f t="shared" ref="F38:F40" si="5">SUM(D38:E38)</f>
        <v>0</v>
      </c>
      <c r="G38" s="1876"/>
      <c r="H38" s="1898"/>
      <c r="I38" s="1922" t="s">
        <v>232</v>
      </c>
      <c r="J38" s="1923"/>
      <c r="K38" s="1924"/>
      <c r="L38" s="1952">
        <v>0</v>
      </c>
      <c r="M38" s="1883">
        <v>0</v>
      </c>
      <c r="N38" s="1883">
        <v>0</v>
      </c>
      <c r="O38" s="1899">
        <v>0</v>
      </c>
      <c r="P38" s="1953">
        <v>0</v>
      </c>
      <c r="Q38" s="1953">
        <v>0</v>
      </c>
      <c r="R38" s="1954">
        <v>0</v>
      </c>
      <c r="S38" s="1876"/>
      <c r="T38" s="1880"/>
    </row>
    <row r="39" spans="2:20" ht="13.8" x14ac:dyDescent="0.3">
      <c r="B39" s="1943"/>
      <c r="C39" s="1882" t="s">
        <v>164</v>
      </c>
      <c r="D39" s="1891">
        <v>0</v>
      </c>
      <c r="E39" s="1891"/>
      <c r="F39" s="3692">
        <f t="shared" si="5"/>
        <v>0</v>
      </c>
      <c r="G39" s="1876"/>
      <c r="H39" s="1898"/>
      <c r="I39" s="1922" t="s">
        <v>233</v>
      </c>
      <c r="J39" s="1923"/>
      <c r="K39" s="1924"/>
      <c r="L39" s="1952">
        <v>0</v>
      </c>
      <c r="M39" s="1883">
        <v>0</v>
      </c>
      <c r="N39" s="1883">
        <v>0</v>
      </c>
      <c r="O39" s="1899">
        <v>0</v>
      </c>
      <c r="P39" s="1953">
        <v>0</v>
      </c>
      <c r="Q39" s="1953">
        <v>0</v>
      </c>
      <c r="R39" s="1954">
        <v>0</v>
      </c>
      <c r="S39" s="1876"/>
      <c r="T39" s="1880"/>
    </row>
    <row r="40" spans="2:20" ht="14.4" thickBot="1" x14ac:dyDescent="0.35">
      <c r="B40" s="1943"/>
      <c r="C40" s="1882" t="s">
        <v>165</v>
      </c>
      <c r="D40" s="1891">
        <v>0</v>
      </c>
      <c r="E40" s="1891"/>
      <c r="F40" s="3692">
        <f t="shared" si="5"/>
        <v>0</v>
      </c>
      <c r="G40" s="1876"/>
      <c r="H40" s="1898"/>
      <c r="I40" s="1922" t="s">
        <v>234</v>
      </c>
      <c r="J40" s="1923"/>
      <c r="K40" s="1924"/>
      <c r="L40" s="1952">
        <v>0</v>
      </c>
      <c r="M40" s="1883">
        <v>0</v>
      </c>
      <c r="N40" s="1883">
        <v>0</v>
      </c>
      <c r="O40" s="1899">
        <v>0</v>
      </c>
      <c r="P40" s="1953">
        <v>0</v>
      </c>
      <c r="Q40" s="1953">
        <v>0</v>
      </c>
      <c r="R40" s="1954">
        <v>0</v>
      </c>
      <c r="S40" s="1876"/>
      <c r="T40" s="1880"/>
    </row>
    <row r="41" spans="2:20" ht="14.4" thickBot="1" x14ac:dyDescent="0.35">
      <c r="B41" s="1941">
        <v>0</v>
      </c>
      <c r="C41" s="1907" t="s">
        <v>172</v>
      </c>
      <c r="D41" s="1908">
        <f>SUM(D42:D45)</f>
        <v>325</v>
      </c>
      <c r="E41" s="3694">
        <f>SUM(E42:E45)</f>
        <v>325</v>
      </c>
      <c r="F41" s="1909">
        <f>SUM(D41:E41)</f>
        <v>650</v>
      </c>
      <c r="G41" s="1876"/>
      <c r="H41" s="1898"/>
      <c r="I41" s="1922" t="s">
        <v>235</v>
      </c>
      <c r="J41" s="1923"/>
      <c r="K41" s="1924"/>
      <c r="L41" s="1952">
        <v>0</v>
      </c>
      <c r="M41" s="1883">
        <v>0</v>
      </c>
      <c r="N41" s="1883">
        <v>0</v>
      </c>
      <c r="O41" s="1899">
        <v>0</v>
      </c>
      <c r="P41" s="1953">
        <v>0</v>
      </c>
      <c r="Q41" s="1953">
        <v>0</v>
      </c>
      <c r="R41" s="1954">
        <v>0</v>
      </c>
      <c r="S41" s="1876"/>
      <c r="T41" s="1880"/>
    </row>
    <row r="42" spans="2:20" ht="13.8" x14ac:dyDescent="0.3">
      <c r="B42" s="1943"/>
      <c r="C42" s="3670" t="s">
        <v>1128</v>
      </c>
      <c r="D42" s="3689">
        <v>195</v>
      </c>
      <c r="E42" s="3689">
        <v>195</v>
      </c>
      <c r="F42" s="1890">
        <f>SUM(D42:E42)</f>
        <v>390</v>
      </c>
      <c r="G42" s="1876"/>
      <c r="H42" s="1898"/>
      <c r="I42" s="1922" t="s">
        <v>236</v>
      </c>
      <c r="J42" s="1923"/>
      <c r="K42" s="1924"/>
      <c r="L42" s="1952">
        <v>0</v>
      </c>
      <c r="M42" s="1883">
        <v>0</v>
      </c>
      <c r="N42" s="1883">
        <v>0</v>
      </c>
      <c r="O42" s="1899">
        <v>0</v>
      </c>
      <c r="P42" s="1953">
        <v>0</v>
      </c>
      <c r="Q42" s="1953">
        <v>0</v>
      </c>
      <c r="R42" s="1954">
        <v>0</v>
      </c>
      <c r="S42" s="1876"/>
      <c r="T42" s="1880"/>
    </row>
    <row r="43" spans="2:20" ht="13.8" x14ac:dyDescent="0.3">
      <c r="B43" s="1943"/>
      <c r="C43" s="3688" t="s">
        <v>1127</v>
      </c>
      <c r="D43" s="3691">
        <v>130</v>
      </c>
      <c r="E43" s="3691">
        <v>130</v>
      </c>
      <c r="F43" s="3699">
        <f>SUM(D43:E43)</f>
        <v>260</v>
      </c>
      <c r="G43" s="1876"/>
      <c r="H43" s="1898"/>
      <c r="I43" s="1922" t="s">
        <v>237</v>
      </c>
      <c r="J43" s="1923"/>
      <c r="K43" s="1924"/>
      <c r="L43" s="1952">
        <v>0</v>
      </c>
      <c r="M43" s="1883">
        <v>0</v>
      </c>
      <c r="N43" s="1883">
        <v>0</v>
      </c>
      <c r="O43" s="1899">
        <v>0</v>
      </c>
      <c r="P43" s="1953">
        <v>0</v>
      </c>
      <c r="Q43" s="1953">
        <v>0</v>
      </c>
      <c r="R43" s="1954">
        <v>0</v>
      </c>
      <c r="S43" s="1876"/>
      <c r="T43" s="1880"/>
    </row>
    <row r="44" spans="2:20" ht="13.8" x14ac:dyDescent="0.3">
      <c r="B44" s="1943"/>
      <c r="C44" s="1882" t="s">
        <v>164</v>
      </c>
      <c r="D44" s="1891">
        <v>0</v>
      </c>
      <c r="E44" s="1891"/>
      <c r="F44" s="3692">
        <f t="shared" ref="F44:F45" si="6">SUM(D44:E44)</f>
        <v>0</v>
      </c>
      <c r="G44" s="1876"/>
      <c r="H44" s="1898"/>
      <c r="I44" s="1922" t="s">
        <v>238</v>
      </c>
      <c r="J44" s="1923"/>
      <c r="K44" s="1924"/>
      <c r="L44" s="1952">
        <v>0</v>
      </c>
      <c r="M44" s="1883">
        <v>0</v>
      </c>
      <c r="N44" s="1883">
        <v>0</v>
      </c>
      <c r="O44" s="1899">
        <v>0</v>
      </c>
      <c r="P44" s="1953">
        <v>0</v>
      </c>
      <c r="Q44" s="1953">
        <v>0</v>
      </c>
      <c r="R44" s="1954">
        <v>0</v>
      </c>
      <c r="S44" s="1876"/>
      <c r="T44" s="1880"/>
    </row>
    <row r="45" spans="2:20" ht="14.4" thickBot="1" x14ac:dyDescent="0.35">
      <c r="B45" s="1943"/>
      <c r="C45" s="1882" t="s">
        <v>165</v>
      </c>
      <c r="D45" s="1891">
        <v>0</v>
      </c>
      <c r="E45" s="1891"/>
      <c r="F45" s="3692">
        <f t="shared" si="6"/>
        <v>0</v>
      </c>
      <c r="G45" s="1876"/>
      <c r="H45" s="1898"/>
      <c r="I45" s="1922" t="s">
        <v>239</v>
      </c>
      <c r="J45" s="1923"/>
      <c r="K45" s="1924"/>
      <c r="L45" s="1952">
        <v>0</v>
      </c>
      <c r="M45" s="1883">
        <v>0</v>
      </c>
      <c r="N45" s="1883">
        <v>0</v>
      </c>
      <c r="O45" s="1899">
        <v>0</v>
      </c>
      <c r="P45" s="1953">
        <v>0</v>
      </c>
      <c r="Q45" s="1953">
        <v>0</v>
      </c>
      <c r="R45" s="1954">
        <v>0</v>
      </c>
      <c r="S45" s="1876"/>
      <c r="T45" s="1880"/>
    </row>
    <row r="46" spans="2:20" ht="14.4" thickBot="1" x14ac:dyDescent="0.35">
      <c r="B46" s="1941">
        <v>0</v>
      </c>
      <c r="C46" s="1907" t="s">
        <v>173</v>
      </c>
      <c r="D46" s="1908">
        <f>SUM(D47:D51)</f>
        <v>3705</v>
      </c>
      <c r="E46" s="3701">
        <f>SUM(E47:E51)</f>
        <v>3705</v>
      </c>
      <c r="F46" s="1909">
        <f>SUM(D46:E46)</f>
        <v>7410</v>
      </c>
      <c r="G46" s="1876"/>
      <c r="H46" s="1898"/>
      <c r="I46" s="1922" t="s">
        <v>240</v>
      </c>
      <c r="J46" s="1923"/>
      <c r="K46" s="1924"/>
      <c r="L46" s="1952">
        <v>0</v>
      </c>
      <c r="M46" s="1883">
        <v>0</v>
      </c>
      <c r="N46" s="1883">
        <v>0</v>
      </c>
      <c r="O46" s="1899">
        <v>0</v>
      </c>
      <c r="P46" s="1953">
        <v>0</v>
      </c>
      <c r="Q46" s="1953">
        <v>0</v>
      </c>
      <c r="R46" s="1954">
        <v>0</v>
      </c>
      <c r="S46" s="1876"/>
      <c r="T46" s="1880"/>
    </row>
    <row r="47" spans="2:20" ht="13.8" x14ac:dyDescent="0.3">
      <c r="B47" s="1943"/>
      <c r="C47" s="3697" t="s">
        <v>1091</v>
      </c>
      <c r="D47" s="3691">
        <v>130</v>
      </c>
      <c r="E47" s="3691">
        <v>130</v>
      </c>
      <c r="F47" s="1890">
        <f>SUM(D47:E47)</f>
        <v>260</v>
      </c>
      <c r="G47" s="1876"/>
      <c r="H47" s="1898"/>
      <c r="I47" s="1922" t="s">
        <v>241</v>
      </c>
      <c r="J47" s="1923"/>
      <c r="K47" s="1924"/>
      <c r="L47" s="1952">
        <v>0</v>
      </c>
      <c r="M47" s="1883">
        <v>0</v>
      </c>
      <c r="N47" s="1883">
        <v>0</v>
      </c>
      <c r="O47" s="1899">
        <v>0</v>
      </c>
      <c r="P47" s="1953">
        <v>0</v>
      </c>
      <c r="Q47" s="1953">
        <v>0</v>
      </c>
      <c r="R47" s="1954">
        <v>0</v>
      </c>
      <c r="S47" s="1876"/>
      <c r="T47" s="1880"/>
    </row>
    <row r="48" spans="2:20" ht="13.8" x14ac:dyDescent="0.3">
      <c r="B48" s="1943"/>
      <c r="C48" s="3697" t="s">
        <v>1092</v>
      </c>
      <c r="D48" s="3691">
        <v>65</v>
      </c>
      <c r="E48" s="3691">
        <v>65</v>
      </c>
      <c r="F48" s="3699">
        <f t="shared" ref="F48:F51" si="7">SUM(D48:E48)</f>
        <v>130</v>
      </c>
      <c r="G48" s="1876"/>
      <c r="H48" s="1898"/>
      <c r="I48" s="1922" t="s">
        <v>242</v>
      </c>
      <c r="J48" s="1923"/>
      <c r="K48" s="1924"/>
      <c r="L48" s="1952">
        <v>0</v>
      </c>
      <c r="M48" s="1883">
        <v>0</v>
      </c>
      <c r="N48" s="1883">
        <v>0</v>
      </c>
      <c r="O48" s="1899">
        <v>0</v>
      </c>
      <c r="P48" s="1953">
        <v>0</v>
      </c>
      <c r="Q48" s="1953">
        <v>0</v>
      </c>
      <c r="R48" s="1954">
        <v>0</v>
      </c>
      <c r="S48" s="1876"/>
      <c r="T48" s="1880"/>
    </row>
    <row r="49" spans="2:24" ht="13.8" x14ac:dyDescent="0.3">
      <c r="B49" s="1943"/>
      <c r="C49" s="3697" t="s">
        <v>1093</v>
      </c>
      <c r="D49" s="3691">
        <v>260</v>
      </c>
      <c r="E49" s="3691">
        <v>260</v>
      </c>
      <c r="F49" s="3699">
        <f t="shared" si="7"/>
        <v>520</v>
      </c>
      <c r="G49" s="1876"/>
      <c r="H49" s="1898"/>
      <c r="I49" s="1922" t="s">
        <v>243</v>
      </c>
      <c r="J49" s="1923"/>
      <c r="K49" s="1924"/>
      <c r="L49" s="1952">
        <v>0</v>
      </c>
      <c r="M49" s="1883">
        <v>0</v>
      </c>
      <c r="N49" s="1883">
        <v>0</v>
      </c>
      <c r="O49" s="1899">
        <v>0</v>
      </c>
      <c r="P49" s="1953">
        <v>0</v>
      </c>
      <c r="Q49" s="1953">
        <v>0</v>
      </c>
      <c r="R49" s="1954">
        <v>0</v>
      </c>
      <c r="S49" s="1876"/>
      <c r="T49" s="1880"/>
    </row>
    <row r="50" spans="2:24" ht="13.8" x14ac:dyDescent="0.3">
      <c r="B50" s="1943"/>
      <c r="C50" s="3697" t="s">
        <v>1094</v>
      </c>
      <c r="D50" s="3691">
        <v>2730</v>
      </c>
      <c r="E50" s="3691">
        <v>2730</v>
      </c>
      <c r="F50" s="3699">
        <f t="shared" si="7"/>
        <v>5460</v>
      </c>
      <c r="G50" s="1876"/>
      <c r="H50" s="1898"/>
      <c r="I50" s="1922" t="s">
        <v>244</v>
      </c>
      <c r="J50" s="1923"/>
      <c r="K50" s="1924"/>
      <c r="L50" s="1952">
        <v>0</v>
      </c>
      <c r="M50" s="1883">
        <v>0</v>
      </c>
      <c r="N50" s="1883">
        <v>0</v>
      </c>
      <c r="O50" s="1899">
        <v>0</v>
      </c>
      <c r="P50" s="1953">
        <v>0</v>
      </c>
      <c r="Q50" s="1953">
        <v>0</v>
      </c>
      <c r="R50" s="1954">
        <v>0</v>
      </c>
      <c r="S50" s="1876"/>
      <c r="T50" s="1880"/>
    </row>
    <row r="51" spans="2:24" ht="14.4" thickBot="1" x14ac:dyDescent="0.35">
      <c r="B51" s="3600"/>
      <c r="C51" s="3697" t="s">
        <v>1095</v>
      </c>
      <c r="D51" s="3691">
        <v>520</v>
      </c>
      <c r="E51" s="3691">
        <v>520</v>
      </c>
      <c r="F51" s="3699">
        <f t="shared" si="7"/>
        <v>1040</v>
      </c>
      <c r="G51" s="1876"/>
      <c r="H51" s="1898"/>
      <c r="I51" s="1922" t="s">
        <v>245</v>
      </c>
      <c r="J51" s="1923"/>
      <c r="K51" s="1924"/>
      <c r="L51" s="1952">
        <v>0</v>
      </c>
      <c r="M51" s="1883">
        <v>0</v>
      </c>
      <c r="N51" s="1883">
        <v>0</v>
      </c>
      <c r="O51" s="1899">
        <v>0</v>
      </c>
      <c r="P51" s="1953">
        <v>0</v>
      </c>
      <c r="Q51" s="1953">
        <v>0</v>
      </c>
      <c r="R51" s="1954">
        <v>0</v>
      </c>
      <c r="S51" s="1876"/>
      <c r="T51" s="1880"/>
    </row>
    <row r="52" spans="2:24" ht="14.4" thickBot="1" x14ac:dyDescent="0.35">
      <c r="B52" s="1941">
        <v>0</v>
      </c>
      <c r="C52" s="1907" t="s">
        <v>174</v>
      </c>
      <c r="D52" s="1908">
        <f>SUM(D53:D56)</f>
        <v>0</v>
      </c>
      <c r="E52" s="3694">
        <f>SUM(E53:E56)</f>
        <v>0</v>
      </c>
      <c r="F52" s="1909">
        <f>SUM(D52:E52)</f>
        <v>0</v>
      </c>
      <c r="G52" s="1876"/>
      <c r="H52" s="1898"/>
      <c r="I52" s="1922" t="s">
        <v>246</v>
      </c>
      <c r="J52" s="1923"/>
      <c r="K52" s="1924"/>
      <c r="L52" s="1952">
        <v>0</v>
      </c>
      <c r="M52" s="1883">
        <v>0</v>
      </c>
      <c r="N52" s="1883">
        <v>0</v>
      </c>
      <c r="O52" s="1899">
        <v>0</v>
      </c>
      <c r="P52" s="1953">
        <v>0</v>
      </c>
      <c r="Q52" s="1953">
        <v>0</v>
      </c>
      <c r="R52" s="1954">
        <v>0</v>
      </c>
      <c r="S52" s="1876"/>
      <c r="T52" s="1880"/>
    </row>
    <row r="53" spans="2:24" ht="13.8" x14ac:dyDescent="0.3">
      <c r="B53" s="1943"/>
      <c r="C53" s="1882" t="s">
        <v>162</v>
      </c>
      <c r="D53" s="1891">
        <v>0</v>
      </c>
      <c r="E53" s="1891">
        <v>0</v>
      </c>
      <c r="F53" s="1890">
        <f>SUM(D53:E53)</f>
        <v>0</v>
      </c>
      <c r="G53" s="1876"/>
      <c r="H53" s="1876"/>
      <c r="I53" s="1922" t="s">
        <v>247</v>
      </c>
      <c r="J53" s="1923"/>
      <c r="K53" s="1924"/>
      <c r="L53" s="1952">
        <v>0</v>
      </c>
      <c r="M53" s="1883">
        <v>0</v>
      </c>
      <c r="N53" s="1883">
        <v>0</v>
      </c>
      <c r="O53" s="1899">
        <v>0</v>
      </c>
      <c r="P53" s="1953">
        <v>0</v>
      </c>
      <c r="Q53" s="1953">
        <v>0</v>
      </c>
      <c r="R53" s="1954">
        <v>0</v>
      </c>
      <c r="S53" s="1876"/>
      <c r="T53" s="1880"/>
      <c r="U53" s="1876"/>
      <c r="V53" s="1876"/>
      <c r="W53" s="1876"/>
      <c r="X53" s="1876"/>
    </row>
    <row r="54" spans="2:24" ht="13.8" x14ac:dyDescent="0.3">
      <c r="B54" s="1943"/>
      <c r="C54" s="1882" t="s">
        <v>163</v>
      </c>
      <c r="D54" s="1891">
        <v>0</v>
      </c>
      <c r="E54" s="1891"/>
      <c r="F54" s="3692">
        <f t="shared" ref="F54:F56" si="8">SUM(D54:E54)</f>
        <v>0</v>
      </c>
      <c r="G54" s="1876"/>
      <c r="H54" s="1876"/>
      <c r="I54" s="1922" t="s">
        <v>248</v>
      </c>
      <c r="J54" s="1923"/>
      <c r="K54" s="1924"/>
      <c r="L54" s="1952">
        <v>0</v>
      </c>
      <c r="M54" s="1883">
        <v>0</v>
      </c>
      <c r="N54" s="1883">
        <v>0</v>
      </c>
      <c r="O54" s="1899">
        <v>0</v>
      </c>
      <c r="P54" s="1953">
        <v>0</v>
      </c>
      <c r="Q54" s="1953">
        <v>0</v>
      </c>
      <c r="R54" s="1954">
        <v>0</v>
      </c>
      <c r="S54" s="1876"/>
      <c r="T54" s="1880"/>
      <c r="U54" s="1876"/>
      <c r="V54" s="1876"/>
      <c r="W54" s="1876"/>
      <c r="X54" s="1876"/>
    </row>
    <row r="55" spans="2:24" ht="13.8" x14ac:dyDescent="0.3">
      <c r="B55" s="1943"/>
      <c r="C55" s="1882" t="s">
        <v>164</v>
      </c>
      <c r="D55" s="1891">
        <v>0</v>
      </c>
      <c r="E55" s="1891"/>
      <c r="F55" s="3692">
        <f t="shared" si="8"/>
        <v>0</v>
      </c>
      <c r="G55" s="1876"/>
      <c r="H55" s="1876"/>
      <c r="I55" s="1922" t="s">
        <v>249</v>
      </c>
      <c r="J55" s="1923"/>
      <c r="K55" s="1924"/>
      <c r="L55" s="1952">
        <v>0</v>
      </c>
      <c r="M55" s="1883">
        <v>0</v>
      </c>
      <c r="N55" s="1883">
        <v>0</v>
      </c>
      <c r="O55" s="1899">
        <v>0</v>
      </c>
      <c r="P55" s="1953">
        <v>0</v>
      </c>
      <c r="Q55" s="1953">
        <v>0</v>
      </c>
      <c r="R55" s="1954">
        <v>0</v>
      </c>
      <c r="S55" s="1876"/>
      <c r="T55" s="1880"/>
      <c r="U55" s="1876"/>
      <c r="V55" s="1876"/>
      <c r="W55" s="1876"/>
      <c r="X55" s="1876"/>
    </row>
    <row r="56" spans="2:24" ht="14.4" thickBot="1" x14ac:dyDescent="0.35">
      <c r="B56" s="1943"/>
      <c r="C56" s="1882" t="s">
        <v>165</v>
      </c>
      <c r="D56" s="1891">
        <v>0</v>
      </c>
      <c r="E56" s="1891"/>
      <c r="F56" s="3692">
        <f t="shared" si="8"/>
        <v>0</v>
      </c>
      <c r="G56" s="1910" t="s">
        <v>176</v>
      </c>
      <c r="H56" s="1876"/>
      <c r="I56" s="1922" t="s">
        <v>250</v>
      </c>
      <c r="J56" s="1923"/>
      <c r="K56" s="1924"/>
      <c r="L56" s="1952">
        <v>0</v>
      </c>
      <c r="M56" s="1883">
        <v>0</v>
      </c>
      <c r="N56" s="1883">
        <v>0</v>
      </c>
      <c r="O56" s="1899">
        <v>0</v>
      </c>
      <c r="P56" s="1953">
        <v>0</v>
      </c>
      <c r="Q56" s="1953">
        <v>0</v>
      </c>
      <c r="R56" s="1954">
        <v>0</v>
      </c>
      <c r="S56" s="1876"/>
      <c r="T56" s="1880"/>
      <c r="U56" s="1876"/>
      <c r="V56" s="1876"/>
      <c r="W56" s="1876"/>
      <c r="X56" s="1876"/>
    </row>
    <row r="57" spans="2:24" ht="14.4" thickBot="1" x14ac:dyDescent="0.35">
      <c r="B57" s="1941">
        <v>0</v>
      </c>
      <c r="C57" s="1907" t="s">
        <v>175</v>
      </c>
      <c r="D57" s="1908">
        <v>0</v>
      </c>
      <c r="E57" s="1908">
        <v>0</v>
      </c>
      <c r="F57" s="1909">
        <f>SUM(D57:E57)</f>
        <v>0</v>
      </c>
      <c r="G57" s="1876"/>
      <c r="H57" s="1876"/>
      <c r="I57" s="1922" t="s">
        <v>251</v>
      </c>
      <c r="J57" s="1923"/>
      <c r="K57" s="1924"/>
      <c r="L57" s="1952">
        <v>0</v>
      </c>
      <c r="M57" s="1883">
        <v>0</v>
      </c>
      <c r="N57" s="1883">
        <v>0</v>
      </c>
      <c r="O57" s="1899">
        <v>0</v>
      </c>
      <c r="P57" s="1953">
        <v>0</v>
      </c>
      <c r="Q57" s="1953">
        <v>0</v>
      </c>
      <c r="R57" s="1954">
        <v>0</v>
      </c>
      <c r="S57" s="1876"/>
      <c r="T57" s="1880"/>
      <c r="U57" s="1876"/>
      <c r="V57" s="1876"/>
      <c r="W57" s="1876"/>
      <c r="X57" s="1876"/>
    </row>
    <row r="58" spans="2:24" ht="14.4" thickBot="1" x14ac:dyDescent="0.35">
      <c r="B58" s="1941">
        <v>0</v>
      </c>
      <c r="C58" s="1907" t="s">
        <v>177</v>
      </c>
      <c r="D58" s="1908">
        <v>0</v>
      </c>
      <c r="E58" s="1908">
        <v>0</v>
      </c>
      <c r="F58" s="3695">
        <f>SUM(D58:E58)</f>
        <v>0</v>
      </c>
      <c r="G58" s="1876"/>
      <c r="H58" s="1876"/>
      <c r="I58" s="1876"/>
      <c r="J58" s="1876"/>
      <c r="K58" s="1876"/>
      <c r="L58" s="1876"/>
      <c r="M58" s="1876"/>
      <c r="N58" s="1876"/>
      <c r="O58" s="1876"/>
      <c r="P58" s="1955">
        <v>0</v>
      </c>
      <c r="Q58" s="1955">
        <v>0</v>
      </c>
      <c r="R58" s="1955">
        <v>0</v>
      </c>
      <c r="S58" s="1876"/>
      <c r="T58" s="1955">
        <v>0</v>
      </c>
      <c r="U58" s="1876"/>
      <c r="V58" s="1876"/>
      <c r="W58" s="1876"/>
      <c r="X58" s="1876"/>
    </row>
    <row r="59" spans="2:24" ht="13.8" x14ac:dyDescent="0.3">
      <c r="B59" s="1893">
        <v>2400</v>
      </c>
      <c r="C59" s="1877" t="s">
        <v>178</v>
      </c>
      <c r="D59" s="1893">
        <f>D16+D21+D26+D31+D36+D41+D46+D52+D57+D58</f>
        <v>8169</v>
      </c>
      <c r="E59" s="3693">
        <f>E16+E21+E26+E31+E36+E41+E46+E52+E57+E58</f>
        <v>8169</v>
      </c>
      <c r="F59" s="3693">
        <f>F16+F21+F26+F31+F36+F41+F46+F52+F57+F58</f>
        <v>16338</v>
      </c>
      <c r="G59" s="1876"/>
      <c r="H59" s="1876"/>
      <c r="I59" s="1876"/>
      <c r="J59" s="1876"/>
      <c r="K59" s="1876"/>
      <c r="L59" s="1876"/>
      <c r="M59" s="1876"/>
      <c r="N59" s="1876"/>
      <c r="O59" s="1876"/>
      <c r="P59" s="1876"/>
      <c r="Q59" s="1876"/>
      <c r="R59" s="1876"/>
      <c r="S59" s="1876"/>
      <c r="T59" s="1876"/>
      <c r="U59" s="1876"/>
      <c r="V59" s="1876"/>
      <c r="W59" s="1876"/>
      <c r="X59" s="1876"/>
    </row>
    <row r="60" spans="2:24" ht="13.8" x14ac:dyDescent="0.3">
      <c r="B60" s="1876"/>
      <c r="C60" s="1877"/>
      <c r="D60" s="1893"/>
      <c r="E60" s="1893"/>
      <c r="F60" s="1893"/>
      <c r="G60" s="1876"/>
      <c r="H60" s="1876"/>
      <c r="I60" s="1876"/>
      <c r="J60" s="1876"/>
      <c r="K60" s="1876"/>
      <c r="L60" s="1876"/>
      <c r="M60" s="1876"/>
      <c r="N60" s="1876"/>
      <c r="O60" s="1876"/>
      <c r="P60" s="1876"/>
      <c r="Q60" s="1876"/>
      <c r="R60" s="1876"/>
      <c r="S60" s="1876"/>
      <c r="T60" s="1876"/>
      <c r="U60" s="1876"/>
      <c r="V60" s="1876"/>
      <c r="W60" s="1876"/>
      <c r="X60" s="1876"/>
    </row>
    <row r="61" spans="2:24" ht="13.8" x14ac:dyDescent="0.3">
      <c r="B61" s="1876"/>
      <c r="C61" s="1877" t="s">
        <v>179</v>
      </c>
      <c r="D61" s="1893">
        <v>6284</v>
      </c>
      <c r="E61" s="1893">
        <v>6284</v>
      </c>
      <c r="F61" s="1893">
        <v>12568</v>
      </c>
      <c r="G61" s="1969">
        <v>0</v>
      </c>
      <c r="H61" s="1970" t="s">
        <v>181</v>
      </c>
      <c r="I61" s="1876"/>
      <c r="J61" s="1876"/>
      <c r="K61" s="1876"/>
      <c r="L61" s="1876"/>
      <c r="M61" s="1876"/>
      <c r="N61" s="1876"/>
      <c r="O61" s="1876"/>
      <c r="P61" s="1876"/>
      <c r="Q61" s="1876"/>
      <c r="R61" s="1876"/>
      <c r="S61" s="1876"/>
      <c r="T61" s="1876"/>
      <c r="U61" s="1876"/>
      <c r="V61" s="1876"/>
      <c r="W61" s="1876"/>
      <c r="X61" s="1876"/>
    </row>
    <row r="62" spans="2:24" ht="13.8" x14ac:dyDescent="0.3">
      <c r="B62" s="1876"/>
      <c r="C62" s="1877" t="s">
        <v>180</v>
      </c>
      <c r="D62" s="1878">
        <v>0</v>
      </c>
      <c r="E62" s="1878">
        <v>0</v>
      </c>
      <c r="F62" s="1878">
        <v>0</v>
      </c>
      <c r="G62" s="1876"/>
      <c r="H62" s="1876"/>
      <c r="I62" s="1876"/>
      <c r="J62" s="1876"/>
      <c r="K62" s="1876"/>
      <c r="L62" s="1876"/>
      <c r="M62" s="1876"/>
      <c r="N62" s="1876"/>
      <c r="O62" s="1876"/>
      <c r="P62" s="1876"/>
      <c r="Q62" s="1876"/>
      <c r="R62" s="1876"/>
      <c r="S62" s="1876"/>
      <c r="T62" s="1876"/>
      <c r="U62" s="1876"/>
      <c r="V62" s="1876"/>
      <c r="W62" s="1876"/>
      <c r="X62" s="1876"/>
    </row>
    <row r="63" spans="2:24" ht="14.4" thickBot="1" x14ac:dyDescent="0.35">
      <c r="B63" s="1876"/>
      <c r="C63" s="1876"/>
      <c r="D63" s="1876"/>
      <c r="E63" s="1876"/>
      <c r="F63" s="1876"/>
      <c r="G63" s="3662"/>
      <c r="H63" s="3662"/>
      <c r="I63" s="3690"/>
      <c r="J63" s="3690"/>
      <c r="K63" s="3690"/>
      <c r="L63" s="1876"/>
      <c r="M63" s="1876"/>
      <c r="N63" s="1876"/>
      <c r="O63" s="1876"/>
      <c r="P63" s="1876"/>
      <c r="Q63" s="1876"/>
      <c r="R63" s="1876"/>
      <c r="S63" s="1876"/>
      <c r="T63" s="1876"/>
      <c r="U63" s="1876"/>
      <c r="V63" s="1876"/>
      <c r="W63" s="1876"/>
      <c r="X63" s="1876"/>
    </row>
    <row r="64" spans="2:24" ht="16.2" thickBot="1" x14ac:dyDescent="0.35">
      <c r="B64" s="1920" t="s">
        <v>182</v>
      </c>
      <c r="C64" s="1921"/>
      <c r="D64" s="3721" t="s">
        <v>183</v>
      </c>
      <c r="E64" s="3717"/>
      <c r="F64" s="3717"/>
      <c r="G64" s="3717"/>
      <c r="H64" s="3717"/>
      <c r="I64" s="3687"/>
      <c r="J64" s="3687"/>
      <c r="K64" s="3663"/>
      <c r="L64" s="3687"/>
      <c r="M64" s="3687"/>
      <c r="N64" s="3687"/>
      <c r="O64" s="3687"/>
      <c r="P64" s="3687"/>
      <c r="Q64" s="3687"/>
      <c r="R64" s="3687"/>
      <c r="S64" s="3687"/>
      <c r="T64" s="3687"/>
      <c r="U64" s="3687"/>
      <c r="V64" s="3687"/>
      <c r="W64" s="3687"/>
      <c r="X64" s="3687"/>
    </row>
    <row r="65" spans="2:24" ht="16.2" thickBot="1" x14ac:dyDescent="0.35">
      <c r="B65" s="3718" t="s">
        <v>184</v>
      </c>
      <c r="C65" s="3719"/>
      <c r="D65" s="3719"/>
      <c r="E65" s="3719"/>
      <c r="F65" s="3719"/>
      <c r="G65" s="3719"/>
      <c r="H65" s="3719"/>
      <c r="I65" s="3719"/>
      <c r="J65" s="3719"/>
      <c r="K65" s="3720"/>
      <c r="L65" s="4785" t="s">
        <v>185</v>
      </c>
      <c r="M65" s="4786"/>
      <c r="N65" s="4786"/>
      <c r="O65" s="4786"/>
      <c r="P65" s="4786"/>
      <c r="Q65" s="4786"/>
      <c r="R65" s="4787"/>
      <c r="S65" s="4785" t="s">
        <v>186</v>
      </c>
      <c r="T65" s="4786"/>
      <c r="U65" s="4787"/>
      <c r="V65" s="4785" t="s">
        <v>132</v>
      </c>
      <c r="W65" s="4786"/>
      <c r="X65" s="4787"/>
    </row>
    <row r="66" spans="2:24" ht="14.4" thickBot="1" x14ac:dyDescent="0.35">
      <c r="B66" s="1884" t="s">
        <v>187</v>
      </c>
      <c r="C66" s="1885" t="s">
        <v>152</v>
      </c>
      <c r="D66" s="1885" t="s">
        <v>153</v>
      </c>
      <c r="E66" s="1885" t="s">
        <v>188</v>
      </c>
      <c r="F66" s="1885" t="s">
        <v>189</v>
      </c>
      <c r="G66" s="1885" t="s">
        <v>190</v>
      </c>
      <c r="H66" s="1885" t="s">
        <v>191</v>
      </c>
      <c r="I66" s="1885" t="s">
        <v>192</v>
      </c>
      <c r="J66" s="1885" t="s">
        <v>193</v>
      </c>
      <c r="K66" s="1886" t="s">
        <v>194</v>
      </c>
      <c r="L66" s="1956" t="s">
        <v>195</v>
      </c>
      <c r="M66" s="1957" t="s">
        <v>196</v>
      </c>
      <c r="N66" s="1911" t="s">
        <v>881</v>
      </c>
      <c r="O66" s="1911" t="s">
        <v>882</v>
      </c>
      <c r="P66" s="1958" t="s">
        <v>883</v>
      </c>
      <c r="Q66" s="1958" t="s">
        <v>884</v>
      </c>
      <c r="R66" s="1918" t="s">
        <v>885</v>
      </c>
      <c r="S66" s="1896" t="s">
        <v>202</v>
      </c>
      <c r="T66" s="1896" t="s">
        <v>203</v>
      </c>
      <c r="U66" s="1897" t="s">
        <v>204</v>
      </c>
      <c r="V66" s="1896" t="s">
        <v>137</v>
      </c>
      <c r="W66" s="1896" t="s">
        <v>12</v>
      </c>
      <c r="X66" s="1897" t="s">
        <v>138</v>
      </c>
    </row>
    <row r="67" spans="2:24" ht="13.8" x14ac:dyDescent="0.3">
      <c r="B67" s="1883"/>
      <c r="C67" s="1880" t="s">
        <v>409</v>
      </c>
      <c r="D67" s="1883">
        <v>0</v>
      </c>
      <c r="E67" s="1883" t="s">
        <v>617</v>
      </c>
      <c r="F67" s="1880" t="s">
        <v>211</v>
      </c>
      <c r="G67" s="1889">
        <v>0</v>
      </c>
      <c r="H67" s="1889">
        <v>0</v>
      </c>
      <c r="I67" s="1966">
        <v>0</v>
      </c>
      <c r="J67" s="1883">
        <v>0</v>
      </c>
      <c r="K67" s="1883"/>
      <c r="L67" s="1912" t="e">
        <v>#N/A</v>
      </c>
      <c r="M67" s="1912" t="e">
        <v>#N/A</v>
      </c>
      <c r="N67" s="1961" t="e">
        <v>#DIV/0!</v>
      </c>
      <c r="O67" s="1961" t="e">
        <v>#DIV/0!</v>
      </c>
      <c r="P67" s="1961" t="e">
        <v>#N/A</v>
      </c>
      <c r="Q67" s="1961" t="e">
        <v>#N/A</v>
      </c>
      <c r="R67" s="1961" t="e">
        <v>#N/A</v>
      </c>
      <c r="S67" s="1902">
        <v>0</v>
      </c>
      <c r="T67" s="1902">
        <v>0</v>
      </c>
      <c r="U67" s="1902">
        <v>0</v>
      </c>
      <c r="V67" s="1971" t="e">
        <v>#DIV/0!</v>
      </c>
      <c r="W67" s="1971" t="e">
        <v>#DIV/0!</v>
      </c>
      <c r="X67" s="1971" t="e">
        <v>#DIV/0!</v>
      </c>
    </row>
    <row r="68" spans="2:24" ht="13.8" x14ac:dyDescent="0.3">
      <c r="B68" s="1880"/>
      <c r="C68" s="1880" t="s">
        <v>410</v>
      </c>
      <c r="D68" s="1880">
        <v>0</v>
      </c>
      <c r="E68" s="1880" t="s">
        <v>617</v>
      </c>
      <c r="F68" s="1880" t="s">
        <v>211</v>
      </c>
      <c r="G68" s="1889">
        <v>0</v>
      </c>
      <c r="H68" s="1889">
        <v>0</v>
      </c>
      <c r="I68" s="1966">
        <v>0</v>
      </c>
      <c r="J68" s="1883">
        <v>0</v>
      </c>
      <c r="K68" s="1883"/>
      <c r="L68" s="1912" t="e">
        <v>#N/A</v>
      </c>
      <c r="M68" s="1912" t="e">
        <v>#N/A</v>
      </c>
      <c r="N68" s="1961" t="e">
        <v>#DIV/0!</v>
      </c>
      <c r="O68" s="1961" t="e">
        <v>#DIV/0!</v>
      </c>
      <c r="P68" s="1961" t="e">
        <v>#N/A</v>
      </c>
      <c r="Q68" s="1961" t="e">
        <v>#N/A</v>
      </c>
      <c r="R68" s="1961" t="e">
        <v>#N/A</v>
      </c>
      <c r="S68" s="1902">
        <v>0</v>
      </c>
      <c r="T68" s="1902">
        <v>0</v>
      </c>
      <c r="U68" s="1902">
        <v>0</v>
      </c>
      <c r="V68" s="1971" t="e">
        <v>#DIV/0!</v>
      </c>
      <c r="W68" s="1971" t="e">
        <v>#DIV/0!</v>
      </c>
      <c r="X68" s="1971" t="e">
        <v>#DIV/0!</v>
      </c>
    </row>
    <row r="69" spans="2:24" ht="13.8" x14ac:dyDescent="0.3">
      <c r="B69" s="1880"/>
      <c r="C69" s="1880" t="s">
        <v>411</v>
      </c>
      <c r="D69" s="1880">
        <v>0</v>
      </c>
      <c r="E69" s="1880" t="s">
        <v>617</v>
      </c>
      <c r="F69" s="1880" t="s">
        <v>211</v>
      </c>
      <c r="G69" s="1889">
        <v>0</v>
      </c>
      <c r="H69" s="1889">
        <v>0</v>
      </c>
      <c r="I69" s="1966">
        <v>0</v>
      </c>
      <c r="J69" s="1883">
        <v>0</v>
      </c>
      <c r="K69" s="1883"/>
      <c r="L69" s="1912" t="e">
        <v>#N/A</v>
      </c>
      <c r="M69" s="1912" t="e">
        <v>#N/A</v>
      </c>
      <c r="N69" s="1961" t="e">
        <v>#DIV/0!</v>
      </c>
      <c r="O69" s="1961" t="e">
        <v>#DIV/0!</v>
      </c>
      <c r="P69" s="1961" t="e">
        <v>#N/A</v>
      </c>
      <c r="Q69" s="1961" t="e">
        <v>#N/A</v>
      </c>
      <c r="R69" s="1961" t="e">
        <v>#N/A</v>
      </c>
      <c r="S69" s="1902">
        <v>0</v>
      </c>
      <c r="T69" s="1902">
        <v>0</v>
      </c>
      <c r="U69" s="1902">
        <v>0</v>
      </c>
      <c r="V69" s="1971" t="e">
        <v>#DIV/0!</v>
      </c>
      <c r="W69" s="1971" t="e">
        <v>#DIV/0!</v>
      </c>
      <c r="X69" s="1971" t="e">
        <v>#DIV/0!</v>
      </c>
    </row>
    <row r="70" spans="2:24" ht="13.8" x14ac:dyDescent="0.3">
      <c r="B70" s="1880"/>
      <c r="C70" s="1880" t="s">
        <v>213</v>
      </c>
      <c r="D70" s="1880">
        <v>0</v>
      </c>
      <c r="E70" s="1880" t="s">
        <v>617</v>
      </c>
      <c r="F70" s="1880" t="s">
        <v>211</v>
      </c>
      <c r="G70" s="1889">
        <v>0</v>
      </c>
      <c r="H70" s="1889">
        <v>0</v>
      </c>
      <c r="I70" s="1966">
        <v>0</v>
      </c>
      <c r="J70" s="1883">
        <v>0</v>
      </c>
      <c r="K70" s="1883"/>
      <c r="L70" s="1912" t="e">
        <v>#N/A</v>
      </c>
      <c r="M70" s="1912" t="e">
        <v>#N/A</v>
      </c>
      <c r="N70" s="1961" t="e">
        <v>#DIV/0!</v>
      </c>
      <c r="O70" s="1961" t="e">
        <v>#DIV/0!</v>
      </c>
      <c r="P70" s="1961" t="e">
        <v>#N/A</v>
      </c>
      <c r="Q70" s="1961" t="e">
        <v>#N/A</v>
      </c>
      <c r="R70" s="1961" t="e">
        <v>#N/A</v>
      </c>
      <c r="S70" s="1902">
        <v>0</v>
      </c>
      <c r="T70" s="1902">
        <v>0</v>
      </c>
      <c r="U70" s="1902">
        <v>0</v>
      </c>
      <c r="V70" s="1971" t="e">
        <v>#DIV/0!</v>
      </c>
      <c r="W70" s="1971" t="e">
        <v>#DIV/0!</v>
      </c>
      <c r="X70" s="1971" t="e">
        <v>#DIV/0!</v>
      </c>
    </row>
    <row r="71" spans="2:24" ht="13.8" x14ac:dyDescent="0.3">
      <c r="B71" s="1880"/>
      <c r="C71" s="1880" t="s">
        <v>214</v>
      </c>
      <c r="D71" s="1880">
        <v>0</v>
      </c>
      <c r="E71" s="1880" t="s">
        <v>617</v>
      </c>
      <c r="F71" s="1880" t="s">
        <v>211</v>
      </c>
      <c r="G71" s="1889">
        <v>0</v>
      </c>
      <c r="H71" s="1889">
        <v>0</v>
      </c>
      <c r="I71" s="1966">
        <v>0</v>
      </c>
      <c r="J71" s="1883">
        <v>0</v>
      </c>
      <c r="K71" s="1883"/>
      <c r="L71" s="1912" t="e">
        <v>#N/A</v>
      </c>
      <c r="M71" s="1912" t="e">
        <v>#N/A</v>
      </c>
      <c r="N71" s="1961" t="e">
        <v>#DIV/0!</v>
      </c>
      <c r="O71" s="1961" t="e">
        <v>#DIV/0!</v>
      </c>
      <c r="P71" s="1961" t="e">
        <v>#N/A</v>
      </c>
      <c r="Q71" s="1961" t="e">
        <v>#N/A</v>
      </c>
      <c r="R71" s="1961" t="e">
        <v>#N/A</v>
      </c>
      <c r="S71" s="1902">
        <v>0</v>
      </c>
      <c r="T71" s="1902">
        <v>0</v>
      </c>
      <c r="U71" s="1902">
        <v>0</v>
      </c>
      <c r="V71" s="1971" t="e">
        <v>#DIV/0!</v>
      </c>
      <c r="W71" s="1971" t="e">
        <v>#DIV/0!</v>
      </c>
      <c r="X71" s="1971" t="e">
        <v>#DIV/0!</v>
      </c>
    </row>
    <row r="72" spans="2:24" ht="13.8" x14ac:dyDescent="0.3">
      <c r="B72" s="1880"/>
      <c r="C72" s="1880" t="s">
        <v>215</v>
      </c>
      <c r="D72" s="1880">
        <v>0</v>
      </c>
      <c r="E72" s="1880" t="s">
        <v>617</v>
      </c>
      <c r="F72" s="1880" t="s">
        <v>211</v>
      </c>
      <c r="G72" s="1889">
        <v>0</v>
      </c>
      <c r="H72" s="1889">
        <v>0</v>
      </c>
      <c r="I72" s="1966">
        <v>0</v>
      </c>
      <c r="J72" s="1883">
        <v>0</v>
      </c>
      <c r="K72" s="1883"/>
      <c r="L72" s="1912" t="e">
        <v>#N/A</v>
      </c>
      <c r="M72" s="1912" t="e">
        <v>#N/A</v>
      </c>
      <c r="N72" s="1961" t="e">
        <v>#DIV/0!</v>
      </c>
      <c r="O72" s="1961" t="e">
        <v>#DIV/0!</v>
      </c>
      <c r="P72" s="1961" t="e">
        <v>#N/A</v>
      </c>
      <c r="Q72" s="1961" t="e">
        <v>#N/A</v>
      </c>
      <c r="R72" s="1961" t="e">
        <v>#N/A</v>
      </c>
      <c r="S72" s="1902">
        <v>0</v>
      </c>
      <c r="T72" s="1902">
        <v>0</v>
      </c>
      <c r="U72" s="1902">
        <v>0</v>
      </c>
      <c r="V72" s="1971" t="e">
        <v>#DIV/0!</v>
      </c>
      <c r="W72" s="1971" t="e">
        <v>#DIV/0!</v>
      </c>
      <c r="X72" s="1971" t="e">
        <v>#DIV/0!</v>
      </c>
    </row>
    <row r="73" spans="2:24" ht="13.8" x14ac:dyDescent="0.3">
      <c r="B73" s="1880"/>
      <c r="C73" s="1880" t="s">
        <v>216</v>
      </c>
      <c r="D73" s="1883">
        <v>0</v>
      </c>
      <c r="E73" s="1880" t="s">
        <v>617</v>
      </c>
      <c r="F73" s="1880" t="s">
        <v>211</v>
      </c>
      <c r="G73" s="1889"/>
      <c r="H73" s="1889"/>
      <c r="I73" s="1900">
        <v>0</v>
      </c>
      <c r="J73" s="1883">
        <v>0</v>
      </c>
      <c r="K73" s="1883"/>
      <c r="L73" s="1912" t="e">
        <v>#N/A</v>
      </c>
      <c r="M73" s="1912" t="e">
        <v>#N/A</v>
      </c>
      <c r="N73" s="1961" t="e">
        <v>#DIV/0!</v>
      </c>
      <c r="O73" s="1961" t="e">
        <v>#DIV/0!</v>
      </c>
      <c r="P73" s="1961" t="e">
        <v>#N/A</v>
      </c>
      <c r="Q73" s="1961" t="e">
        <v>#N/A</v>
      </c>
      <c r="R73" s="1961" t="e">
        <v>#N/A</v>
      </c>
      <c r="S73" s="1902">
        <v>0</v>
      </c>
      <c r="T73" s="1902">
        <v>0</v>
      </c>
      <c r="U73" s="1902">
        <v>0</v>
      </c>
      <c r="V73" s="1971" t="e">
        <v>#DIV/0!</v>
      </c>
      <c r="W73" s="1971" t="e">
        <v>#DIV/0!</v>
      </c>
      <c r="X73" s="1971" t="e">
        <v>#DIV/0!</v>
      </c>
    </row>
    <row r="74" spans="2:24" ht="13.8" x14ac:dyDescent="0.3">
      <c r="B74" s="1880"/>
      <c r="C74" s="1880" t="s">
        <v>217</v>
      </c>
      <c r="D74" s="1880">
        <v>0</v>
      </c>
      <c r="E74" s="1880" t="s">
        <v>617</v>
      </c>
      <c r="F74" s="1880" t="s">
        <v>211</v>
      </c>
      <c r="G74" s="1889"/>
      <c r="H74" s="1889"/>
      <c r="I74" s="1900">
        <v>0</v>
      </c>
      <c r="J74" s="1883"/>
      <c r="K74" s="1883"/>
      <c r="L74" s="1912" t="e">
        <v>#N/A</v>
      </c>
      <c r="M74" s="1912" t="e">
        <v>#N/A</v>
      </c>
      <c r="N74" s="1961" t="e">
        <v>#DIV/0!</v>
      </c>
      <c r="O74" s="1961" t="e">
        <v>#DIV/0!</v>
      </c>
      <c r="P74" s="1961" t="e">
        <v>#N/A</v>
      </c>
      <c r="Q74" s="1961" t="e">
        <v>#N/A</v>
      </c>
      <c r="R74" s="1961" t="e">
        <v>#N/A</v>
      </c>
      <c r="S74" s="1902">
        <v>0</v>
      </c>
      <c r="T74" s="1902">
        <v>0</v>
      </c>
      <c r="U74" s="1902">
        <v>0</v>
      </c>
      <c r="V74" s="1971" t="e">
        <v>#DIV/0!</v>
      </c>
      <c r="W74" s="1971" t="e">
        <v>#DIV/0!</v>
      </c>
      <c r="X74" s="1971" t="e">
        <v>#DIV/0!</v>
      </c>
    </row>
    <row r="75" spans="2:24" ht="13.8" x14ac:dyDescent="0.3">
      <c r="B75" s="1880"/>
      <c r="C75" s="1880" t="s">
        <v>218</v>
      </c>
      <c r="D75" s="1883">
        <v>0</v>
      </c>
      <c r="E75" s="1880" t="s">
        <v>617</v>
      </c>
      <c r="F75" s="1880" t="s">
        <v>211</v>
      </c>
      <c r="G75" s="1889"/>
      <c r="H75" s="1889"/>
      <c r="I75" s="1900">
        <v>0</v>
      </c>
      <c r="J75" s="1883"/>
      <c r="K75" s="1883"/>
      <c r="L75" s="1912" t="e">
        <v>#N/A</v>
      </c>
      <c r="M75" s="1912" t="e">
        <v>#N/A</v>
      </c>
      <c r="N75" s="1961" t="e">
        <v>#DIV/0!</v>
      </c>
      <c r="O75" s="1961" t="e">
        <v>#DIV/0!</v>
      </c>
      <c r="P75" s="1961" t="e">
        <v>#N/A</v>
      </c>
      <c r="Q75" s="1961" t="e">
        <v>#N/A</v>
      </c>
      <c r="R75" s="1961" t="e">
        <v>#N/A</v>
      </c>
      <c r="S75" s="1902">
        <v>0</v>
      </c>
      <c r="T75" s="1902">
        <v>0</v>
      </c>
      <c r="U75" s="1902">
        <v>0</v>
      </c>
      <c r="V75" s="1971" t="e">
        <v>#DIV/0!</v>
      </c>
      <c r="W75" s="1971" t="e">
        <v>#DIV/0!</v>
      </c>
      <c r="X75" s="1971" t="e">
        <v>#DIV/0!</v>
      </c>
    </row>
    <row r="76" spans="2:24" ht="13.8" x14ac:dyDescent="0.3">
      <c r="B76" s="1880"/>
      <c r="C76" s="1880" t="s">
        <v>219</v>
      </c>
      <c r="D76" s="1880">
        <v>0</v>
      </c>
      <c r="E76" s="1880" t="s">
        <v>617</v>
      </c>
      <c r="F76" s="1880" t="s">
        <v>211</v>
      </c>
      <c r="G76" s="1889"/>
      <c r="H76" s="1889"/>
      <c r="I76" s="1900">
        <v>0</v>
      </c>
      <c r="J76" s="1883"/>
      <c r="K76" s="1883"/>
      <c r="L76" s="1912" t="e">
        <v>#N/A</v>
      </c>
      <c r="M76" s="1912" t="e">
        <v>#N/A</v>
      </c>
      <c r="N76" s="1961" t="e">
        <v>#DIV/0!</v>
      </c>
      <c r="O76" s="1961" t="e">
        <v>#DIV/0!</v>
      </c>
      <c r="P76" s="1961" t="e">
        <v>#N/A</v>
      </c>
      <c r="Q76" s="1961" t="e">
        <v>#N/A</v>
      </c>
      <c r="R76" s="1961" t="e">
        <v>#N/A</v>
      </c>
      <c r="S76" s="1902">
        <v>0</v>
      </c>
      <c r="T76" s="1902">
        <v>0</v>
      </c>
      <c r="U76" s="1902">
        <v>0</v>
      </c>
      <c r="V76" s="1971" t="e">
        <v>#DIV/0!</v>
      </c>
      <c r="W76" s="1971" t="e">
        <v>#DIV/0!</v>
      </c>
      <c r="X76" s="1971" t="e">
        <v>#DIV/0!</v>
      </c>
    </row>
    <row r="77" spans="2:24" ht="13.8" x14ac:dyDescent="0.3">
      <c r="B77" s="1880"/>
      <c r="C77" s="1880" t="s">
        <v>220</v>
      </c>
      <c r="D77" s="1883">
        <v>0</v>
      </c>
      <c r="E77" s="1880" t="s">
        <v>617</v>
      </c>
      <c r="F77" s="1880" t="s">
        <v>211</v>
      </c>
      <c r="G77" s="1889"/>
      <c r="H77" s="1889"/>
      <c r="I77" s="1900">
        <v>0</v>
      </c>
      <c r="J77" s="1883"/>
      <c r="K77" s="1883"/>
      <c r="L77" s="1912" t="e">
        <v>#N/A</v>
      </c>
      <c r="M77" s="1912" t="e">
        <v>#N/A</v>
      </c>
      <c r="N77" s="1961" t="e">
        <v>#DIV/0!</v>
      </c>
      <c r="O77" s="1961" t="e">
        <v>#DIV/0!</v>
      </c>
      <c r="P77" s="1961" t="e">
        <v>#N/A</v>
      </c>
      <c r="Q77" s="1961" t="e">
        <v>#N/A</v>
      </c>
      <c r="R77" s="1961" t="e">
        <v>#N/A</v>
      </c>
      <c r="S77" s="1902">
        <v>0</v>
      </c>
      <c r="T77" s="1902">
        <v>0</v>
      </c>
      <c r="U77" s="1902">
        <v>0</v>
      </c>
      <c r="V77" s="1971" t="e">
        <v>#DIV/0!</v>
      </c>
      <c r="W77" s="1971" t="e">
        <v>#DIV/0!</v>
      </c>
      <c r="X77" s="1971" t="e">
        <v>#DIV/0!</v>
      </c>
    </row>
    <row r="78" spans="2:24" ht="13.8" x14ac:dyDescent="0.3">
      <c r="B78" s="1880"/>
      <c r="C78" s="1880" t="s">
        <v>221</v>
      </c>
      <c r="D78" s="1880">
        <v>0</v>
      </c>
      <c r="E78" s="1880" t="s">
        <v>617</v>
      </c>
      <c r="F78" s="1880" t="s">
        <v>211</v>
      </c>
      <c r="G78" s="1889"/>
      <c r="H78" s="1889"/>
      <c r="I78" s="1900">
        <v>0</v>
      </c>
      <c r="J78" s="1883"/>
      <c r="K78" s="1883"/>
      <c r="L78" s="1912" t="e">
        <v>#N/A</v>
      </c>
      <c r="M78" s="1912" t="e">
        <v>#N/A</v>
      </c>
      <c r="N78" s="1961" t="e">
        <v>#DIV/0!</v>
      </c>
      <c r="O78" s="1961" t="e">
        <v>#DIV/0!</v>
      </c>
      <c r="P78" s="1961" t="e">
        <v>#N/A</v>
      </c>
      <c r="Q78" s="1961" t="e">
        <v>#N/A</v>
      </c>
      <c r="R78" s="1961" t="e">
        <v>#N/A</v>
      </c>
      <c r="S78" s="1902">
        <v>0</v>
      </c>
      <c r="T78" s="1902">
        <v>0</v>
      </c>
      <c r="U78" s="1902">
        <v>0</v>
      </c>
      <c r="V78" s="1971" t="e">
        <v>#DIV/0!</v>
      </c>
      <c r="W78" s="1971" t="e">
        <v>#DIV/0!</v>
      </c>
      <c r="X78" s="1971" t="e">
        <v>#DIV/0!</v>
      </c>
    </row>
    <row r="79" spans="2:24" ht="13.8" x14ac:dyDescent="0.3">
      <c r="B79" s="1880"/>
      <c r="C79" s="1880" t="s">
        <v>222</v>
      </c>
      <c r="D79" s="1883">
        <v>0</v>
      </c>
      <c r="E79" s="1880" t="s">
        <v>617</v>
      </c>
      <c r="F79" s="1880" t="s">
        <v>211</v>
      </c>
      <c r="G79" s="1889"/>
      <c r="H79" s="1889"/>
      <c r="I79" s="1900">
        <v>0</v>
      </c>
      <c r="J79" s="1883"/>
      <c r="K79" s="1883"/>
      <c r="L79" s="1912" t="e">
        <v>#N/A</v>
      </c>
      <c r="M79" s="1912" t="e">
        <v>#N/A</v>
      </c>
      <c r="N79" s="1961" t="e">
        <v>#DIV/0!</v>
      </c>
      <c r="O79" s="1961" t="e">
        <v>#DIV/0!</v>
      </c>
      <c r="P79" s="1961" t="e">
        <v>#N/A</v>
      </c>
      <c r="Q79" s="1961" t="e">
        <v>#N/A</v>
      </c>
      <c r="R79" s="1961" t="e">
        <v>#N/A</v>
      </c>
      <c r="S79" s="1902">
        <v>0</v>
      </c>
      <c r="T79" s="1902">
        <v>0</v>
      </c>
      <c r="U79" s="1902">
        <v>0</v>
      </c>
      <c r="V79" s="1971" t="e">
        <v>#DIV/0!</v>
      </c>
      <c r="W79" s="1971" t="e">
        <v>#DIV/0!</v>
      </c>
      <c r="X79" s="1971" t="e">
        <v>#DIV/0!</v>
      </c>
    </row>
    <row r="80" spans="2:24" ht="13.8" x14ac:dyDescent="0.3">
      <c r="B80" s="1880"/>
      <c r="C80" s="1880" t="s">
        <v>223</v>
      </c>
      <c r="D80" s="1880">
        <v>0</v>
      </c>
      <c r="E80" s="1880" t="s">
        <v>617</v>
      </c>
      <c r="F80" s="1880" t="s">
        <v>211</v>
      </c>
      <c r="G80" s="1889"/>
      <c r="H80" s="1889"/>
      <c r="I80" s="1900">
        <v>0</v>
      </c>
      <c r="J80" s="1883"/>
      <c r="K80" s="1883"/>
      <c r="L80" s="1912" t="e">
        <v>#N/A</v>
      </c>
      <c r="M80" s="1912" t="e">
        <v>#N/A</v>
      </c>
      <c r="N80" s="1961" t="e">
        <v>#DIV/0!</v>
      </c>
      <c r="O80" s="1961" t="e">
        <v>#DIV/0!</v>
      </c>
      <c r="P80" s="1961" t="e">
        <v>#N/A</v>
      </c>
      <c r="Q80" s="1961" t="e">
        <v>#N/A</v>
      </c>
      <c r="R80" s="1961" t="e">
        <v>#N/A</v>
      </c>
      <c r="S80" s="1902">
        <v>0</v>
      </c>
      <c r="T80" s="1902">
        <v>0</v>
      </c>
      <c r="U80" s="1902">
        <v>0</v>
      </c>
      <c r="V80" s="1971" t="e">
        <v>#DIV/0!</v>
      </c>
      <c r="W80" s="1971" t="e">
        <v>#DIV/0!</v>
      </c>
      <c r="X80" s="1971" t="e">
        <v>#DIV/0!</v>
      </c>
    </row>
    <row r="81" spans="2:24" ht="13.8" x14ac:dyDescent="0.3">
      <c r="B81" s="1880"/>
      <c r="C81" s="1880" t="s">
        <v>224</v>
      </c>
      <c r="D81" s="1883">
        <v>0</v>
      </c>
      <c r="E81" s="1880" t="s">
        <v>617</v>
      </c>
      <c r="F81" s="1880" t="s">
        <v>211</v>
      </c>
      <c r="G81" s="1889"/>
      <c r="H81" s="1889"/>
      <c r="I81" s="1900">
        <v>0</v>
      </c>
      <c r="J81" s="1883"/>
      <c r="K81" s="1883"/>
      <c r="L81" s="1912" t="e">
        <v>#N/A</v>
      </c>
      <c r="M81" s="1912" t="e">
        <v>#N/A</v>
      </c>
      <c r="N81" s="1961" t="e">
        <v>#DIV/0!</v>
      </c>
      <c r="O81" s="1961" t="e">
        <v>#DIV/0!</v>
      </c>
      <c r="P81" s="1961" t="e">
        <v>#N/A</v>
      </c>
      <c r="Q81" s="1961" t="e">
        <v>#N/A</v>
      </c>
      <c r="R81" s="1961" t="e">
        <v>#N/A</v>
      </c>
      <c r="S81" s="1902">
        <v>0</v>
      </c>
      <c r="T81" s="1902">
        <v>0</v>
      </c>
      <c r="U81" s="1902">
        <v>0</v>
      </c>
      <c r="V81" s="1971" t="e">
        <v>#DIV/0!</v>
      </c>
      <c r="W81" s="1971" t="e">
        <v>#DIV/0!</v>
      </c>
      <c r="X81" s="1971" t="e">
        <v>#DIV/0!</v>
      </c>
    </row>
    <row r="82" spans="2:24" ht="13.8" x14ac:dyDescent="0.3">
      <c r="B82" s="1880"/>
      <c r="C82" s="1880" t="s">
        <v>225</v>
      </c>
      <c r="D82" s="1880">
        <v>0</v>
      </c>
      <c r="E82" s="1880" t="s">
        <v>617</v>
      </c>
      <c r="F82" s="1880" t="s">
        <v>211</v>
      </c>
      <c r="G82" s="1889"/>
      <c r="H82" s="1889"/>
      <c r="I82" s="1900">
        <v>0</v>
      </c>
      <c r="J82" s="1883"/>
      <c r="K82" s="1883"/>
      <c r="L82" s="1912" t="e">
        <v>#N/A</v>
      </c>
      <c r="M82" s="1912" t="e">
        <v>#N/A</v>
      </c>
      <c r="N82" s="1961" t="e">
        <v>#DIV/0!</v>
      </c>
      <c r="O82" s="1961" t="e">
        <v>#DIV/0!</v>
      </c>
      <c r="P82" s="1961" t="e">
        <v>#N/A</v>
      </c>
      <c r="Q82" s="1961" t="e">
        <v>#N/A</v>
      </c>
      <c r="R82" s="1961" t="e">
        <v>#N/A</v>
      </c>
      <c r="S82" s="1902">
        <v>0</v>
      </c>
      <c r="T82" s="1902">
        <v>0</v>
      </c>
      <c r="U82" s="1902">
        <v>0</v>
      </c>
      <c r="V82" s="1971" t="e">
        <v>#DIV/0!</v>
      </c>
      <c r="W82" s="1971" t="e">
        <v>#DIV/0!</v>
      </c>
      <c r="X82" s="1971" t="e">
        <v>#DIV/0!</v>
      </c>
    </row>
    <row r="83" spans="2:24" ht="13.8" x14ac:dyDescent="0.3">
      <c r="B83" s="1880"/>
      <c r="C83" s="1880" t="s">
        <v>226</v>
      </c>
      <c r="D83" s="1883">
        <v>0</v>
      </c>
      <c r="E83" s="1880" t="s">
        <v>617</v>
      </c>
      <c r="F83" s="1880" t="s">
        <v>211</v>
      </c>
      <c r="G83" s="1889"/>
      <c r="H83" s="1889"/>
      <c r="I83" s="1900">
        <v>0</v>
      </c>
      <c r="J83" s="1883"/>
      <c r="K83" s="1883"/>
      <c r="L83" s="1912" t="e">
        <v>#REF!</v>
      </c>
      <c r="M83" s="1912" t="e">
        <v>#REF!</v>
      </c>
      <c r="N83" s="1961" t="e">
        <v>#DIV/0!</v>
      </c>
      <c r="O83" s="1961" t="e">
        <v>#DIV/0!</v>
      </c>
      <c r="P83" s="1961" t="e">
        <v>#REF!</v>
      </c>
      <c r="Q83" s="1961" t="e">
        <v>#REF!</v>
      </c>
      <c r="R83" s="1961" t="e">
        <v>#N/A</v>
      </c>
      <c r="S83" s="1902">
        <v>0</v>
      </c>
      <c r="T83" s="1902">
        <v>0</v>
      </c>
      <c r="U83" s="1902">
        <v>0</v>
      </c>
      <c r="V83" s="1971" t="e">
        <v>#DIV/0!</v>
      </c>
      <c r="W83" s="1971" t="e">
        <v>#DIV/0!</v>
      </c>
      <c r="X83" s="1971" t="e">
        <v>#DIV/0!</v>
      </c>
    </row>
    <row r="84" spans="2:24" ht="13.8" x14ac:dyDescent="0.3">
      <c r="B84" s="1880"/>
      <c r="C84" s="1880" t="s">
        <v>227</v>
      </c>
      <c r="D84" s="1880">
        <v>0</v>
      </c>
      <c r="E84" s="1880" t="s">
        <v>617</v>
      </c>
      <c r="F84" s="1880" t="s">
        <v>211</v>
      </c>
      <c r="G84" s="1889"/>
      <c r="H84" s="1889"/>
      <c r="I84" s="1900">
        <v>0</v>
      </c>
      <c r="J84" s="1883"/>
      <c r="K84" s="1883"/>
      <c r="L84" s="1912" t="e">
        <v>#REF!</v>
      </c>
      <c r="M84" s="1912" t="e">
        <v>#REF!</v>
      </c>
      <c r="N84" s="1961" t="e">
        <v>#DIV/0!</v>
      </c>
      <c r="O84" s="1961" t="e">
        <v>#DIV/0!</v>
      </c>
      <c r="P84" s="1961" t="e">
        <v>#REF!</v>
      </c>
      <c r="Q84" s="1961" t="e">
        <v>#REF!</v>
      </c>
      <c r="R84" s="1961" t="e">
        <v>#N/A</v>
      </c>
      <c r="S84" s="1902">
        <v>0</v>
      </c>
      <c r="T84" s="1902">
        <v>0</v>
      </c>
      <c r="U84" s="1902">
        <v>0</v>
      </c>
      <c r="V84" s="1971" t="e">
        <v>#DIV/0!</v>
      </c>
      <c r="W84" s="1971" t="e">
        <v>#DIV/0!</v>
      </c>
      <c r="X84" s="1971" t="e">
        <v>#DIV/0!</v>
      </c>
    </row>
    <row r="85" spans="2:24" ht="13.8" x14ac:dyDescent="0.3">
      <c r="B85" s="1880"/>
      <c r="C85" s="1880" t="s">
        <v>228</v>
      </c>
      <c r="D85" s="1880">
        <v>0</v>
      </c>
      <c r="E85" s="1880" t="s">
        <v>617</v>
      </c>
      <c r="F85" s="1880" t="s">
        <v>211</v>
      </c>
      <c r="G85" s="1889"/>
      <c r="H85" s="1889"/>
      <c r="I85" s="1900">
        <v>0</v>
      </c>
      <c r="J85" s="1883"/>
      <c r="K85" s="1883"/>
      <c r="L85" s="1912" t="e">
        <v>#REF!</v>
      </c>
      <c r="M85" s="1912" t="e">
        <v>#REF!</v>
      </c>
      <c r="N85" s="1961" t="e">
        <v>#DIV/0!</v>
      </c>
      <c r="O85" s="1961" t="e">
        <v>#DIV/0!</v>
      </c>
      <c r="P85" s="1961" t="e">
        <v>#REF!</v>
      </c>
      <c r="Q85" s="1961" t="e">
        <v>#REF!</v>
      </c>
      <c r="R85" s="1961" t="e">
        <v>#N/A</v>
      </c>
      <c r="S85" s="1902">
        <v>0</v>
      </c>
      <c r="T85" s="1902">
        <v>0</v>
      </c>
      <c r="U85" s="1902">
        <v>0</v>
      </c>
      <c r="V85" s="1971" t="e">
        <v>#DIV/0!</v>
      </c>
      <c r="W85" s="1971" t="e">
        <v>#DIV/0!</v>
      </c>
      <c r="X85" s="1971" t="e">
        <v>#DIV/0!</v>
      </c>
    </row>
    <row r="86" spans="2:24" ht="13.8" x14ac:dyDescent="0.3">
      <c r="B86" s="1880"/>
      <c r="C86" s="1880" t="s">
        <v>229</v>
      </c>
      <c r="D86" s="1880">
        <v>0</v>
      </c>
      <c r="E86" s="1880" t="s">
        <v>617</v>
      </c>
      <c r="F86" s="1880" t="s">
        <v>211</v>
      </c>
      <c r="G86" s="1889"/>
      <c r="H86" s="1889"/>
      <c r="I86" s="1900">
        <v>0</v>
      </c>
      <c r="J86" s="1883"/>
      <c r="K86" s="1883"/>
      <c r="L86" s="1912" t="e">
        <v>#REF!</v>
      </c>
      <c r="M86" s="1912" t="e">
        <v>#REF!</v>
      </c>
      <c r="N86" s="1961" t="e">
        <v>#DIV/0!</v>
      </c>
      <c r="O86" s="1961" t="e">
        <v>#DIV/0!</v>
      </c>
      <c r="P86" s="1961" t="e">
        <v>#REF!</v>
      </c>
      <c r="Q86" s="1961" t="e">
        <v>#REF!</v>
      </c>
      <c r="R86" s="1961" t="e">
        <v>#N/A</v>
      </c>
      <c r="S86" s="1902">
        <v>0</v>
      </c>
      <c r="T86" s="1902">
        <v>0</v>
      </c>
      <c r="U86" s="1902">
        <v>0</v>
      </c>
    </row>
    <row r="87" spans="2:24" ht="13.8" x14ac:dyDescent="0.3">
      <c r="B87" s="1880"/>
      <c r="C87" s="1880" t="s">
        <v>230</v>
      </c>
      <c r="D87" s="1930">
        <v>0</v>
      </c>
      <c r="E87" s="1880" t="s">
        <v>617</v>
      </c>
      <c r="F87" s="1880" t="s">
        <v>211</v>
      </c>
      <c r="G87" s="1889"/>
      <c r="H87" s="1889"/>
      <c r="I87" s="1900">
        <v>0</v>
      </c>
      <c r="J87" s="1883"/>
      <c r="K87" s="1883"/>
      <c r="L87" s="1912" t="e">
        <v>#REF!</v>
      </c>
      <c r="M87" s="1912" t="e">
        <v>#REF!</v>
      </c>
      <c r="N87" s="1961" t="e">
        <v>#DIV/0!</v>
      </c>
      <c r="O87" s="1961" t="e">
        <v>#DIV/0!</v>
      </c>
      <c r="P87" s="1961" t="e">
        <v>#REF!</v>
      </c>
      <c r="Q87" s="1961" t="e">
        <v>#REF!</v>
      </c>
      <c r="R87" s="1961" t="e">
        <v>#N/A</v>
      </c>
      <c r="S87" s="1902">
        <v>0</v>
      </c>
      <c r="T87" s="1902">
        <v>0</v>
      </c>
      <c r="U87" s="1902">
        <v>0</v>
      </c>
    </row>
    <row r="88" spans="2:24" ht="13.8" x14ac:dyDescent="0.3">
      <c r="B88" s="1880"/>
      <c r="C88" s="1880" t="s">
        <v>231</v>
      </c>
      <c r="D88" s="1930">
        <v>0</v>
      </c>
      <c r="E88" s="1880" t="s">
        <v>617</v>
      </c>
      <c r="F88" s="1880" t="s">
        <v>211</v>
      </c>
      <c r="G88" s="1889"/>
      <c r="H88" s="1889"/>
      <c r="I88" s="1900">
        <v>0</v>
      </c>
      <c r="J88" s="1883"/>
      <c r="K88" s="1883"/>
      <c r="L88" s="1912" t="e">
        <v>#REF!</v>
      </c>
      <c r="M88" s="1912" t="e">
        <v>#REF!</v>
      </c>
      <c r="N88" s="1961" t="e">
        <v>#DIV/0!</v>
      </c>
      <c r="O88" s="1961" t="e">
        <v>#DIV/0!</v>
      </c>
      <c r="P88" s="1961" t="e">
        <v>#REF!</v>
      </c>
      <c r="Q88" s="1961" t="e">
        <v>#REF!</v>
      </c>
      <c r="R88" s="1961" t="e">
        <v>#N/A</v>
      </c>
      <c r="S88" s="1902">
        <v>0</v>
      </c>
      <c r="T88" s="1902">
        <v>0</v>
      </c>
      <c r="U88" s="1902">
        <v>0</v>
      </c>
    </row>
    <row r="89" spans="2:24" ht="13.8" x14ac:dyDescent="0.3">
      <c r="B89" s="1880"/>
      <c r="C89" s="1880" t="s">
        <v>232</v>
      </c>
      <c r="D89" s="1930">
        <v>0</v>
      </c>
      <c r="E89" s="1880" t="s">
        <v>617</v>
      </c>
      <c r="F89" s="1880" t="s">
        <v>211</v>
      </c>
      <c r="G89" s="1889"/>
      <c r="H89" s="1889"/>
      <c r="I89" s="1900">
        <v>0</v>
      </c>
      <c r="J89" s="1883"/>
      <c r="K89" s="1883"/>
      <c r="L89" s="1912" t="e">
        <v>#REF!</v>
      </c>
      <c r="M89" s="1912" t="e">
        <v>#REF!</v>
      </c>
      <c r="N89" s="1961" t="e">
        <v>#DIV/0!</v>
      </c>
      <c r="O89" s="1961" t="e">
        <v>#DIV/0!</v>
      </c>
      <c r="P89" s="1961" t="e">
        <v>#REF!</v>
      </c>
      <c r="Q89" s="1961" t="e">
        <v>#REF!</v>
      </c>
      <c r="R89" s="1961" t="e">
        <v>#N/A</v>
      </c>
      <c r="S89" s="1902">
        <v>0</v>
      </c>
      <c r="T89" s="1902">
        <v>0</v>
      </c>
      <c r="U89" s="1902">
        <v>0</v>
      </c>
    </row>
    <row r="90" spans="2:24" ht="13.8" x14ac:dyDescent="0.3">
      <c r="B90" s="1880"/>
      <c r="C90" s="1880" t="s">
        <v>233</v>
      </c>
      <c r="D90" s="1930">
        <v>0</v>
      </c>
      <c r="E90" s="1880" t="s">
        <v>617</v>
      </c>
      <c r="F90" s="1880" t="s">
        <v>211</v>
      </c>
      <c r="G90" s="1889"/>
      <c r="H90" s="1889"/>
      <c r="I90" s="1900">
        <v>0</v>
      </c>
      <c r="J90" s="1883"/>
      <c r="K90" s="1883"/>
      <c r="L90" s="1912" t="e">
        <v>#REF!</v>
      </c>
      <c r="M90" s="1912" t="e">
        <v>#REF!</v>
      </c>
      <c r="N90" s="1961" t="e">
        <v>#DIV/0!</v>
      </c>
      <c r="O90" s="1961" t="e">
        <v>#DIV/0!</v>
      </c>
      <c r="P90" s="1961" t="e">
        <v>#REF!</v>
      </c>
      <c r="Q90" s="1961" t="e">
        <v>#REF!</v>
      </c>
      <c r="R90" s="1961" t="e">
        <v>#N/A</v>
      </c>
      <c r="S90" s="1902">
        <v>0</v>
      </c>
      <c r="T90" s="1902">
        <v>0</v>
      </c>
      <c r="U90" s="1902">
        <v>0</v>
      </c>
    </row>
    <row r="91" spans="2:24" ht="13.8" x14ac:dyDescent="0.3">
      <c r="B91" s="1880"/>
      <c r="C91" s="1880" t="s">
        <v>234</v>
      </c>
      <c r="D91" s="1930">
        <v>0</v>
      </c>
      <c r="E91" s="1880" t="s">
        <v>617</v>
      </c>
      <c r="F91" s="1880" t="s">
        <v>211</v>
      </c>
      <c r="G91" s="1889"/>
      <c r="H91" s="1889"/>
      <c r="I91" s="1900">
        <v>0</v>
      </c>
      <c r="J91" s="1883"/>
      <c r="K91" s="1883"/>
      <c r="L91" s="1912" t="e">
        <v>#REF!</v>
      </c>
      <c r="M91" s="1912" t="e">
        <v>#REF!</v>
      </c>
      <c r="N91" s="1961" t="e">
        <v>#DIV/0!</v>
      </c>
      <c r="O91" s="1961" t="e">
        <v>#DIV/0!</v>
      </c>
      <c r="P91" s="1961" t="e">
        <v>#REF!</v>
      </c>
      <c r="Q91" s="1961" t="e">
        <v>#REF!</v>
      </c>
      <c r="R91" s="1961" t="e">
        <v>#N/A</v>
      </c>
      <c r="S91" s="1902">
        <v>0</v>
      </c>
      <c r="T91" s="1902">
        <v>0</v>
      </c>
      <c r="U91" s="1902">
        <v>0</v>
      </c>
    </row>
    <row r="92" spans="2:24" ht="13.8" x14ac:dyDescent="0.3">
      <c r="B92" s="1880"/>
      <c r="C92" s="1880" t="s">
        <v>235</v>
      </c>
      <c r="D92" s="1930">
        <v>0</v>
      </c>
      <c r="E92" s="1880" t="s">
        <v>617</v>
      </c>
      <c r="F92" s="1880" t="s">
        <v>211</v>
      </c>
      <c r="G92" s="1889"/>
      <c r="H92" s="1889"/>
      <c r="I92" s="1900">
        <v>0</v>
      </c>
      <c r="J92" s="1883"/>
      <c r="K92" s="1883"/>
      <c r="L92" s="1912" t="e">
        <v>#REF!</v>
      </c>
      <c r="M92" s="1912" t="e">
        <v>#REF!</v>
      </c>
      <c r="N92" s="1961" t="e">
        <v>#DIV/0!</v>
      </c>
      <c r="O92" s="1961" t="e">
        <v>#DIV/0!</v>
      </c>
      <c r="P92" s="1961" t="e">
        <v>#REF!</v>
      </c>
      <c r="Q92" s="1961" t="e">
        <v>#REF!</v>
      </c>
      <c r="R92" s="1961" t="e">
        <v>#N/A</v>
      </c>
      <c r="S92" s="1902">
        <v>0</v>
      </c>
      <c r="T92" s="1902">
        <v>0</v>
      </c>
      <c r="U92" s="1902">
        <v>0</v>
      </c>
    </row>
    <row r="93" spans="2:24" ht="13.8" x14ac:dyDescent="0.3">
      <c r="B93" s="1880"/>
      <c r="C93" s="1880" t="s">
        <v>236</v>
      </c>
      <c r="D93" s="1930">
        <v>0</v>
      </c>
      <c r="E93" s="1880" t="s">
        <v>617</v>
      </c>
      <c r="F93" s="1880" t="s">
        <v>211</v>
      </c>
      <c r="G93" s="1889"/>
      <c r="H93" s="1889"/>
      <c r="I93" s="1900">
        <v>0</v>
      </c>
      <c r="J93" s="1883"/>
      <c r="K93" s="1883"/>
      <c r="L93" s="1912" t="e">
        <v>#REF!</v>
      </c>
      <c r="M93" s="1912" t="e">
        <v>#REF!</v>
      </c>
      <c r="N93" s="1961" t="e">
        <v>#DIV/0!</v>
      </c>
      <c r="O93" s="1961" t="e">
        <v>#DIV/0!</v>
      </c>
      <c r="P93" s="1961" t="e">
        <v>#REF!</v>
      </c>
      <c r="Q93" s="1961" t="e">
        <v>#REF!</v>
      </c>
      <c r="R93" s="1961" t="e">
        <v>#N/A</v>
      </c>
      <c r="S93" s="1902">
        <v>0</v>
      </c>
      <c r="T93" s="1902">
        <v>0</v>
      </c>
      <c r="U93" s="1902">
        <v>0</v>
      </c>
    </row>
    <row r="94" spans="2:24" ht="13.8" x14ac:dyDescent="0.3">
      <c r="B94" s="1880"/>
      <c r="C94" s="1880" t="s">
        <v>237</v>
      </c>
      <c r="D94" s="1930">
        <v>0</v>
      </c>
      <c r="E94" s="1880" t="s">
        <v>617</v>
      </c>
      <c r="F94" s="1880" t="s">
        <v>211</v>
      </c>
      <c r="G94" s="1889"/>
      <c r="H94" s="1889"/>
      <c r="I94" s="1900">
        <v>0</v>
      </c>
      <c r="J94" s="1883"/>
      <c r="K94" s="1883"/>
      <c r="L94" s="1912" t="e">
        <v>#REF!</v>
      </c>
      <c r="M94" s="1912" t="e">
        <v>#REF!</v>
      </c>
      <c r="N94" s="1961" t="e">
        <v>#DIV/0!</v>
      </c>
      <c r="O94" s="1961" t="e">
        <v>#DIV/0!</v>
      </c>
      <c r="P94" s="1961" t="e">
        <v>#REF!</v>
      </c>
      <c r="Q94" s="1961" t="e">
        <v>#REF!</v>
      </c>
      <c r="R94" s="1961" t="e">
        <v>#N/A</v>
      </c>
      <c r="S94" s="1902">
        <v>0</v>
      </c>
      <c r="T94" s="1902">
        <v>0</v>
      </c>
      <c r="U94" s="1902">
        <v>0</v>
      </c>
    </row>
    <row r="95" spans="2:24" ht="13.8" x14ac:dyDescent="0.3">
      <c r="B95" s="1880"/>
      <c r="C95" s="1880" t="s">
        <v>238</v>
      </c>
      <c r="D95" s="1930">
        <v>0</v>
      </c>
      <c r="E95" s="1880" t="s">
        <v>617</v>
      </c>
      <c r="F95" s="1880" t="s">
        <v>211</v>
      </c>
      <c r="G95" s="1889"/>
      <c r="H95" s="1889"/>
      <c r="I95" s="1900">
        <v>0</v>
      </c>
      <c r="J95" s="1883"/>
      <c r="K95" s="1883"/>
      <c r="L95" s="1912" t="e">
        <v>#REF!</v>
      </c>
      <c r="M95" s="1912" t="e">
        <v>#REF!</v>
      </c>
      <c r="N95" s="1961" t="e">
        <v>#DIV/0!</v>
      </c>
      <c r="O95" s="1961" t="e">
        <v>#DIV/0!</v>
      </c>
      <c r="P95" s="1961" t="e">
        <v>#REF!</v>
      </c>
      <c r="Q95" s="1961" t="e">
        <v>#REF!</v>
      </c>
      <c r="R95" s="1961" t="e">
        <v>#N/A</v>
      </c>
      <c r="S95" s="1902">
        <v>0</v>
      </c>
      <c r="T95" s="1902">
        <v>0</v>
      </c>
      <c r="U95" s="1902">
        <v>0</v>
      </c>
    </row>
    <row r="96" spans="2:24" ht="13.8" x14ac:dyDescent="0.3">
      <c r="B96" s="1880"/>
      <c r="C96" s="1880" t="s">
        <v>239</v>
      </c>
      <c r="D96" s="1930">
        <v>0</v>
      </c>
      <c r="E96" s="1880" t="s">
        <v>617</v>
      </c>
      <c r="F96" s="1880" t="s">
        <v>211</v>
      </c>
      <c r="G96" s="1889"/>
      <c r="H96" s="1889"/>
      <c r="I96" s="1900">
        <v>0</v>
      </c>
      <c r="J96" s="1883"/>
      <c r="K96" s="1883"/>
      <c r="L96" s="1912" t="e">
        <v>#REF!</v>
      </c>
      <c r="M96" s="1912" t="e">
        <v>#REF!</v>
      </c>
      <c r="N96" s="1961" t="e">
        <v>#DIV/0!</v>
      </c>
      <c r="O96" s="1961" t="e">
        <v>#DIV/0!</v>
      </c>
      <c r="P96" s="1961" t="e">
        <v>#REF!</v>
      </c>
      <c r="Q96" s="1961" t="e">
        <v>#REF!</v>
      </c>
      <c r="R96" s="1961" t="e">
        <v>#N/A</v>
      </c>
      <c r="S96" s="1902">
        <v>0</v>
      </c>
      <c r="T96" s="1902">
        <v>0</v>
      </c>
      <c r="U96" s="1902">
        <v>0</v>
      </c>
    </row>
    <row r="97" spans="2:21" ht="13.8" x14ac:dyDescent="0.3">
      <c r="B97" s="1880"/>
      <c r="C97" s="1880" t="s">
        <v>240</v>
      </c>
      <c r="D97" s="1930">
        <v>0</v>
      </c>
      <c r="E97" s="1880" t="s">
        <v>617</v>
      </c>
      <c r="F97" s="1880" t="s">
        <v>211</v>
      </c>
      <c r="G97" s="1889"/>
      <c r="H97" s="1889"/>
      <c r="I97" s="1900">
        <v>0</v>
      </c>
      <c r="J97" s="1883"/>
      <c r="K97" s="1883"/>
      <c r="L97" s="1912" t="e">
        <v>#REF!</v>
      </c>
      <c r="M97" s="1912" t="e">
        <v>#REF!</v>
      </c>
      <c r="N97" s="1961" t="e">
        <v>#DIV/0!</v>
      </c>
      <c r="O97" s="1961" t="e">
        <v>#DIV/0!</v>
      </c>
      <c r="P97" s="1961" t="e">
        <v>#REF!</v>
      </c>
      <c r="Q97" s="1961" t="e">
        <v>#REF!</v>
      </c>
      <c r="R97" s="1961" t="e">
        <v>#N/A</v>
      </c>
      <c r="S97" s="1902">
        <v>0</v>
      </c>
      <c r="T97" s="1902">
        <v>0</v>
      </c>
      <c r="U97" s="1902">
        <v>0</v>
      </c>
    </row>
    <row r="98" spans="2:21" ht="13.8" x14ac:dyDescent="0.3">
      <c r="B98" s="1880"/>
      <c r="C98" s="1880" t="s">
        <v>241</v>
      </c>
      <c r="D98" s="1930">
        <v>0</v>
      </c>
      <c r="E98" s="1880" t="s">
        <v>617</v>
      </c>
      <c r="F98" s="1880" t="s">
        <v>211</v>
      </c>
      <c r="G98" s="1889"/>
      <c r="H98" s="1889"/>
      <c r="I98" s="1900">
        <v>0</v>
      </c>
      <c r="J98" s="1883"/>
      <c r="K98" s="1883"/>
      <c r="L98" s="1912" t="e">
        <v>#REF!</v>
      </c>
      <c r="M98" s="1912" t="e">
        <v>#REF!</v>
      </c>
      <c r="N98" s="1961" t="e">
        <v>#DIV/0!</v>
      </c>
      <c r="O98" s="1961" t="e">
        <v>#DIV/0!</v>
      </c>
      <c r="P98" s="1961" t="e">
        <v>#REF!</v>
      </c>
      <c r="Q98" s="1961" t="e">
        <v>#REF!</v>
      </c>
      <c r="R98" s="1961" t="e">
        <v>#N/A</v>
      </c>
      <c r="S98" s="1902">
        <v>0</v>
      </c>
      <c r="T98" s="1902">
        <v>0</v>
      </c>
      <c r="U98" s="1902">
        <v>0</v>
      </c>
    </row>
    <row r="99" spans="2:21" ht="13.8" x14ac:dyDescent="0.3">
      <c r="B99" s="1880"/>
      <c r="C99" s="1880" t="s">
        <v>242</v>
      </c>
      <c r="D99" s="1930">
        <v>0</v>
      </c>
      <c r="E99" s="1880" t="s">
        <v>617</v>
      </c>
      <c r="F99" s="1880" t="s">
        <v>211</v>
      </c>
      <c r="G99" s="1889"/>
      <c r="H99" s="1889"/>
      <c r="I99" s="1900">
        <v>0</v>
      </c>
      <c r="J99" s="1883"/>
      <c r="K99" s="1883"/>
      <c r="L99" s="1912" t="e">
        <v>#REF!</v>
      </c>
      <c r="M99" s="1912" t="e">
        <v>#REF!</v>
      </c>
      <c r="N99" s="1961" t="e">
        <v>#DIV/0!</v>
      </c>
      <c r="O99" s="1961" t="e">
        <v>#DIV/0!</v>
      </c>
      <c r="P99" s="1961" t="e">
        <v>#REF!</v>
      </c>
      <c r="Q99" s="1961" t="e">
        <v>#REF!</v>
      </c>
      <c r="R99" s="1961" t="e">
        <v>#N/A</v>
      </c>
      <c r="S99" s="1902">
        <v>0</v>
      </c>
      <c r="T99" s="1902">
        <v>0</v>
      </c>
      <c r="U99" s="1902">
        <v>0</v>
      </c>
    </row>
    <row r="100" spans="2:21" ht="13.8" x14ac:dyDescent="0.3">
      <c r="B100" s="1880"/>
      <c r="C100" s="1880" t="s">
        <v>243</v>
      </c>
      <c r="D100" s="1930">
        <v>0</v>
      </c>
      <c r="E100" s="1880" t="s">
        <v>617</v>
      </c>
      <c r="F100" s="1880" t="s">
        <v>211</v>
      </c>
      <c r="G100" s="1889"/>
      <c r="H100" s="1889"/>
      <c r="I100" s="1900">
        <v>0</v>
      </c>
      <c r="J100" s="1883"/>
      <c r="K100" s="1883"/>
      <c r="L100" s="1912" t="e">
        <v>#REF!</v>
      </c>
      <c r="M100" s="1912" t="e">
        <v>#REF!</v>
      </c>
      <c r="N100" s="1961" t="e">
        <v>#DIV/0!</v>
      </c>
      <c r="O100" s="1961" t="e">
        <v>#DIV/0!</v>
      </c>
      <c r="P100" s="1961" t="e">
        <v>#REF!</v>
      </c>
      <c r="Q100" s="1961" t="e">
        <v>#REF!</v>
      </c>
      <c r="R100" s="1961" t="e">
        <v>#N/A</v>
      </c>
      <c r="S100" s="1902">
        <v>0</v>
      </c>
      <c r="T100" s="1902">
        <v>0</v>
      </c>
      <c r="U100" s="1902">
        <v>0</v>
      </c>
    </row>
    <row r="101" spans="2:21" ht="13.8" x14ac:dyDescent="0.3">
      <c r="B101" s="1880"/>
      <c r="C101" s="1880" t="s">
        <v>244</v>
      </c>
      <c r="D101" s="1930">
        <v>0</v>
      </c>
      <c r="E101" s="1880" t="s">
        <v>617</v>
      </c>
      <c r="F101" s="1880" t="s">
        <v>211</v>
      </c>
      <c r="G101" s="1889"/>
      <c r="H101" s="1889"/>
      <c r="I101" s="1900">
        <v>0</v>
      </c>
      <c r="J101" s="1883"/>
      <c r="K101" s="1883"/>
      <c r="L101" s="1912" t="e">
        <v>#REF!</v>
      </c>
      <c r="M101" s="1912" t="e">
        <v>#REF!</v>
      </c>
      <c r="N101" s="1961" t="e">
        <v>#DIV/0!</v>
      </c>
      <c r="O101" s="1961" t="e">
        <v>#DIV/0!</v>
      </c>
      <c r="P101" s="1961" t="e">
        <v>#REF!</v>
      </c>
      <c r="Q101" s="1961" t="e">
        <v>#REF!</v>
      </c>
      <c r="R101" s="1961" t="e">
        <v>#N/A</v>
      </c>
      <c r="S101" s="1902">
        <v>0</v>
      </c>
      <c r="T101" s="1902">
        <v>0</v>
      </c>
      <c r="U101" s="1902">
        <v>0</v>
      </c>
    </row>
    <row r="102" spans="2:21" ht="13.8" x14ac:dyDescent="0.3">
      <c r="B102" s="1880"/>
      <c r="C102" s="1880" t="s">
        <v>245</v>
      </c>
      <c r="D102" s="1930">
        <v>0</v>
      </c>
      <c r="E102" s="1880" t="s">
        <v>617</v>
      </c>
      <c r="F102" s="1880" t="s">
        <v>211</v>
      </c>
      <c r="G102" s="1889"/>
      <c r="H102" s="1889"/>
      <c r="I102" s="1900">
        <v>0</v>
      </c>
      <c r="J102" s="1883"/>
      <c r="K102" s="1883"/>
      <c r="L102" s="1912" t="e">
        <v>#REF!</v>
      </c>
      <c r="M102" s="1912" t="e">
        <v>#REF!</v>
      </c>
      <c r="N102" s="1961" t="e">
        <v>#DIV/0!</v>
      </c>
      <c r="O102" s="1961" t="e">
        <v>#DIV/0!</v>
      </c>
      <c r="P102" s="1961" t="e">
        <v>#REF!</v>
      </c>
      <c r="Q102" s="1961" t="e">
        <v>#REF!</v>
      </c>
      <c r="R102" s="1961" t="e">
        <v>#N/A</v>
      </c>
      <c r="S102" s="1902">
        <v>0</v>
      </c>
      <c r="T102" s="1902">
        <v>0</v>
      </c>
      <c r="U102" s="1902">
        <v>0</v>
      </c>
    </row>
    <row r="103" spans="2:21" ht="13.8" x14ac:dyDescent="0.3">
      <c r="B103" s="1880"/>
      <c r="C103" s="1880" t="s">
        <v>246</v>
      </c>
      <c r="D103" s="1930">
        <v>0</v>
      </c>
      <c r="E103" s="1880" t="s">
        <v>617</v>
      </c>
      <c r="F103" s="1880" t="s">
        <v>211</v>
      </c>
      <c r="G103" s="1889"/>
      <c r="H103" s="1889"/>
      <c r="I103" s="1900">
        <v>0</v>
      </c>
      <c r="J103" s="1883"/>
      <c r="K103" s="1883"/>
      <c r="L103" s="1912" t="e">
        <v>#REF!</v>
      </c>
      <c r="M103" s="1912" t="e">
        <v>#REF!</v>
      </c>
      <c r="N103" s="1961" t="e">
        <v>#DIV/0!</v>
      </c>
      <c r="O103" s="1961" t="e">
        <v>#DIV/0!</v>
      </c>
      <c r="P103" s="1961" t="e">
        <v>#REF!</v>
      </c>
      <c r="Q103" s="1961" t="e">
        <v>#REF!</v>
      </c>
      <c r="R103" s="1961" t="e">
        <v>#N/A</v>
      </c>
      <c r="S103" s="1902">
        <v>0</v>
      </c>
      <c r="T103" s="1902">
        <v>0</v>
      </c>
      <c r="U103" s="1902">
        <v>0</v>
      </c>
    </row>
    <row r="104" spans="2:21" ht="13.8" x14ac:dyDescent="0.3">
      <c r="B104" s="1880"/>
      <c r="C104" s="1880" t="s">
        <v>247</v>
      </c>
      <c r="D104" s="1930">
        <v>0</v>
      </c>
      <c r="E104" s="1880" t="s">
        <v>617</v>
      </c>
      <c r="F104" s="1880" t="s">
        <v>211</v>
      </c>
      <c r="G104" s="1889"/>
      <c r="H104" s="1889"/>
      <c r="I104" s="1900">
        <v>0</v>
      </c>
      <c r="J104" s="1883"/>
      <c r="K104" s="1883"/>
      <c r="L104" s="1912" t="e">
        <v>#REF!</v>
      </c>
      <c r="M104" s="1912" t="e">
        <v>#REF!</v>
      </c>
      <c r="N104" s="1961" t="e">
        <v>#DIV/0!</v>
      </c>
      <c r="O104" s="1961" t="e">
        <v>#DIV/0!</v>
      </c>
      <c r="P104" s="1961" t="e">
        <v>#REF!</v>
      </c>
      <c r="Q104" s="1961" t="e">
        <v>#REF!</v>
      </c>
      <c r="R104" s="1961" t="e">
        <v>#N/A</v>
      </c>
      <c r="S104" s="1902">
        <v>0</v>
      </c>
      <c r="T104" s="1902">
        <v>0</v>
      </c>
      <c r="U104" s="1902">
        <v>0</v>
      </c>
    </row>
    <row r="105" spans="2:21" ht="13.8" x14ac:dyDescent="0.3">
      <c r="B105" s="1880"/>
      <c r="C105" s="1880" t="s">
        <v>248</v>
      </c>
      <c r="D105" s="1930">
        <v>0</v>
      </c>
      <c r="E105" s="1880" t="s">
        <v>617</v>
      </c>
      <c r="F105" s="1880" t="s">
        <v>211</v>
      </c>
      <c r="G105" s="1889"/>
      <c r="H105" s="1889"/>
      <c r="I105" s="1900">
        <v>0</v>
      </c>
      <c r="J105" s="1883"/>
      <c r="K105" s="1883"/>
      <c r="L105" s="1912" t="e">
        <v>#REF!</v>
      </c>
      <c r="M105" s="1912" t="e">
        <v>#REF!</v>
      </c>
      <c r="N105" s="1961" t="e">
        <v>#DIV/0!</v>
      </c>
      <c r="O105" s="1961" t="e">
        <v>#DIV/0!</v>
      </c>
      <c r="P105" s="1961" t="e">
        <v>#REF!</v>
      </c>
      <c r="Q105" s="1961" t="e">
        <v>#REF!</v>
      </c>
      <c r="R105" s="1961" t="e">
        <v>#N/A</v>
      </c>
      <c r="S105" s="1902">
        <v>0</v>
      </c>
      <c r="T105" s="1902">
        <v>0</v>
      </c>
      <c r="U105" s="1902">
        <v>0</v>
      </c>
    </row>
    <row r="106" spans="2:21" ht="13.8" x14ac:dyDescent="0.3">
      <c r="B106" s="1880"/>
      <c r="C106" s="1880" t="s">
        <v>249</v>
      </c>
      <c r="D106" s="1930">
        <v>0</v>
      </c>
      <c r="E106" s="1880" t="s">
        <v>617</v>
      </c>
      <c r="F106" s="1880" t="s">
        <v>211</v>
      </c>
      <c r="G106" s="1889"/>
      <c r="H106" s="1889"/>
      <c r="I106" s="1900">
        <v>0</v>
      </c>
      <c r="J106" s="1883"/>
      <c r="K106" s="1883"/>
      <c r="L106" s="1912" t="e">
        <v>#REF!</v>
      </c>
      <c r="M106" s="1912" t="e">
        <v>#REF!</v>
      </c>
      <c r="N106" s="1961" t="e">
        <v>#DIV/0!</v>
      </c>
      <c r="O106" s="1961" t="e">
        <v>#DIV/0!</v>
      </c>
      <c r="P106" s="1961" t="e">
        <v>#REF!</v>
      </c>
      <c r="Q106" s="1961" t="e">
        <v>#REF!</v>
      </c>
      <c r="R106" s="1961" t="e">
        <v>#N/A</v>
      </c>
      <c r="S106" s="1902">
        <v>0</v>
      </c>
      <c r="T106" s="1902">
        <v>0</v>
      </c>
      <c r="U106" s="1902">
        <v>0</v>
      </c>
    </row>
    <row r="107" spans="2:21" ht="13.8" x14ac:dyDescent="0.3">
      <c r="B107" s="1880"/>
      <c r="C107" s="1880" t="s">
        <v>250</v>
      </c>
      <c r="D107" s="1930">
        <v>0</v>
      </c>
      <c r="E107" s="1880" t="s">
        <v>617</v>
      </c>
      <c r="F107" s="1880" t="s">
        <v>211</v>
      </c>
      <c r="G107" s="1889"/>
      <c r="H107" s="1889"/>
      <c r="I107" s="1900">
        <v>0</v>
      </c>
      <c r="J107" s="1883"/>
      <c r="K107" s="1883"/>
      <c r="L107" s="1912" t="e">
        <v>#REF!</v>
      </c>
      <c r="M107" s="1912" t="e">
        <v>#REF!</v>
      </c>
      <c r="N107" s="1961" t="e">
        <v>#DIV/0!</v>
      </c>
      <c r="O107" s="1961" t="e">
        <v>#DIV/0!</v>
      </c>
      <c r="P107" s="1961" t="e">
        <v>#REF!</v>
      </c>
      <c r="Q107" s="1961" t="e">
        <v>#REF!</v>
      </c>
      <c r="R107" s="1961" t="e">
        <v>#N/A</v>
      </c>
      <c r="S107" s="1902">
        <v>0</v>
      </c>
      <c r="T107" s="1902">
        <v>0</v>
      </c>
      <c r="U107" s="1902">
        <v>0</v>
      </c>
    </row>
    <row r="108" spans="2:21" ht="14.4" thickBot="1" x14ac:dyDescent="0.35">
      <c r="B108" s="1880"/>
      <c r="C108" s="1880" t="s">
        <v>251</v>
      </c>
      <c r="D108" s="1930">
        <v>0</v>
      </c>
      <c r="E108" s="1880" t="s">
        <v>617</v>
      </c>
      <c r="F108" s="1880" t="s">
        <v>211</v>
      </c>
      <c r="G108" s="1889"/>
      <c r="H108" s="1889"/>
      <c r="I108" s="1900">
        <v>0</v>
      </c>
      <c r="J108" s="1883"/>
      <c r="K108" s="1883"/>
      <c r="L108" s="1915" t="e">
        <v>#REF!</v>
      </c>
      <c r="M108" s="1915" t="e">
        <v>#REF!</v>
      </c>
      <c r="N108" s="1962" t="e">
        <v>#DIV/0!</v>
      </c>
      <c r="O108" s="1962" t="e">
        <v>#DIV/0!</v>
      </c>
      <c r="P108" s="1961" t="e">
        <v>#REF!</v>
      </c>
      <c r="Q108" s="1962" t="e">
        <v>#REF!</v>
      </c>
      <c r="R108" s="1962" t="e">
        <v>#N/A</v>
      </c>
      <c r="S108" s="1902">
        <v>0</v>
      </c>
      <c r="T108" s="1902">
        <v>0</v>
      </c>
      <c r="U108" s="1902">
        <v>0</v>
      </c>
    </row>
    <row r="109" spans="2:21" ht="14.4" thickBot="1" x14ac:dyDescent="0.35">
      <c r="B109" s="1876"/>
      <c r="C109" s="1876"/>
      <c r="D109" s="1876"/>
      <c r="E109" s="1876"/>
      <c r="F109" s="1876"/>
      <c r="G109" s="1914">
        <v>0</v>
      </c>
      <c r="H109" s="1901">
        <v>0</v>
      </c>
      <c r="I109" s="1913">
        <v>0</v>
      </c>
      <c r="J109" s="1879" t="e">
        <v>#DIV/0!</v>
      </c>
      <c r="K109" s="1877"/>
      <c r="L109" s="1916" t="e">
        <v>#N/A</v>
      </c>
      <c r="M109" s="1917" t="e">
        <v>#N/A</v>
      </c>
      <c r="N109" s="1945" t="e">
        <v>#DIV/0!</v>
      </c>
      <c r="O109" s="1945" t="e">
        <v>#DIV/0!</v>
      </c>
      <c r="P109" s="1945" t="e">
        <v>#N/A</v>
      </c>
      <c r="Q109" s="1946" t="e">
        <v>#N/A</v>
      </c>
      <c r="R109" s="1946" t="e">
        <v>#DIV/0!</v>
      </c>
      <c r="S109" s="1903">
        <v>0</v>
      </c>
      <c r="T109" s="1903">
        <v>0</v>
      </c>
      <c r="U109" s="1903">
        <v>0</v>
      </c>
    </row>
  </sheetData>
  <customSheetViews>
    <customSheetView guid="{074EB09C-6289-46D7-9513-012B68BCA7BF}" showPageBreaks="1" topLeftCell="F1">
      <selection activeCell="F14" sqref="F14"/>
      <pageMargins left="0.7" right="0.7" top="0.75" bottom="0.75" header="0.3" footer="0.3"/>
      <pageSetup orientation="portrait" r:id="rId1"/>
    </customSheetView>
  </customSheetViews>
  <mergeCells count="14">
    <mergeCell ref="V65:X65"/>
    <mergeCell ref="Q5:R5"/>
    <mergeCell ref="S5:U5"/>
    <mergeCell ref="V5:V6"/>
    <mergeCell ref="P14:R14"/>
    <mergeCell ref="L65:R65"/>
    <mergeCell ref="I14:L14"/>
    <mergeCell ref="D13:E13"/>
    <mergeCell ref="I13:L13"/>
    <mergeCell ref="M13:N13"/>
    <mergeCell ref="S65:U65"/>
    <mergeCell ref="M14:O14"/>
    <mergeCell ref="I15:K15"/>
    <mergeCell ref="C14:F14"/>
  </mergeCells>
  <pageMargins left="0.21" right="0.21" top="0.32" bottom="0.39" header="0.3" footer="0.3"/>
  <pageSetup paperSize="17" scale="51" orientation="landscape"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104"/>
  <sheetViews>
    <sheetView workbookViewId="0">
      <pane xSplit="1" ySplit="1" topLeftCell="B2" activePane="bottomRight" state="frozen"/>
      <selection pane="topRight" activeCell="B1" sqref="B1"/>
      <selection pane="bottomLeft" activeCell="A2" sqref="A2"/>
      <selection pane="bottomRight" activeCell="C7" sqref="C7"/>
    </sheetView>
  </sheetViews>
  <sheetFormatPr defaultRowHeight="13.2" x14ac:dyDescent="0.25"/>
  <cols>
    <col min="1" max="1" width="15.44140625" style="3369" customWidth="1"/>
    <col min="2" max="2" width="16.88671875" customWidth="1"/>
    <col min="3" max="3" width="33.5546875" customWidth="1"/>
    <col min="4" max="6" width="12.44140625" customWidth="1"/>
    <col min="7" max="7" width="14.5546875" customWidth="1"/>
    <col min="8" max="10" width="12.44140625" customWidth="1"/>
    <col min="11" max="11" width="16" customWidth="1"/>
    <col min="12" max="15" width="12.44140625" customWidth="1"/>
    <col min="16" max="18" width="13.109375" customWidth="1"/>
  </cols>
  <sheetData>
    <row r="1" spans="2:22" ht="42" customHeight="1" thickBot="1" x14ac:dyDescent="0.35">
      <c r="B1" s="3881"/>
      <c r="C1" s="1976"/>
      <c r="D1" s="1976"/>
      <c r="E1" s="1976"/>
      <c r="F1" s="1987"/>
      <c r="G1" s="1987">
        <v>18230671</v>
      </c>
      <c r="H1" s="3698" t="s">
        <v>1209</v>
      </c>
      <c r="I1" s="1987"/>
      <c r="J1" s="1976"/>
      <c r="K1" s="1976"/>
      <c r="L1" s="1976"/>
      <c r="M1" s="1976"/>
      <c r="N1" s="1976"/>
      <c r="O1" s="1976"/>
      <c r="P1" s="1976"/>
      <c r="Q1" s="1976"/>
      <c r="R1" s="1976"/>
      <c r="S1" s="1976"/>
      <c r="T1" s="1976"/>
      <c r="U1" s="1976"/>
      <c r="V1" s="1976"/>
    </row>
    <row r="2" spans="2:22" ht="16.2" thickBot="1" x14ac:dyDescent="0.35">
      <c r="B2" s="1987" t="s">
        <v>131</v>
      </c>
      <c r="C2" s="4521" t="s">
        <v>903</v>
      </c>
      <c r="D2" s="1976"/>
      <c r="E2" s="1976"/>
      <c r="F2" s="1976"/>
      <c r="G2" s="1994" t="s">
        <v>8</v>
      </c>
      <c r="H2" s="1976"/>
      <c r="I2" s="1976"/>
      <c r="J2" s="1976"/>
      <c r="K2" s="1976"/>
      <c r="L2" s="1976"/>
      <c r="M2" s="1976"/>
      <c r="N2" s="1976"/>
      <c r="O2" s="1976"/>
      <c r="P2" s="1976"/>
      <c r="Q2" s="4798" t="s">
        <v>612</v>
      </c>
      <c r="R2" s="4798"/>
      <c r="S2" s="4785" t="s">
        <v>132</v>
      </c>
      <c r="T2" s="4786"/>
      <c r="U2" s="4787"/>
      <c r="V2" s="4793" t="s">
        <v>133</v>
      </c>
    </row>
    <row r="3" spans="2:22" ht="16.2" thickBot="1" x14ac:dyDescent="0.35">
      <c r="B3" s="2019" t="s">
        <v>6</v>
      </c>
      <c r="C3" s="2019">
        <v>18230671</v>
      </c>
      <c r="D3" s="1976"/>
      <c r="E3" s="1976"/>
      <c r="F3" s="1976"/>
      <c r="G3" s="2005" t="s">
        <v>9</v>
      </c>
      <c r="H3" s="2004" t="s">
        <v>10</v>
      </c>
      <c r="I3" s="2004" t="s">
        <v>11</v>
      </c>
      <c r="J3" s="2004" t="s">
        <v>12</v>
      </c>
      <c r="K3" s="2004" t="s">
        <v>13</v>
      </c>
      <c r="L3" s="2004" t="s">
        <v>14</v>
      </c>
      <c r="M3" s="2004" t="s">
        <v>15</v>
      </c>
      <c r="N3" s="2004" t="s">
        <v>16</v>
      </c>
      <c r="O3" s="2004" t="s">
        <v>134</v>
      </c>
      <c r="P3" s="2004" t="s">
        <v>135</v>
      </c>
      <c r="Q3" s="2006" t="s">
        <v>18</v>
      </c>
      <c r="R3" s="2006" t="s">
        <v>136</v>
      </c>
      <c r="S3" s="1996" t="s">
        <v>137</v>
      </c>
      <c r="T3" s="1996" t="s">
        <v>12</v>
      </c>
      <c r="U3" s="1997" t="s">
        <v>138</v>
      </c>
      <c r="V3" s="4794"/>
    </row>
    <row r="4" spans="2:22" ht="16.8" thickTop="1" thickBot="1" x14ac:dyDescent="0.35">
      <c r="B4" s="2019" t="s">
        <v>139</v>
      </c>
      <c r="C4" s="4516" t="s">
        <v>1290</v>
      </c>
      <c r="D4" s="3874" t="s">
        <v>1208</v>
      </c>
      <c r="E4" s="3875"/>
      <c r="F4" s="1987">
        <v>2011</v>
      </c>
      <c r="G4" s="2038">
        <v>24976</v>
      </c>
      <c r="H4" s="2039">
        <v>0</v>
      </c>
      <c r="I4" s="2039">
        <v>15735</v>
      </c>
      <c r="J4" s="2039">
        <v>996</v>
      </c>
      <c r="K4" s="2039">
        <v>54</v>
      </c>
      <c r="L4" s="2039">
        <v>8004</v>
      </c>
      <c r="M4" s="2039">
        <v>0</v>
      </c>
      <c r="N4" s="2039">
        <v>0</v>
      </c>
      <c r="O4" s="2039">
        <v>0</v>
      </c>
      <c r="P4" s="2039">
        <v>0</v>
      </c>
      <c r="Q4" s="2043">
        <v>49765</v>
      </c>
      <c r="R4" s="2050">
        <v>0</v>
      </c>
      <c r="S4" s="2072">
        <v>0</v>
      </c>
      <c r="T4" s="2072">
        <v>2.0014066110720385E-2</v>
      </c>
      <c r="U4" s="2072">
        <v>0.16083592886566864</v>
      </c>
      <c r="V4" s="2074" t="e">
        <v>#DIV/0!</v>
      </c>
    </row>
    <row r="5" spans="2:22" ht="16.8" thickTop="1" thickBot="1" x14ac:dyDescent="0.35">
      <c r="B5" s="1987" t="s">
        <v>34</v>
      </c>
      <c r="C5" s="1976"/>
      <c r="D5" s="1976"/>
      <c r="E5" s="1976"/>
      <c r="F5" s="1987">
        <v>2012</v>
      </c>
      <c r="G5" s="2040">
        <f>D12</f>
        <v>8290</v>
      </c>
      <c r="H5" s="2041">
        <f>D17</f>
        <v>0</v>
      </c>
      <c r="I5" s="2041">
        <f>D22</f>
        <v>5222.7</v>
      </c>
      <c r="J5" s="2041">
        <f>D27</f>
        <v>0</v>
      </c>
      <c r="K5" s="2041">
        <f>D32</f>
        <v>185</v>
      </c>
      <c r="L5" s="2041">
        <f>D37</f>
        <v>4225</v>
      </c>
      <c r="M5" s="2041">
        <f>D42</f>
        <v>1300</v>
      </c>
      <c r="N5" s="2041">
        <f>D47</f>
        <v>0</v>
      </c>
      <c r="O5" s="2041">
        <f>D52</f>
        <v>0</v>
      </c>
      <c r="P5" s="2041">
        <f>D53</f>
        <v>0</v>
      </c>
      <c r="Q5" s="2042">
        <f>SUM(G5:P5)</f>
        <v>19222.7</v>
      </c>
      <c r="R5" s="2062">
        <v>0</v>
      </c>
      <c r="S5" s="2073">
        <v>0</v>
      </c>
      <c r="T5" s="2073">
        <v>1.4375793004681619E-2</v>
      </c>
      <c r="U5" s="2073">
        <v>0.53909223767556069</v>
      </c>
      <c r="V5" s="2075" t="e">
        <v>#DIV/0!</v>
      </c>
    </row>
    <row r="6" spans="2:22" ht="16.2" thickBot="1" x14ac:dyDescent="0.35">
      <c r="B6" s="1976"/>
      <c r="C6" s="1987" t="s">
        <v>886</v>
      </c>
      <c r="D6" s="1976"/>
      <c r="E6" s="1976"/>
      <c r="F6" s="1987">
        <v>2013</v>
      </c>
      <c r="G6" s="2051">
        <f>E12</f>
        <v>8303</v>
      </c>
      <c r="H6" s="2052">
        <f>E17</f>
        <v>0</v>
      </c>
      <c r="I6" s="2052">
        <f>E22</f>
        <v>5230.8900000000003</v>
      </c>
      <c r="J6" s="2052">
        <f>E27</f>
        <v>0</v>
      </c>
      <c r="K6" s="2052">
        <f>E32</f>
        <v>185</v>
      </c>
      <c r="L6" s="2052">
        <f>E37</f>
        <v>4225</v>
      </c>
      <c r="M6" s="2052">
        <f>E42</f>
        <v>1300</v>
      </c>
      <c r="N6" s="2052">
        <f>E47</f>
        <v>0</v>
      </c>
      <c r="O6" s="2052">
        <f>E52</f>
        <v>0</v>
      </c>
      <c r="P6" s="2052">
        <f>E53</f>
        <v>0</v>
      </c>
      <c r="Q6" s="2042">
        <f>SUM(G6:P6)</f>
        <v>19243.89</v>
      </c>
      <c r="R6" s="2062">
        <v>0</v>
      </c>
      <c r="S6" s="2073">
        <v>0</v>
      </c>
      <c r="T6" s="2073">
        <v>2.4232893501564733E-2</v>
      </c>
      <c r="U6" s="2073">
        <v>0.5274217997399383</v>
      </c>
      <c r="V6" s="2075" t="e">
        <v>#DIV/0!</v>
      </c>
    </row>
    <row r="7" spans="2:22" ht="16.2" thickBot="1" x14ac:dyDescent="0.35">
      <c r="B7" s="1976"/>
      <c r="C7" s="2066" t="s">
        <v>873</v>
      </c>
      <c r="D7" s="1976"/>
      <c r="E7" s="1976"/>
      <c r="F7" s="2053" t="s">
        <v>178</v>
      </c>
      <c r="G7" s="2054">
        <f>SUM(G5:G6)</f>
        <v>16593</v>
      </c>
      <c r="H7" s="2257">
        <f t="shared" ref="H7:Q7" si="0">SUM(H5:H6)</f>
        <v>0</v>
      </c>
      <c r="I7" s="2257">
        <f t="shared" si="0"/>
        <v>10453.59</v>
      </c>
      <c r="J7" s="2257">
        <f t="shared" si="0"/>
        <v>0</v>
      </c>
      <c r="K7" s="2257">
        <f t="shared" si="0"/>
        <v>370</v>
      </c>
      <c r="L7" s="2257">
        <f t="shared" si="0"/>
        <v>8450</v>
      </c>
      <c r="M7" s="2257">
        <f t="shared" si="0"/>
        <v>2600</v>
      </c>
      <c r="N7" s="2257">
        <f t="shared" si="0"/>
        <v>0</v>
      </c>
      <c r="O7" s="2257">
        <f t="shared" si="0"/>
        <v>0</v>
      </c>
      <c r="P7" s="2257">
        <f t="shared" si="0"/>
        <v>0</v>
      </c>
      <c r="Q7" s="2257">
        <f t="shared" si="0"/>
        <v>38466.589999999997</v>
      </c>
      <c r="R7" s="2063">
        <v>0</v>
      </c>
      <c r="S7" s="2073">
        <v>0</v>
      </c>
      <c r="T7" s="2073">
        <v>1.9325198426842959E-2</v>
      </c>
      <c r="U7" s="2073">
        <v>0.53323232696288902</v>
      </c>
      <c r="V7" s="2075" t="e">
        <v>#DIV/0!</v>
      </c>
    </row>
    <row r="9" spans="2:22" ht="14.4" thickBot="1" x14ac:dyDescent="0.35">
      <c r="B9" s="1976"/>
      <c r="C9" s="2033" t="s">
        <v>141</v>
      </c>
      <c r="D9" s="4795" t="s">
        <v>142</v>
      </c>
      <c r="E9" s="4795"/>
      <c r="F9" s="1976"/>
      <c r="G9" s="1976"/>
      <c r="H9" s="1976"/>
      <c r="I9" s="4796" t="s">
        <v>143</v>
      </c>
      <c r="J9" s="4796"/>
      <c r="K9" s="4796"/>
      <c r="L9" s="4796"/>
      <c r="M9" s="4797" t="s">
        <v>142</v>
      </c>
      <c r="N9" s="4797"/>
      <c r="O9" s="1976"/>
      <c r="P9" s="1976"/>
      <c r="Q9" s="1976"/>
      <c r="R9" s="1976"/>
      <c r="S9" s="1976"/>
      <c r="T9" s="1976"/>
      <c r="U9" s="1976"/>
      <c r="V9" s="1976"/>
    </row>
    <row r="10" spans="2:22" ht="16.2" thickBot="1" x14ac:dyDescent="0.35">
      <c r="B10" s="2037" t="s">
        <v>144</v>
      </c>
      <c r="C10" s="4788" t="s">
        <v>145</v>
      </c>
      <c r="D10" s="4788"/>
      <c r="E10" s="4788"/>
      <c r="F10" s="4789"/>
      <c r="G10" s="1976"/>
      <c r="H10" s="1976"/>
      <c r="I10" s="4785" t="s">
        <v>146</v>
      </c>
      <c r="J10" s="4786"/>
      <c r="K10" s="4786"/>
      <c r="L10" s="4787"/>
      <c r="M10" s="4785" t="s">
        <v>147</v>
      </c>
      <c r="N10" s="4786"/>
      <c r="O10" s="4787"/>
      <c r="P10" s="4785" t="s">
        <v>148</v>
      </c>
      <c r="Q10" s="4786"/>
      <c r="R10" s="4787"/>
      <c r="S10" s="1976"/>
      <c r="T10" s="2036" t="s">
        <v>149</v>
      </c>
      <c r="U10" s="1976"/>
      <c r="V10" s="1976"/>
    </row>
    <row r="11" spans="2:22" ht="16.2" thickBot="1" x14ac:dyDescent="0.35">
      <c r="B11" s="2047">
        <v>2011</v>
      </c>
      <c r="C11" s="2035" t="s">
        <v>150</v>
      </c>
      <c r="D11" s="2031">
        <v>2012</v>
      </c>
      <c r="E11" s="2031">
        <v>2013</v>
      </c>
      <c r="F11" s="2031" t="s">
        <v>151</v>
      </c>
      <c r="G11" s="1976"/>
      <c r="H11" s="1995"/>
      <c r="I11" s="4790" t="s">
        <v>152</v>
      </c>
      <c r="J11" s="4791"/>
      <c r="K11" s="4792"/>
      <c r="L11" s="2027" t="s">
        <v>153</v>
      </c>
      <c r="M11" s="2028" t="s">
        <v>154</v>
      </c>
      <c r="N11" s="2029" t="s">
        <v>155</v>
      </c>
      <c r="O11" s="2030" t="s">
        <v>156</v>
      </c>
      <c r="P11" s="2028" t="s">
        <v>157</v>
      </c>
      <c r="Q11" s="2028" t="s">
        <v>158</v>
      </c>
      <c r="R11" s="2030" t="s">
        <v>159</v>
      </c>
      <c r="S11" s="1976"/>
      <c r="T11" s="2037" t="s">
        <v>160</v>
      </c>
      <c r="U11" s="1976"/>
      <c r="V11" s="1976"/>
    </row>
    <row r="12" spans="2:22" ht="14.4" thickBot="1" x14ac:dyDescent="0.35">
      <c r="B12" s="2044">
        <v>24976</v>
      </c>
      <c r="C12" s="2007" t="s">
        <v>161</v>
      </c>
      <c r="D12" s="2008">
        <f>SUM(D13:D16)</f>
        <v>8290</v>
      </c>
      <c r="E12" s="2212">
        <f>SUM(E13:E16)</f>
        <v>8303</v>
      </c>
      <c r="F12" s="2212">
        <f>SUM(F13:F16)</f>
        <v>16593</v>
      </c>
      <c r="G12" s="1976"/>
      <c r="H12" s="1998"/>
      <c r="I12" s="2022" t="s">
        <v>409</v>
      </c>
      <c r="J12" s="2025"/>
      <c r="K12" s="2026"/>
      <c r="L12" s="2055">
        <v>0</v>
      </c>
      <c r="M12" s="1983">
        <v>0</v>
      </c>
      <c r="N12" s="1983">
        <v>0</v>
      </c>
      <c r="O12" s="1999">
        <v>0</v>
      </c>
      <c r="P12" s="2056">
        <v>0</v>
      </c>
      <c r="Q12" s="2056">
        <v>0</v>
      </c>
      <c r="R12" s="2057">
        <v>0</v>
      </c>
      <c r="S12" s="1976"/>
      <c r="T12" s="1983"/>
      <c r="U12" s="1976"/>
      <c r="V12" s="1976"/>
    </row>
    <row r="13" spans="2:22" ht="13.8" x14ac:dyDescent="0.3">
      <c r="B13" s="2045"/>
      <c r="C13" s="1988" t="s">
        <v>889</v>
      </c>
      <c r="D13" s="1991">
        <v>8290</v>
      </c>
      <c r="E13" s="1991">
        <v>8303</v>
      </c>
      <c r="F13" s="1990">
        <f>SUM(D13:E13)</f>
        <v>16593</v>
      </c>
      <c r="G13" s="1976"/>
      <c r="H13" s="1998"/>
      <c r="I13" s="2022" t="s">
        <v>410</v>
      </c>
      <c r="J13" s="2025"/>
      <c r="K13" s="2026"/>
      <c r="L13" s="2055">
        <v>0</v>
      </c>
      <c r="M13" s="1983">
        <v>0</v>
      </c>
      <c r="N13" s="1983">
        <v>0</v>
      </c>
      <c r="O13" s="1999">
        <v>0</v>
      </c>
      <c r="P13" s="2056">
        <v>0</v>
      </c>
      <c r="Q13" s="2056">
        <v>0</v>
      </c>
      <c r="R13" s="2057">
        <v>0</v>
      </c>
      <c r="S13" s="1976"/>
      <c r="T13" s="1980"/>
      <c r="U13" s="1976"/>
      <c r="V13" s="1976"/>
    </row>
    <row r="14" spans="2:22" ht="13.8" x14ac:dyDescent="0.3">
      <c r="B14" s="2046"/>
      <c r="C14" s="1982"/>
      <c r="D14" s="1990">
        <v>0</v>
      </c>
      <c r="E14" s="1990">
        <v>0</v>
      </c>
      <c r="F14" s="3479">
        <f>SUM(D14:E14)</f>
        <v>0</v>
      </c>
      <c r="G14" s="1976"/>
      <c r="H14" s="1998"/>
      <c r="I14" s="2022" t="s">
        <v>411</v>
      </c>
      <c r="J14" s="2025"/>
      <c r="K14" s="2026"/>
      <c r="L14" s="2055">
        <v>0</v>
      </c>
      <c r="M14" s="1983">
        <v>0</v>
      </c>
      <c r="N14" s="1983">
        <v>0</v>
      </c>
      <c r="O14" s="1999">
        <v>0</v>
      </c>
      <c r="P14" s="2056">
        <v>0</v>
      </c>
      <c r="Q14" s="2056">
        <v>0</v>
      </c>
      <c r="R14" s="2057">
        <v>0</v>
      </c>
      <c r="S14" s="1976"/>
      <c r="T14" s="1980"/>
      <c r="U14" s="1976"/>
      <c r="V14" s="1976"/>
    </row>
    <row r="15" spans="2:22" ht="13.8" x14ac:dyDescent="0.3">
      <c r="B15" s="2046"/>
      <c r="C15" s="1982"/>
      <c r="D15" s="1990">
        <v>0</v>
      </c>
      <c r="E15" s="1990">
        <v>0</v>
      </c>
      <c r="F15" s="3479">
        <f>SUM(D15:E15)</f>
        <v>0</v>
      </c>
      <c r="G15" s="1976"/>
      <c r="H15" s="1998"/>
      <c r="I15" s="2022" t="s">
        <v>213</v>
      </c>
      <c r="J15" s="2025"/>
      <c r="K15" s="2026"/>
      <c r="L15" s="2055">
        <v>0</v>
      </c>
      <c r="M15" s="1983">
        <v>0</v>
      </c>
      <c r="N15" s="1983">
        <v>0</v>
      </c>
      <c r="O15" s="1999">
        <v>0</v>
      </c>
      <c r="P15" s="2056">
        <v>0</v>
      </c>
      <c r="Q15" s="2056">
        <v>0</v>
      </c>
      <c r="R15" s="2057">
        <v>0</v>
      </c>
      <c r="S15" s="1976"/>
      <c r="T15" s="1980"/>
      <c r="U15" s="1976"/>
      <c r="V15" s="1976"/>
    </row>
    <row r="16" spans="2:22" ht="14.4" thickBot="1" x14ac:dyDescent="0.35">
      <c r="B16" s="2046"/>
      <c r="C16" s="1982"/>
      <c r="D16" s="1990">
        <v>0</v>
      </c>
      <c r="E16" s="1990">
        <v>0</v>
      </c>
      <c r="F16" s="3479">
        <f>SUM(D16:E16)</f>
        <v>0</v>
      </c>
      <c r="G16" s="1976"/>
      <c r="H16" s="1998"/>
      <c r="I16" s="2022" t="s">
        <v>214</v>
      </c>
      <c r="J16" s="2025"/>
      <c r="K16" s="2026"/>
      <c r="L16" s="2055">
        <v>0</v>
      </c>
      <c r="M16" s="1983">
        <v>0</v>
      </c>
      <c r="N16" s="1983">
        <v>0</v>
      </c>
      <c r="O16" s="1999">
        <v>0</v>
      </c>
      <c r="P16" s="2056">
        <v>0</v>
      </c>
      <c r="Q16" s="2056">
        <v>0</v>
      </c>
      <c r="R16" s="2057">
        <v>0</v>
      </c>
      <c r="S16" s="1976"/>
      <c r="T16" s="1980"/>
      <c r="U16" s="1976"/>
      <c r="V16" s="1976"/>
    </row>
    <row r="17" spans="2:20" ht="14.4" thickBot="1" x14ac:dyDescent="0.35">
      <c r="B17" s="2044">
        <v>0</v>
      </c>
      <c r="C17" s="2007" t="s">
        <v>166</v>
      </c>
      <c r="D17" s="2008">
        <f>SUM(D18:D21)</f>
        <v>0</v>
      </c>
      <c r="E17" s="2212">
        <f>SUM(E18:E21)</f>
        <v>0</v>
      </c>
      <c r="F17" s="2212">
        <f>SUM(F18:F21)</f>
        <v>0</v>
      </c>
      <c r="G17" s="1976"/>
      <c r="H17" s="1998"/>
      <c r="I17" s="2022" t="s">
        <v>215</v>
      </c>
      <c r="J17" s="2025"/>
      <c r="K17" s="2026"/>
      <c r="L17" s="2055">
        <v>0</v>
      </c>
      <c r="M17" s="1983">
        <v>0</v>
      </c>
      <c r="N17" s="1983">
        <v>0</v>
      </c>
      <c r="O17" s="1999">
        <v>0</v>
      </c>
      <c r="P17" s="2056">
        <v>0</v>
      </c>
      <c r="Q17" s="2056">
        <v>0</v>
      </c>
      <c r="R17" s="2057">
        <v>0</v>
      </c>
      <c r="S17" s="1976"/>
      <c r="T17" s="1980"/>
    </row>
    <row r="18" spans="2:20" ht="13.8" x14ac:dyDescent="0.3">
      <c r="B18" s="2045"/>
      <c r="C18" s="1982" t="s">
        <v>162</v>
      </c>
      <c r="D18" s="2068">
        <v>0</v>
      </c>
      <c r="E18" s="2068">
        <v>0</v>
      </c>
      <c r="F18" s="1990">
        <f>SUM(D18:E18)</f>
        <v>0</v>
      </c>
      <c r="G18" s="1976"/>
      <c r="H18" s="1998"/>
      <c r="I18" s="2022" t="s">
        <v>216</v>
      </c>
      <c r="J18" s="2025"/>
      <c r="K18" s="2026"/>
      <c r="L18" s="2055">
        <v>0</v>
      </c>
      <c r="M18" s="1983">
        <v>0</v>
      </c>
      <c r="N18" s="1983">
        <v>0</v>
      </c>
      <c r="O18" s="1999">
        <v>0</v>
      </c>
      <c r="P18" s="2056">
        <v>0</v>
      </c>
      <c r="Q18" s="2056">
        <v>0</v>
      </c>
      <c r="R18" s="2057">
        <v>0</v>
      </c>
      <c r="S18" s="1976"/>
      <c r="T18" s="1980"/>
    </row>
    <row r="19" spans="2:20" ht="13.8" x14ac:dyDescent="0.3">
      <c r="B19" s="2046"/>
      <c r="C19" s="1982" t="s">
        <v>163</v>
      </c>
      <c r="D19" s="2068">
        <v>0</v>
      </c>
      <c r="E19" s="2068">
        <v>0</v>
      </c>
      <c r="F19" s="3479">
        <f>SUM(D19:E19)</f>
        <v>0</v>
      </c>
      <c r="G19" s="1976"/>
      <c r="H19" s="1998"/>
      <c r="I19" s="2022" t="s">
        <v>217</v>
      </c>
      <c r="J19" s="2025"/>
      <c r="K19" s="2026"/>
      <c r="L19" s="2055">
        <v>0</v>
      </c>
      <c r="M19" s="1983">
        <v>0</v>
      </c>
      <c r="N19" s="1983">
        <v>0</v>
      </c>
      <c r="O19" s="1999">
        <v>0</v>
      </c>
      <c r="P19" s="2056">
        <v>0</v>
      </c>
      <c r="Q19" s="2056">
        <v>0</v>
      </c>
      <c r="R19" s="2057">
        <v>0</v>
      </c>
      <c r="S19" s="1976"/>
      <c r="T19" s="1980"/>
    </row>
    <row r="20" spans="2:20" ht="13.8" x14ac:dyDescent="0.3">
      <c r="B20" s="2046"/>
      <c r="C20" s="1982" t="s">
        <v>164</v>
      </c>
      <c r="D20" s="1992">
        <v>0</v>
      </c>
      <c r="E20" s="1992"/>
      <c r="F20" s="3479">
        <f>SUM(D20:E20)</f>
        <v>0</v>
      </c>
      <c r="G20" s="1976"/>
      <c r="H20" s="1998"/>
      <c r="I20" s="2022" t="s">
        <v>218</v>
      </c>
      <c r="J20" s="2025"/>
      <c r="K20" s="2026"/>
      <c r="L20" s="2055">
        <v>0</v>
      </c>
      <c r="M20" s="1983">
        <v>0</v>
      </c>
      <c r="N20" s="1983">
        <v>0</v>
      </c>
      <c r="O20" s="1999">
        <v>0</v>
      </c>
      <c r="P20" s="2056">
        <v>0</v>
      </c>
      <c r="Q20" s="2056">
        <v>0</v>
      </c>
      <c r="R20" s="2057">
        <v>0</v>
      </c>
      <c r="S20" s="1976"/>
      <c r="T20" s="1980"/>
    </row>
    <row r="21" spans="2:20" ht="14.4" thickBot="1" x14ac:dyDescent="0.35">
      <c r="B21" s="2046"/>
      <c r="C21" s="1982" t="s">
        <v>165</v>
      </c>
      <c r="D21" s="1992">
        <v>0</v>
      </c>
      <c r="E21" s="1992"/>
      <c r="F21" s="3479">
        <f>SUM(D21:E21)</f>
        <v>0</v>
      </c>
      <c r="G21" s="1976"/>
      <c r="H21" s="1998"/>
      <c r="I21" s="2022" t="s">
        <v>219</v>
      </c>
      <c r="J21" s="2025"/>
      <c r="K21" s="2026"/>
      <c r="L21" s="2055">
        <v>0</v>
      </c>
      <c r="M21" s="1983">
        <v>0</v>
      </c>
      <c r="N21" s="1983">
        <v>0</v>
      </c>
      <c r="O21" s="1999">
        <v>0</v>
      </c>
      <c r="P21" s="2056">
        <v>0</v>
      </c>
      <c r="Q21" s="2056">
        <v>0</v>
      </c>
      <c r="R21" s="2057">
        <v>0</v>
      </c>
      <c r="S21" s="1976"/>
      <c r="T21" s="1980"/>
    </row>
    <row r="22" spans="2:20" ht="14.4" thickBot="1" x14ac:dyDescent="0.35">
      <c r="B22" s="2044">
        <v>15735</v>
      </c>
      <c r="C22" s="2007" t="s">
        <v>167</v>
      </c>
      <c r="D22" s="2008">
        <f>SUM(D23:D26)</f>
        <v>5222.7</v>
      </c>
      <c r="E22" s="2212">
        <f>SUM(E23:E26)</f>
        <v>5230.8900000000003</v>
      </c>
      <c r="F22" s="2212">
        <f>SUM(F23:F26)</f>
        <v>10453.59</v>
      </c>
      <c r="G22" s="1981"/>
      <c r="H22" s="1998"/>
      <c r="I22" s="2022" t="s">
        <v>221</v>
      </c>
      <c r="J22" s="2025"/>
      <c r="K22" s="2026"/>
      <c r="L22" s="2055">
        <v>0</v>
      </c>
      <c r="M22" s="1983">
        <v>0</v>
      </c>
      <c r="N22" s="1983">
        <v>0</v>
      </c>
      <c r="O22" s="1999">
        <v>0</v>
      </c>
      <c r="P22" s="2056">
        <v>0</v>
      </c>
      <c r="Q22" s="2056">
        <v>0</v>
      </c>
      <c r="R22" s="2057">
        <v>0</v>
      </c>
      <c r="S22" s="1976"/>
      <c r="T22" s="1980"/>
    </row>
    <row r="23" spans="2:20" ht="13.8" x14ac:dyDescent="0.3">
      <c r="B23" s="2045"/>
      <c r="C23" s="1988" t="s">
        <v>168</v>
      </c>
      <c r="D23" s="1990">
        <f t="shared" ref="D23:E26" si="1">D13*0.63</f>
        <v>5222.7</v>
      </c>
      <c r="E23" s="3583">
        <f t="shared" si="1"/>
        <v>5230.8900000000003</v>
      </c>
      <c r="F23" s="1990">
        <f>SUM(D23:E23)</f>
        <v>10453.59</v>
      </c>
      <c r="G23" s="1976"/>
      <c r="H23" s="1998"/>
      <c r="I23" s="2022" t="s">
        <v>222</v>
      </c>
      <c r="J23" s="2025"/>
      <c r="K23" s="2026"/>
      <c r="L23" s="2055">
        <v>0</v>
      </c>
      <c r="M23" s="1983">
        <v>0</v>
      </c>
      <c r="N23" s="1983">
        <v>0</v>
      </c>
      <c r="O23" s="1999">
        <v>0</v>
      </c>
      <c r="P23" s="2056">
        <v>0</v>
      </c>
      <c r="Q23" s="2056">
        <v>0</v>
      </c>
      <c r="R23" s="2057">
        <v>0</v>
      </c>
      <c r="S23" s="1976"/>
      <c r="T23" s="1980"/>
    </row>
    <row r="24" spans="2:20" ht="13.8" x14ac:dyDescent="0.3">
      <c r="B24" s="2045"/>
      <c r="C24" s="1988" t="s">
        <v>169</v>
      </c>
      <c r="D24" s="3583">
        <f t="shared" si="1"/>
        <v>0</v>
      </c>
      <c r="E24" s="3583">
        <f t="shared" si="1"/>
        <v>0</v>
      </c>
      <c r="F24" s="3479">
        <f>SUM(D24:E24)</f>
        <v>0</v>
      </c>
      <c r="G24" s="1976"/>
      <c r="H24" s="1998"/>
      <c r="I24" s="2022" t="s">
        <v>223</v>
      </c>
      <c r="J24" s="2025"/>
      <c r="K24" s="2026"/>
      <c r="L24" s="2055">
        <v>0</v>
      </c>
      <c r="M24" s="1983">
        <v>0</v>
      </c>
      <c r="N24" s="1983">
        <v>0</v>
      </c>
      <c r="O24" s="1999">
        <v>0</v>
      </c>
      <c r="P24" s="2056">
        <v>0</v>
      </c>
      <c r="Q24" s="2056">
        <v>0</v>
      </c>
      <c r="R24" s="2057">
        <v>0</v>
      </c>
      <c r="S24" s="1976"/>
      <c r="T24" s="1980"/>
    </row>
    <row r="25" spans="2:20" ht="13.8" x14ac:dyDescent="0.3">
      <c r="B25" s="2046"/>
      <c r="C25" s="1982"/>
      <c r="D25" s="3583">
        <f t="shared" si="1"/>
        <v>0</v>
      </c>
      <c r="E25" s="3583">
        <f t="shared" si="1"/>
        <v>0</v>
      </c>
      <c r="F25" s="3479">
        <f>SUM(D25:E25)</f>
        <v>0</v>
      </c>
      <c r="G25" s="1976"/>
      <c r="H25" s="1998"/>
      <c r="I25" s="2022" t="s">
        <v>224</v>
      </c>
      <c r="J25" s="2025"/>
      <c r="K25" s="2026"/>
      <c r="L25" s="2055">
        <v>0</v>
      </c>
      <c r="M25" s="1983">
        <v>0</v>
      </c>
      <c r="N25" s="1983">
        <v>0</v>
      </c>
      <c r="O25" s="1999">
        <v>0</v>
      </c>
      <c r="P25" s="2056">
        <v>0</v>
      </c>
      <c r="Q25" s="2056">
        <v>0</v>
      </c>
      <c r="R25" s="2057">
        <v>0</v>
      </c>
      <c r="S25" s="1976"/>
      <c r="T25" s="1980"/>
    </row>
    <row r="26" spans="2:20" ht="14.4" thickBot="1" x14ac:dyDescent="0.35">
      <c r="B26" s="2046"/>
      <c r="C26" s="1982"/>
      <c r="D26" s="3583">
        <f t="shared" si="1"/>
        <v>0</v>
      </c>
      <c r="E26" s="3583">
        <f t="shared" si="1"/>
        <v>0</v>
      </c>
      <c r="F26" s="3479">
        <f>SUM(D26:E26)</f>
        <v>0</v>
      </c>
      <c r="G26" s="1976"/>
      <c r="H26" s="1998"/>
      <c r="I26" s="2022" t="s">
        <v>225</v>
      </c>
      <c r="J26" s="2025"/>
      <c r="K26" s="2026"/>
      <c r="L26" s="2055">
        <v>0</v>
      </c>
      <c r="M26" s="1983">
        <v>0</v>
      </c>
      <c r="N26" s="1983">
        <v>0</v>
      </c>
      <c r="O26" s="1999">
        <v>0</v>
      </c>
      <c r="P26" s="2056">
        <v>0</v>
      </c>
      <c r="Q26" s="2056">
        <v>0</v>
      </c>
      <c r="R26" s="2057">
        <v>0</v>
      </c>
      <c r="S26" s="1976"/>
      <c r="T26" s="1980"/>
    </row>
    <row r="27" spans="2:20" ht="14.4" thickBot="1" x14ac:dyDescent="0.35">
      <c r="B27" s="2044">
        <v>996</v>
      </c>
      <c r="C27" s="2007" t="s">
        <v>170</v>
      </c>
      <c r="D27" s="2008">
        <v>0</v>
      </c>
      <c r="E27" s="2008">
        <v>0</v>
      </c>
      <c r="F27" s="2009">
        <v>0</v>
      </c>
      <c r="G27" s="1976"/>
      <c r="H27" s="1998"/>
      <c r="I27" s="2022" t="s">
        <v>226</v>
      </c>
      <c r="J27" s="2025"/>
      <c r="K27" s="2026"/>
      <c r="L27" s="2055">
        <v>0</v>
      </c>
      <c r="M27" s="1983">
        <v>0</v>
      </c>
      <c r="N27" s="1983">
        <v>0</v>
      </c>
      <c r="O27" s="1999">
        <v>0</v>
      </c>
      <c r="P27" s="2056">
        <v>0</v>
      </c>
      <c r="Q27" s="2056">
        <v>0</v>
      </c>
      <c r="R27" s="2057">
        <v>0</v>
      </c>
      <c r="S27" s="1976"/>
      <c r="T27" s="1980"/>
    </row>
    <row r="28" spans="2:20" ht="13.8" x14ac:dyDescent="0.3">
      <c r="B28" s="2045"/>
      <c r="C28" s="3582" t="s">
        <v>162</v>
      </c>
      <c r="D28" s="1990">
        <v>0</v>
      </c>
      <c r="E28" s="1990">
        <v>0</v>
      </c>
      <c r="F28" s="1990">
        <v>0</v>
      </c>
      <c r="G28" s="1976"/>
      <c r="H28" s="1998"/>
      <c r="I28" s="2022" t="s">
        <v>227</v>
      </c>
      <c r="J28" s="2025"/>
      <c r="K28" s="2026"/>
      <c r="L28" s="2055">
        <v>0</v>
      </c>
      <c r="M28" s="1983">
        <v>0</v>
      </c>
      <c r="N28" s="1983">
        <v>0</v>
      </c>
      <c r="O28" s="1999">
        <v>0</v>
      </c>
      <c r="P28" s="2056">
        <v>0</v>
      </c>
      <c r="Q28" s="2056">
        <v>0</v>
      </c>
      <c r="R28" s="2057">
        <v>0</v>
      </c>
      <c r="S28" s="1976"/>
      <c r="T28" s="1980"/>
    </row>
    <row r="29" spans="2:20" ht="13.8" x14ac:dyDescent="0.3">
      <c r="B29" s="2046"/>
      <c r="C29" s="1982" t="s">
        <v>163</v>
      </c>
      <c r="D29" s="1991">
        <v>0</v>
      </c>
      <c r="E29" s="1991"/>
      <c r="F29" s="1990">
        <v>0</v>
      </c>
      <c r="G29" s="1976"/>
      <c r="H29" s="1998"/>
      <c r="I29" s="2022" t="s">
        <v>228</v>
      </c>
      <c r="J29" s="2025"/>
      <c r="K29" s="2026"/>
      <c r="L29" s="2055">
        <v>0</v>
      </c>
      <c r="M29" s="1983">
        <v>0</v>
      </c>
      <c r="N29" s="1983">
        <v>0</v>
      </c>
      <c r="O29" s="1999">
        <v>0</v>
      </c>
      <c r="P29" s="2056">
        <v>0</v>
      </c>
      <c r="Q29" s="2056">
        <v>0</v>
      </c>
      <c r="R29" s="2057">
        <v>0</v>
      </c>
      <c r="S29" s="1976"/>
      <c r="T29" s="1980"/>
    </row>
    <row r="30" spans="2:20" ht="13.8" x14ac:dyDescent="0.3">
      <c r="B30" s="2046"/>
      <c r="C30" s="1982" t="s">
        <v>164</v>
      </c>
      <c r="D30" s="1991">
        <v>0</v>
      </c>
      <c r="E30" s="1991"/>
      <c r="F30" s="1990">
        <v>0</v>
      </c>
      <c r="G30" s="1976"/>
      <c r="H30" s="1998"/>
      <c r="I30" s="2022" t="s">
        <v>229</v>
      </c>
      <c r="J30" s="2025"/>
      <c r="K30" s="2026"/>
      <c r="L30" s="2055">
        <v>0</v>
      </c>
      <c r="M30" s="1983">
        <v>0</v>
      </c>
      <c r="N30" s="1983">
        <v>0</v>
      </c>
      <c r="O30" s="1999">
        <v>0</v>
      </c>
      <c r="P30" s="2056">
        <v>0</v>
      </c>
      <c r="Q30" s="2056">
        <v>0</v>
      </c>
      <c r="R30" s="2057">
        <v>0</v>
      </c>
      <c r="S30" s="1976"/>
      <c r="T30" s="1980"/>
    </row>
    <row r="31" spans="2:20" ht="14.4" thickBot="1" x14ac:dyDescent="0.35">
      <c r="B31" s="2046"/>
      <c r="C31" s="1982" t="s">
        <v>165</v>
      </c>
      <c r="D31" s="1991">
        <v>0</v>
      </c>
      <c r="E31" s="1991"/>
      <c r="F31" s="1990">
        <v>0</v>
      </c>
      <c r="G31" s="1976"/>
      <c r="H31" s="1998"/>
      <c r="I31" s="2022" t="s">
        <v>230</v>
      </c>
      <c r="J31" s="2025"/>
      <c r="K31" s="2026"/>
      <c r="L31" s="2055">
        <v>0</v>
      </c>
      <c r="M31" s="1983">
        <v>0</v>
      </c>
      <c r="N31" s="1983">
        <v>0</v>
      </c>
      <c r="O31" s="1999">
        <v>0</v>
      </c>
      <c r="P31" s="2056">
        <v>0</v>
      </c>
      <c r="Q31" s="2056">
        <v>0</v>
      </c>
      <c r="R31" s="2057">
        <v>0</v>
      </c>
      <c r="S31" s="1976"/>
      <c r="T31" s="1980"/>
    </row>
    <row r="32" spans="2:20" ht="14.4" thickBot="1" x14ac:dyDescent="0.35">
      <c r="B32" s="2044">
        <v>54</v>
      </c>
      <c r="C32" s="2007" t="s">
        <v>171</v>
      </c>
      <c r="D32" s="2008">
        <f>SUM(D33:D36)</f>
        <v>185</v>
      </c>
      <c r="E32" s="3590">
        <f>SUM(E33:E36)</f>
        <v>185</v>
      </c>
      <c r="F32" s="2009">
        <f t="shared" ref="F32:F46" si="2">SUM(D32:E32)</f>
        <v>370</v>
      </c>
      <c r="G32" s="1976"/>
      <c r="H32" s="1998"/>
      <c r="I32" s="2022" t="s">
        <v>231</v>
      </c>
      <c r="J32" s="2025"/>
      <c r="K32" s="2026"/>
      <c r="L32" s="2055">
        <v>0</v>
      </c>
      <c r="M32" s="1983">
        <v>0</v>
      </c>
      <c r="N32" s="1983">
        <v>0</v>
      </c>
      <c r="O32" s="1999">
        <v>0</v>
      </c>
      <c r="P32" s="2056">
        <v>0</v>
      </c>
      <c r="Q32" s="2056">
        <v>0</v>
      </c>
      <c r="R32" s="2057">
        <v>0</v>
      </c>
      <c r="S32" s="1976"/>
      <c r="T32" s="1980"/>
    </row>
    <row r="33" spans="2:20" ht="13.8" x14ac:dyDescent="0.3">
      <c r="B33" s="2046"/>
      <c r="C33" s="3588" t="s">
        <v>1110</v>
      </c>
      <c r="D33" s="3589">
        <v>185</v>
      </c>
      <c r="E33" s="3589">
        <v>185</v>
      </c>
      <c r="F33" s="1990">
        <f t="shared" si="2"/>
        <v>370</v>
      </c>
      <c r="G33" s="1976"/>
      <c r="H33" s="1998"/>
      <c r="I33" s="2022" t="s">
        <v>232</v>
      </c>
      <c r="J33" s="2025"/>
      <c r="K33" s="2026"/>
      <c r="L33" s="2055">
        <v>0</v>
      </c>
      <c r="M33" s="1983">
        <v>0</v>
      </c>
      <c r="N33" s="1983">
        <v>0</v>
      </c>
      <c r="O33" s="1999">
        <v>0</v>
      </c>
      <c r="P33" s="2056">
        <v>0</v>
      </c>
      <c r="Q33" s="2056">
        <v>0</v>
      </c>
      <c r="R33" s="2057">
        <v>0</v>
      </c>
      <c r="S33" s="1976"/>
      <c r="T33" s="1980"/>
    </row>
    <row r="34" spans="2:20" ht="13.8" x14ac:dyDescent="0.3">
      <c r="B34" s="2046"/>
      <c r="C34" s="1982" t="s">
        <v>163</v>
      </c>
      <c r="D34" s="1991">
        <v>0</v>
      </c>
      <c r="E34" s="1991"/>
      <c r="F34" s="3592">
        <f t="shared" si="2"/>
        <v>0</v>
      </c>
      <c r="G34" s="1976"/>
      <c r="H34" s="1998"/>
      <c r="I34" s="2022" t="s">
        <v>233</v>
      </c>
      <c r="J34" s="2025"/>
      <c r="K34" s="2026"/>
      <c r="L34" s="2055">
        <v>0</v>
      </c>
      <c r="M34" s="1983">
        <v>0</v>
      </c>
      <c r="N34" s="1983">
        <v>0</v>
      </c>
      <c r="O34" s="1999">
        <v>0</v>
      </c>
      <c r="P34" s="2056">
        <v>0</v>
      </c>
      <c r="Q34" s="2056">
        <v>0</v>
      </c>
      <c r="R34" s="2057">
        <v>0</v>
      </c>
      <c r="S34" s="1976"/>
      <c r="T34" s="1980"/>
    </row>
    <row r="35" spans="2:20" ht="13.8" x14ac:dyDescent="0.3">
      <c r="B35" s="2046"/>
      <c r="C35" s="1982" t="s">
        <v>164</v>
      </c>
      <c r="D35" s="1991">
        <v>0</v>
      </c>
      <c r="E35" s="1991"/>
      <c r="F35" s="3592">
        <f t="shared" si="2"/>
        <v>0</v>
      </c>
      <c r="G35" s="1976"/>
      <c r="H35" s="1998"/>
      <c r="I35" s="2022" t="s">
        <v>234</v>
      </c>
      <c r="J35" s="2025"/>
      <c r="K35" s="2026"/>
      <c r="L35" s="2055">
        <v>0</v>
      </c>
      <c r="M35" s="1983">
        <v>0</v>
      </c>
      <c r="N35" s="1983">
        <v>0</v>
      </c>
      <c r="O35" s="1999">
        <v>0</v>
      </c>
      <c r="P35" s="2056">
        <v>0</v>
      </c>
      <c r="Q35" s="2056">
        <v>0</v>
      </c>
      <c r="R35" s="2057">
        <v>0</v>
      </c>
      <c r="S35" s="1976"/>
      <c r="T35" s="1980"/>
    </row>
    <row r="36" spans="2:20" ht="14.4" thickBot="1" x14ac:dyDescent="0.35">
      <c r="B36" s="2046"/>
      <c r="C36" s="1982" t="s">
        <v>165</v>
      </c>
      <c r="D36" s="1991">
        <v>0</v>
      </c>
      <c r="E36" s="1991"/>
      <c r="F36" s="3592">
        <f t="shared" si="2"/>
        <v>0</v>
      </c>
      <c r="G36" s="1976"/>
      <c r="H36" s="1998"/>
      <c r="I36" s="2022" t="s">
        <v>235</v>
      </c>
      <c r="J36" s="2025"/>
      <c r="K36" s="2026"/>
      <c r="L36" s="2055">
        <v>0</v>
      </c>
      <c r="M36" s="1983">
        <v>0</v>
      </c>
      <c r="N36" s="1983">
        <v>0</v>
      </c>
      <c r="O36" s="1999">
        <v>0</v>
      </c>
      <c r="P36" s="2056">
        <v>0</v>
      </c>
      <c r="Q36" s="2056">
        <v>0</v>
      </c>
      <c r="R36" s="2057">
        <v>0</v>
      </c>
      <c r="S36" s="1976"/>
      <c r="T36" s="1980"/>
    </row>
    <row r="37" spans="2:20" ht="14.4" thickBot="1" x14ac:dyDescent="0.35">
      <c r="B37" s="2044">
        <v>8004</v>
      </c>
      <c r="C37" s="2007" t="s">
        <v>172</v>
      </c>
      <c r="D37" s="2008">
        <f>SUM(D38:D41)</f>
        <v>4225</v>
      </c>
      <c r="E37" s="3594">
        <f>SUM(E38:E41)</f>
        <v>4225</v>
      </c>
      <c r="F37" s="2009">
        <f t="shared" si="2"/>
        <v>8450</v>
      </c>
      <c r="G37" s="1976"/>
      <c r="H37" s="1998"/>
      <c r="I37" s="2022" t="s">
        <v>236</v>
      </c>
      <c r="J37" s="2025"/>
      <c r="K37" s="2026"/>
      <c r="L37" s="2055">
        <v>0</v>
      </c>
      <c r="M37" s="1983">
        <v>0</v>
      </c>
      <c r="N37" s="1983">
        <v>0</v>
      </c>
      <c r="O37" s="1999">
        <v>0</v>
      </c>
      <c r="P37" s="2056">
        <v>0</v>
      </c>
      <c r="Q37" s="2056">
        <v>0</v>
      </c>
      <c r="R37" s="2057">
        <v>0</v>
      </c>
      <c r="S37" s="1976"/>
      <c r="T37" s="1980"/>
    </row>
    <row r="38" spans="2:20" ht="13.8" x14ac:dyDescent="0.3">
      <c r="B38" s="2046"/>
      <c r="C38" s="3591" t="s">
        <v>1111</v>
      </c>
      <c r="D38" s="3593">
        <v>3250</v>
      </c>
      <c r="E38" s="3593">
        <v>3250</v>
      </c>
      <c r="F38" s="1990">
        <f t="shared" si="2"/>
        <v>6500</v>
      </c>
      <c r="G38" s="1976"/>
      <c r="H38" s="1998"/>
      <c r="I38" s="2022" t="s">
        <v>237</v>
      </c>
      <c r="J38" s="2025"/>
      <c r="K38" s="2026"/>
      <c r="L38" s="2055">
        <v>0</v>
      </c>
      <c r="M38" s="1983">
        <v>0</v>
      </c>
      <c r="N38" s="1983">
        <v>0</v>
      </c>
      <c r="O38" s="1999">
        <v>0</v>
      </c>
      <c r="P38" s="2056">
        <v>0</v>
      </c>
      <c r="Q38" s="2056">
        <v>0</v>
      </c>
      <c r="R38" s="2057">
        <v>0</v>
      </c>
      <c r="S38" s="1976"/>
      <c r="T38" s="1980"/>
    </row>
    <row r="39" spans="2:20" ht="13.8" x14ac:dyDescent="0.3">
      <c r="B39" s="2046"/>
      <c r="C39" s="3591" t="s">
        <v>1112</v>
      </c>
      <c r="D39" s="3593">
        <v>975</v>
      </c>
      <c r="E39" s="3593">
        <v>975</v>
      </c>
      <c r="F39" s="3592">
        <f t="shared" si="2"/>
        <v>1950</v>
      </c>
      <c r="G39" s="1976"/>
      <c r="H39" s="1998"/>
      <c r="I39" s="2022" t="s">
        <v>238</v>
      </c>
      <c r="J39" s="2025"/>
      <c r="K39" s="2026"/>
      <c r="L39" s="2055">
        <v>0</v>
      </c>
      <c r="M39" s="1983">
        <v>0</v>
      </c>
      <c r="N39" s="1983">
        <v>0</v>
      </c>
      <c r="O39" s="1999">
        <v>0</v>
      </c>
      <c r="P39" s="2056">
        <v>0</v>
      </c>
      <c r="Q39" s="2056">
        <v>0</v>
      </c>
      <c r="R39" s="2057">
        <v>0</v>
      </c>
      <c r="S39" s="1976"/>
      <c r="T39" s="1980"/>
    </row>
    <row r="40" spans="2:20" ht="13.8" x14ac:dyDescent="0.3">
      <c r="B40" s="2046"/>
      <c r="C40" s="1982" t="s">
        <v>164</v>
      </c>
      <c r="D40" s="1991">
        <v>0</v>
      </c>
      <c r="E40" s="1991"/>
      <c r="F40" s="3592">
        <f t="shared" si="2"/>
        <v>0</v>
      </c>
      <c r="G40" s="1976"/>
      <c r="H40" s="1998"/>
      <c r="I40" s="2022" t="s">
        <v>239</v>
      </c>
      <c r="J40" s="2025"/>
      <c r="K40" s="2026"/>
      <c r="L40" s="2055">
        <v>0</v>
      </c>
      <c r="M40" s="1983">
        <v>0</v>
      </c>
      <c r="N40" s="1983">
        <v>0</v>
      </c>
      <c r="O40" s="1999">
        <v>0</v>
      </c>
      <c r="P40" s="2056">
        <v>0</v>
      </c>
      <c r="Q40" s="2056">
        <v>0</v>
      </c>
      <c r="R40" s="2057">
        <v>0</v>
      </c>
      <c r="S40" s="1976"/>
      <c r="T40" s="1980"/>
    </row>
    <row r="41" spans="2:20" ht="14.4" thickBot="1" x14ac:dyDescent="0.35">
      <c r="B41" s="2046"/>
      <c r="C41" s="1982" t="s">
        <v>165</v>
      </c>
      <c r="D41" s="1991">
        <v>0</v>
      </c>
      <c r="E41" s="1991"/>
      <c r="F41" s="3592">
        <f t="shared" si="2"/>
        <v>0</v>
      </c>
      <c r="G41" s="1976"/>
      <c r="H41" s="1998"/>
      <c r="I41" s="2022" t="s">
        <v>240</v>
      </c>
      <c r="J41" s="2025"/>
      <c r="K41" s="2026"/>
      <c r="L41" s="2055">
        <v>0</v>
      </c>
      <c r="M41" s="1983">
        <v>0</v>
      </c>
      <c r="N41" s="1983">
        <v>0</v>
      </c>
      <c r="O41" s="1999">
        <v>0</v>
      </c>
      <c r="P41" s="2056">
        <v>0</v>
      </c>
      <c r="Q41" s="2056">
        <v>0</v>
      </c>
      <c r="R41" s="2057">
        <v>0</v>
      </c>
      <c r="S41" s="1976"/>
      <c r="T41" s="1980"/>
    </row>
    <row r="42" spans="2:20" ht="14.4" thickBot="1" x14ac:dyDescent="0.35">
      <c r="B42" s="2044">
        <v>0</v>
      </c>
      <c r="C42" s="2007" t="s">
        <v>173</v>
      </c>
      <c r="D42" s="2008">
        <f>SUM(D43:D46)</f>
        <v>1300</v>
      </c>
      <c r="E42" s="3598">
        <f>SUM(E43:E46)</f>
        <v>1300</v>
      </c>
      <c r="F42" s="2009">
        <f t="shared" si="2"/>
        <v>2600</v>
      </c>
      <c r="G42" s="1976"/>
      <c r="H42" s="1998"/>
      <c r="I42" s="2022" t="s">
        <v>241</v>
      </c>
      <c r="J42" s="2025"/>
      <c r="K42" s="2026"/>
      <c r="L42" s="2055">
        <v>0</v>
      </c>
      <c r="M42" s="1983">
        <v>0</v>
      </c>
      <c r="N42" s="1983">
        <v>0</v>
      </c>
      <c r="O42" s="1999">
        <v>0</v>
      </c>
      <c r="P42" s="2056">
        <v>0</v>
      </c>
      <c r="Q42" s="2056">
        <v>0</v>
      </c>
      <c r="R42" s="2057">
        <v>0</v>
      </c>
      <c r="S42" s="1976"/>
      <c r="T42" s="1980"/>
    </row>
    <row r="43" spans="2:20" ht="13.8" x14ac:dyDescent="0.3">
      <c r="B43" s="2046"/>
      <c r="C43" s="3599" t="s">
        <v>1113</v>
      </c>
      <c r="D43" s="3597">
        <v>650</v>
      </c>
      <c r="E43" s="3597">
        <v>650</v>
      </c>
      <c r="F43" s="1990">
        <f t="shared" si="2"/>
        <v>1300</v>
      </c>
      <c r="G43" s="1976"/>
      <c r="H43" s="1998"/>
      <c r="I43" s="2022" t="s">
        <v>242</v>
      </c>
      <c r="J43" s="2025"/>
      <c r="K43" s="2026"/>
      <c r="L43" s="2055">
        <v>0</v>
      </c>
      <c r="M43" s="1983">
        <v>0</v>
      </c>
      <c r="N43" s="1983">
        <v>0</v>
      </c>
      <c r="O43" s="1999">
        <v>0</v>
      </c>
      <c r="P43" s="2056">
        <v>0</v>
      </c>
      <c r="Q43" s="2056">
        <v>0</v>
      </c>
      <c r="R43" s="2057">
        <v>0</v>
      </c>
      <c r="S43" s="1976"/>
      <c r="T43" s="1980"/>
    </row>
    <row r="44" spans="2:20" ht="13.8" x14ac:dyDescent="0.3">
      <c r="B44" s="2046"/>
      <c r="C44" s="3595" t="s">
        <v>1114</v>
      </c>
      <c r="D44" s="3597">
        <v>650</v>
      </c>
      <c r="E44" s="3597">
        <v>650</v>
      </c>
      <c r="F44" s="3596">
        <f t="shared" si="2"/>
        <v>1300</v>
      </c>
      <c r="G44" s="1976"/>
      <c r="H44" s="1998"/>
      <c r="I44" s="2022" t="s">
        <v>243</v>
      </c>
      <c r="J44" s="2025"/>
      <c r="K44" s="2026"/>
      <c r="L44" s="2055">
        <v>0</v>
      </c>
      <c r="M44" s="1983">
        <v>0</v>
      </c>
      <c r="N44" s="1983">
        <v>0</v>
      </c>
      <c r="O44" s="1999">
        <v>0</v>
      </c>
      <c r="P44" s="2056">
        <v>0</v>
      </c>
      <c r="Q44" s="2056">
        <v>0</v>
      </c>
      <c r="R44" s="2057">
        <v>0</v>
      </c>
      <c r="S44" s="1976"/>
      <c r="T44" s="1980"/>
    </row>
    <row r="45" spans="2:20" ht="13.8" x14ac:dyDescent="0.3">
      <c r="B45" s="2046"/>
      <c r="C45" s="1982" t="s">
        <v>164</v>
      </c>
      <c r="D45" s="1991">
        <v>0</v>
      </c>
      <c r="E45" s="1991"/>
      <c r="F45" s="3596">
        <f t="shared" si="2"/>
        <v>0</v>
      </c>
      <c r="G45" s="1976"/>
      <c r="H45" s="1998"/>
      <c r="I45" s="2022" t="s">
        <v>244</v>
      </c>
      <c r="J45" s="2025"/>
      <c r="K45" s="2026"/>
      <c r="L45" s="2055">
        <v>0</v>
      </c>
      <c r="M45" s="1983">
        <v>0</v>
      </c>
      <c r="N45" s="1983">
        <v>0</v>
      </c>
      <c r="O45" s="1999">
        <v>0</v>
      </c>
      <c r="P45" s="2056">
        <v>0</v>
      </c>
      <c r="Q45" s="2056">
        <v>0</v>
      </c>
      <c r="R45" s="2057">
        <v>0</v>
      </c>
      <c r="S45" s="1976"/>
      <c r="T45" s="1980"/>
    </row>
    <row r="46" spans="2:20" ht="14.4" thickBot="1" x14ac:dyDescent="0.35">
      <c r="B46" s="2046"/>
      <c r="C46" s="1982" t="s">
        <v>165</v>
      </c>
      <c r="D46" s="1991">
        <v>0</v>
      </c>
      <c r="E46" s="1991"/>
      <c r="F46" s="3596">
        <f t="shared" si="2"/>
        <v>0</v>
      </c>
      <c r="G46" s="1976"/>
      <c r="H46" s="1998"/>
      <c r="I46" s="2022" t="s">
        <v>245</v>
      </c>
      <c r="J46" s="2025"/>
      <c r="K46" s="2026"/>
      <c r="L46" s="2055">
        <v>0</v>
      </c>
      <c r="M46" s="1983">
        <v>0</v>
      </c>
      <c r="N46" s="1983">
        <v>0</v>
      </c>
      <c r="O46" s="1999">
        <v>0</v>
      </c>
      <c r="P46" s="2056">
        <v>0</v>
      </c>
      <c r="Q46" s="2056">
        <v>0</v>
      </c>
      <c r="R46" s="2057">
        <v>0</v>
      </c>
      <c r="S46" s="1976"/>
      <c r="T46" s="1980"/>
    </row>
    <row r="47" spans="2:20" ht="14.4" thickBot="1" x14ac:dyDescent="0.35">
      <c r="B47" s="2044">
        <v>0</v>
      </c>
      <c r="C47" s="2007" t="s">
        <v>174</v>
      </c>
      <c r="D47" s="2008">
        <f>SUM(D48:D49)</f>
        <v>0</v>
      </c>
      <c r="E47" s="2212">
        <f>SUM(E48:E49)</f>
        <v>0</v>
      </c>
      <c r="F47" s="2212">
        <f>SUM(F48:F49)</f>
        <v>0</v>
      </c>
      <c r="G47" s="1976"/>
      <c r="H47" s="1998"/>
      <c r="I47" s="2022" t="s">
        <v>246</v>
      </c>
      <c r="J47" s="2025"/>
      <c r="K47" s="2026"/>
      <c r="L47" s="2055">
        <v>0</v>
      </c>
      <c r="M47" s="1983">
        <v>0</v>
      </c>
      <c r="N47" s="1983">
        <v>0</v>
      </c>
      <c r="O47" s="1999">
        <v>0</v>
      </c>
      <c r="P47" s="2056">
        <v>0</v>
      </c>
      <c r="Q47" s="2056">
        <v>0</v>
      </c>
      <c r="R47" s="2057">
        <v>0</v>
      </c>
      <c r="S47" s="1976"/>
      <c r="T47" s="1980"/>
    </row>
    <row r="48" spans="2:20" ht="13.8" x14ac:dyDescent="0.3">
      <c r="B48" s="2046"/>
      <c r="C48" s="3595" t="s">
        <v>162</v>
      </c>
      <c r="D48" s="1991">
        <v>0</v>
      </c>
      <c r="E48" s="1991">
        <v>0</v>
      </c>
      <c r="F48" s="1990">
        <f>SUM(D48:E48)</f>
        <v>0</v>
      </c>
      <c r="G48" s="1976"/>
      <c r="H48" s="1998"/>
      <c r="I48" s="2022" t="s">
        <v>247</v>
      </c>
      <c r="J48" s="2025"/>
      <c r="K48" s="2026"/>
      <c r="L48" s="2055">
        <v>0</v>
      </c>
      <c r="M48" s="1983">
        <v>0</v>
      </c>
      <c r="N48" s="1983">
        <v>0</v>
      </c>
      <c r="O48" s="1999">
        <v>0</v>
      </c>
      <c r="P48" s="2056">
        <v>0</v>
      </c>
      <c r="Q48" s="2056">
        <v>0</v>
      </c>
      <c r="R48" s="2057">
        <v>0</v>
      </c>
      <c r="S48" s="1976"/>
      <c r="T48" s="1980"/>
    </row>
    <row r="49" spans="2:24" ht="13.8" x14ac:dyDescent="0.3">
      <c r="B49" s="2046"/>
      <c r="C49" s="1982" t="s">
        <v>163</v>
      </c>
      <c r="D49" s="1991">
        <v>0</v>
      </c>
      <c r="E49" s="1991"/>
      <c r="F49" s="3479">
        <f>SUM(D49:E49)</f>
        <v>0</v>
      </c>
      <c r="G49" s="1976"/>
      <c r="H49" s="1976"/>
      <c r="I49" s="2022" t="s">
        <v>248</v>
      </c>
      <c r="J49" s="2025"/>
      <c r="K49" s="2026"/>
      <c r="L49" s="2055">
        <v>0</v>
      </c>
      <c r="M49" s="1983">
        <v>0</v>
      </c>
      <c r="N49" s="1983">
        <v>0</v>
      </c>
      <c r="O49" s="1999">
        <v>0</v>
      </c>
      <c r="P49" s="2056">
        <v>0</v>
      </c>
      <c r="Q49" s="2056">
        <v>0</v>
      </c>
      <c r="R49" s="2057">
        <v>0</v>
      </c>
      <c r="S49" s="1976"/>
      <c r="T49" s="1980"/>
      <c r="U49" s="1976"/>
      <c r="V49" s="1976"/>
      <c r="W49" s="1976"/>
      <c r="X49" s="1976"/>
    </row>
    <row r="50" spans="2:24" ht="13.8" x14ac:dyDescent="0.3">
      <c r="B50" s="2046"/>
      <c r="C50" s="1982" t="s">
        <v>164</v>
      </c>
      <c r="D50" s="1991">
        <v>0</v>
      </c>
      <c r="E50" s="1991"/>
      <c r="F50" s="1990">
        <v>0</v>
      </c>
      <c r="G50" s="1976"/>
      <c r="H50" s="1976"/>
      <c r="I50" s="2022" t="s">
        <v>249</v>
      </c>
      <c r="J50" s="2025"/>
      <c r="K50" s="2026"/>
      <c r="L50" s="2055">
        <v>0</v>
      </c>
      <c r="M50" s="1983">
        <v>0</v>
      </c>
      <c r="N50" s="1983">
        <v>0</v>
      </c>
      <c r="O50" s="1999">
        <v>0</v>
      </c>
      <c r="P50" s="2056">
        <v>0</v>
      </c>
      <c r="Q50" s="2056">
        <v>0</v>
      </c>
      <c r="R50" s="2057">
        <v>0</v>
      </c>
      <c r="S50" s="1976"/>
      <c r="T50" s="1980"/>
      <c r="U50" s="1976"/>
      <c r="V50" s="1976"/>
      <c r="W50" s="1976"/>
      <c r="X50" s="1976"/>
    </row>
    <row r="51" spans="2:24" ht="14.4" thickBot="1" x14ac:dyDescent="0.35">
      <c r="B51" s="2046"/>
      <c r="C51" s="1982" t="s">
        <v>165</v>
      </c>
      <c r="D51" s="1991">
        <v>0</v>
      </c>
      <c r="E51" s="1991"/>
      <c r="F51" s="1990">
        <v>0</v>
      </c>
      <c r="G51" s="1976"/>
      <c r="H51" s="1976"/>
      <c r="I51" s="2022" t="s">
        <v>250</v>
      </c>
      <c r="J51" s="2025"/>
      <c r="K51" s="2026"/>
      <c r="L51" s="2055">
        <v>0</v>
      </c>
      <c r="M51" s="1983">
        <v>0</v>
      </c>
      <c r="N51" s="1983">
        <v>0</v>
      </c>
      <c r="O51" s="1999">
        <v>0</v>
      </c>
      <c r="P51" s="2056">
        <v>0</v>
      </c>
      <c r="Q51" s="2056">
        <v>0</v>
      </c>
      <c r="R51" s="2057">
        <v>0</v>
      </c>
      <c r="S51" s="1976"/>
      <c r="T51" s="1980"/>
      <c r="U51" s="1976"/>
      <c r="V51" s="1976"/>
      <c r="W51" s="1976"/>
      <c r="X51" s="1976"/>
    </row>
    <row r="52" spans="2:24" ht="14.4" thickBot="1" x14ac:dyDescent="0.35">
      <c r="B52" s="2044">
        <v>0</v>
      </c>
      <c r="C52" s="2007" t="s">
        <v>175</v>
      </c>
      <c r="D52" s="2008"/>
      <c r="E52" s="2008">
        <v>0</v>
      </c>
      <c r="F52" s="2009">
        <v>0</v>
      </c>
      <c r="G52" s="2010" t="s">
        <v>176</v>
      </c>
      <c r="H52" s="1976"/>
      <c r="I52" s="2022" t="s">
        <v>251</v>
      </c>
      <c r="J52" s="2025"/>
      <c r="K52" s="2026"/>
      <c r="L52" s="2055">
        <v>0</v>
      </c>
      <c r="M52" s="1983">
        <v>0</v>
      </c>
      <c r="N52" s="1983">
        <v>0</v>
      </c>
      <c r="O52" s="1999">
        <v>0</v>
      </c>
      <c r="P52" s="2056">
        <v>0</v>
      </c>
      <c r="Q52" s="2056">
        <v>0</v>
      </c>
      <c r="R52" s="2057">
        <v>0</v>
      </c>
      <c r="S52" s="1976"/>
      <c r="T52" s="1980"/>
      <c r="U52" s="1976"/>
      <c r="V52" s="1976"/>
      <c r="W52" s="1976"/>
      <c r="X52" s="1976"/>
    </row>
    <row r="53" spans="2:24" ht="14.4" thickBot="1" x14ac:dyDescent="0.35">
      <c r="B53" s="2044">
        <v>0</v>
      </c>
      <c r="C53" s="2007" t="s">
        <v>177</v>
      </c>
      <c r="D53" s="2008">
        <v>0</v>
      </c>
      <c r="E53" s="2008">
        <v>0</v>
      </c>
      <c r="F53" s="2009">
        <v>0</v>
      </c>
      <c r="G53" s="1976"/>
      <c r="H53" s="1976"/>
      <c r="I53" s="2022">
        <v>0</v>
      </c>
      <c r="J53" s="2023"/>
      <c r="K53" s="2024"/>
      <c r="L53" s="2055">
        <v>0</v>
      </c>
      <c r="M53" s="1983">
        <v>0</v>
      </c>
      <c r="N53" s="1983">
        <v>0</v>
      </c>
      <c r="O53" s="1999">
        <v>0</v>
      </c>
      <c r="P53" s="2056">
        <v>0</v>
      </c>
      <c r="Q53" s="2056">
        <v>0</v>
      </c>
      <c r="R53" s="2057">
        <v>0</v>
      </c>
      <c r="S53" s="1976"/>
      <c r="T53" s="1980"/>
      <c r="U53" s="1976"/>
      <c r="V53" s="1976"/>
      <c r="W53" s="1976"/>
      <c r="X53" s="1976"/>
    </row>
    <row r="54" spans="2:24" ht="13.8" x14ac:dyDescent="0.3">
      <c r="B54" s="1993">
        <v>49765</v>
      </c>
      <c r="C54" s="1977" t="s">
        <v>178</v>
      </c>
      <c r="D54" s="2197">
        <f>D12+D17+D22+D27+D32+D37+D42+D47+D52+D53</f>
        <v>19222.7</v>
      </c>
      <c r="E54" s="2197">
        <f>E12+E17+E22+E27+E32+E37+E42+E47+E52+E53</f>
        <v>19243.89</v>
      </c>
      <c r="F54" s="2197">
        <f>F12+F17+F22+F27+F32+F37+F42+F47+F52+F53</f>
        <v>38466.589999999997</v>
      </c>
      <c r="G54" s="1976"/>
      <c r="H54" s="1976"/>
      <c r="I54" s="1976"/>
      <c r="J54" s="1976"/>
      <c r="K54" s="1976"/>
      <c r="L54" s="1976"/>
      <c r="M54" s="1976"/>
      <c r="N54" s="1976"/>
      <c r="O54" s="1976"/>
      <c r="P54" s="2058">
        <v>0</v>
      </c>
      <c r="Q54" s="2058">
        <v>0</v>
      </c>
      <c r="R54" s="2058">
        <v>0</v>
      </c>
      <c r="S54" s="1976"/>
      <c r="T54" s="2058">
        <v>0</v>
      </c>
      <c r="U54" s="1976"/>
      <c r="V54" s="1976"/>
      <c r="W54" s="1976"/>
      <c r="X54" s="1976"/>
    </row>
    <row r="55" spans="2:24" ht="13.8" x14ac:dyDescent="0.3">
      <c r="B55" s="1976"/>
      <c r="C55" s="1977"/>
      <c r="D55" s="1993"/>
      <c r="E55" s="1993"/>
      <c r="F55" s="1993"/>
      <c r="G55" s="1976"/>
      <c r="H55" s="1976"/>
      <c r="I55" s="1976"/>
      <c r="J55" s="1976"/>
      <c r="K55" s="1976"/>
      <c r="L55" s="1976"/>
      <c r="M55" s="1976"/>
      <c r="N55" s="1976"/>
      <c r="O55" s="1976"/>
      <c r="P55" s="1976"/>
      <c r="Q55" s="1976"/>
      <c r="R55" s="1976"/>
      <c r="S55" s="1976"/>
      <c r="T55" s="1976"/>
      <c r="U55" s="1976"/>
      <c r="V55" s="1976"/>
      <c r="W55" s="1976"/>
      <c r="X55" s="1976"/>
    </row>
    <row r="56" spans="2:24" ht="13.8" x14ac:dyDescent="0.3">
      <c r="B56" s="1976"/>
      <c r="C56" s="1977" t="s">
        <v>179</v>
      </c>
      <c r="D56" s="1993"/>
      <c r="E56" s="1993"/>
      <c r="F56" s="1993"/>
      <c r="G56" s="1976"/>
      <c r="H56" s="1976"/>
      <c r="I56" s="1976"/>
      <c r="J56" s="1976"/>
      <c r="K56" s="1976"/>
      <c r="L56" s="1976"/>
      <c r="M56" s="1976"/>
      <c r="N56" s="1976"/>
      <c r="O56" s="1976"/>
      <c r="P56" s="1976"/>
      <c r="Q56" s="1976"/>
      <c r="R56" s="1976"/>
      <c r="S56" s="1976"/>
      <c r="T56" s="1976"/>
      <c r="U56" s="1976"/>
      <c r="V56" s="1976"/>
      <c r="W56" s="1976"/>
      <c r="X56" s="1976"/>
    </row>
    <row r="57" spans="2:24" ht="13.8" x14ac:dyDescent="0.3">
      <c r="B57" s="1976"/>
      <c r="C57" s="1977" t="s">
        <v>180</v>
      </c>
      <c r="D57" s="1978">
        <v>0</v>
      </c>
      <c r="E57" s="1978">
        <v>0</v>
      </c>
      <c r="F57" s="1978">
        <v>0</v>
      </c>
      <c r="G57" s="2069">
        <v>0</v>
      </c>
      <c r="H57" s="2070" t="s">
        <v>181</v>
      </c>
      <c r="I57" s="1976"/>
      <c r="J57" s="1976"/>
      <c r="K57" s="1976"/>
      <c r="L57" s="1976"/>
      <c r="M57" s="1976"/>
      <c r="N57" s="1976"/>
      <c r="O57" s="1976"/>
      <c r="P57" s="1976"/>
      <c r="Q57" s="1976"/>
      <c r="R57" s="1976"/>
      <c r="S57" s="1976"/>
      <c r="T57" s="1976"/>
      <c r="U57" s="1976"/>
      <c r="V57" s="1976"/>
      <c r="W57" s="1976"/>
      <c r="X57" s="1976"/>
    </row>
    <row r="58" spans="2:24" ht="14.4" thickBot="1" x14ac:dyDescent="0.35">
      <c r="B58" s="1976"/>
      <c r="C58" s="1976"/>
      <c r="D58" s="1976"/>
      <c r="E58" s="1976"/>
      <c r="F58" s="1976"/>
      <c r="G58" s="1976"/>
      <c r="H58" s="1976"/>
      <c r="I58" s="1976"/>
      <c r="J58" s="1976"/>
      <c r="K58" s="1976"/>
      <c r="L58" s="1976"/>
      <c r="M58" s="1976"/>
      <c r="N58" s="1976"/>
      <c r="O58" s="1976"/>
      <c r="P58" s="1976"/>
      <c r="Q58" s="1976"/>
      <c r="R58" s="1976"/>
      <c r="S58" s="1976"/>
      <c r="T58" s="1976"/>
      <c r="U58" s="1976"/>
      <c r="V58" s="1976"/>
      <c r="W58" s="1976"/>
      <c r="X58" s="1976"/>
    </row>
    <row r="59" spans="2:24" ht="16.2" thickBot="1" x14ac:dyDescent="0.35">
      <c r="B59" s="2020" t="s">
        <v>182</v>
      </c>
      <c r="C59" s="2021"/>
      <c r="D59" s="4799" t="s">
        <v>183</v>
      </c>
      <c r="E59" s="4797"/>
      <c r="F59" s="4797"/>
      <c r="G59" s="4797"/>
      <c r="H59" s="4797"/>
      <c r="I59" s="1976"/>
      <c r="J59" s="1976"/>
      <c r="K59" s="2034"/>
      <c r="L59" s="1976"/>
      <c r="M59" s="1976"/>
      <c r="N59" s="1976"/>
      <c r="O59" s="1976"/>
      <c r="P59" s="1976"/>
      <c r="Q59" s="1976"/>
      <c r="R59" s="1976"/>
      <c r="S59" s="1976"/>
      <c r="T59" s="1976"/>
      <c r="U59" s="1976"/>
      <c r="V59" s="1976"/>
      <c r="W59" s="1976"/>
      <c r="X59" s="1976"/>
    </row>
    <row r="60" spans="2:24" ht="16.2" thickBot="1" x14ac:dyDescent="0.35">
      <c r="B60" s="4785" t="s">
        <v>184</v>
      </c>
      <c r="C60" s="4786"/>
      <c r="D60" s="4786"/>
      <c r="E60" s="4786"/>
      <c r="F60" s="4786"/>
      <c r="G60" s="4786"/>
      <c r="H60" s="4786"/>
      <c r="I60" s="4786"/>
      <c r="J60" s="4786"/>
      <c r="K60" s="4787"/>
      <c r="L60" s="4785" t="s">
        <v>185</v>
      </c>
      <c r="M60" s="4786"/>
      <c r="N60" s="4786"/>
      <c r="O60" s="4786"/>
      <c r="P60" s="4786"/>
      <c r="Q60" s="4786"/>
      <c r="R60" s="4787"/>
      <c r="S60" s="4785" t="s">
        <v>186</v>
      </c>
      <c r="T60" s="4786"/>
      <c r="U60" s="4787"/>
      <c r="V60" s="4785" t="s">
        <v>132</v>
      </c>
      <c r="W60" s="4786"/>
      <c r="X60" s="4787"/>
    </row>
    <row r="61" spans="2:24" ht="14.4" thickBot="1" x14ac:dyDescent="0.35">
      <c r="B61" s="1984" t="s">
        <v>187</v>
      </c>
      <c r="C61" s="1985" t="s">
        <v>152</v>
      </c>
      <c r="D61" s="1985" t="s">
        <v>153</v>
      </c>
      <c r="E61" s="1985" t="s">
        <v>188</v>
      </c>
      <c r="F61" s="1985" t="s">
        <v>189</v>
      </c>
      <c r="G61" s="1985" t="s">
        <v>190</v>
      </c>
      <c r="H61" s="1985" t="s">
        <v>191</v>
      </c>
      <c r="I61" s="1985" t="s">
        <v>192</v>
      </c>
      <c r="J61" s="1985" t="s">
        <v>193</v>
      </c>
      <c r="K61" s="1986" t="s">
        <v>194</v>
      </c>
      <c r="L61" s="2059" t="s">
        <v>195</v>
      </c>
      <c r="M61" s="2060" t="s">
        <v>196</v>
      </c>
      <c r="N61" s="2011" t="s">
        <v>881</v>
      </c>
      <c r="O61" s="2011" t="s">
        <v>882</v>
      </c>
      <c r="P61" s="2061" t="s">
        <v>883</v>
      </c>
      <c r="Q61" s="2061" t="s">
        <v>884</v>
      </c>
      <c r="R61" s="2018" t="s">
        <v>885</v>
      </c>
      <c r="S61" s="1996" t="s">
        <v>202</v>
      </c>
      <c r="T61" s="1996" t="s">
        <v>203</v>
      </c>
      <c r="U61" s="1997" t="s">
        <v>204</v>
      </c>
      <c r="V61" s="1996" t="s">
        <v>137</v>
      </c>
      <c r="W61" s="1996" t="s">
        <v>12</v>
      </c>
      <c r="X61" s="1997" t="s">
        <v>138</v>
      </c>
    </row>
    <row r="62" spans="2:24" ht="13.8" x14ac:dyDescent="0.3">
      <c r="B62" s="1983"/>
      <c r="C62" s="1980" t="s">
        <v>409</v>
      </c>
      <c r="D62" s="1983">
        <v>0</v>
      </c>
      <c r="E62" s="1983" t="s">
        <v>617</v>
      </c>
      <c r="F62" s="1980" t="s">
        <v>211</v>
      </c>
      <c r="G62" s="1989">
        <v>0</v>
      </c>
      <c r="H62" s="1989">
        <v>0</v>
      </c>
      <c r="I62" s="2067">
        <v>0</v>
      </c>
      <c r="J62" s="1983">
        <v>0</v>
      </c>
      <c r="K62" s="1983"/>
      <c r="L62" s="2012" t="e">
        <v>#N/A</v>
      </c>
      <c r="M62" s="2012" t="e">
        <v>#N/A</v>
      </c>
      <c r="N62" s="2064" t="e">
        <v>#DIV/0!</v>
      </c>
      <c r="O62" s="2064" t="e">
        <v>#DIV/0!</v>
      </c>
      <c r="P62" s="2064" t="e">
        <v>#N/A</v>
      </c>
      <c r="Q62" s="2064" t="e">
        <v>#N/A</v>
      </c>
      <c r="R62" s="2064" t="e">
        <v>#N/A</v>
      </c>
      <c r="S62" s="2002">
        <v>0</v>
      </c>
      <c r="T62" s="2002">
        <v>0</v>
      </c>
      <c r="U62" s="2002">
        <v>0</v>
      </c>
      <c r="V62" s="2071" t="e">
        <v>#DIV/0!</v>
      </c>
      <c r="W62" s="2071" t="e">
        <v>#DIV/0!</v>
      </c>
      <c r="X62" s="2071" t="e">
        <v>#DIV/0!</v>
      </c>
    </row>
    <row r="63" spans="2:24" ht="13.8" x14ac:dyDescent="0.3">
      <c r="B63" s="1980"/>
      <c r="C63" s="1980" t="s">
        <v>410</v>
      </c>
      <c r="D63" s="1980">
        <v>0</v>
      </c>
      <c r="E63" s="1980" t="s">
        <v>617</v>
      </c>
      <c r="F63" s="1980" t="s">
        <v>211</v>
      </c>
      <c r="G63" s="1989">
        <v>0</v>
      </c>
      <c r="H63" s="1989">
        <v>0</v>
      </c>
      <c r="I63" s="2067">
        <v>0</v>
      </c>
      <c r="J63" s="1983">
        <v>0</v>
      </c>
      <c r="K63" s="1983"/>
      <c r="L63" s="2012" t="e">
        <v>#N/A</v>
      </c>
      <c r="M63" s="2012" t="e">
        <v>#N/A</v>
      </c>
      <c r="N63" s="2064" t="e">
        <v>#DIV/0!</v>
      </c>
      <c r="O63" s="2064" t="e">
        <v>#DIV/0!</v>
      </c>
      <c r="P63" s="2064" t="e">
        <v>#N/A</v>
      </c>
      <c r="Q63" s="2064" t="e">
        <v>#N/A</v>
      </c>
      <c r="R63" s="2064" t="e">
        <v>#N/A</v>
      </c>
      <c r="S63" s="2002">
        <v>0</v>
      </c>
      <c r="T63" s="2002">
        <v>0</v>
      </c>
      <c r="U63" s="2002">
        <v>0</v>
      </c>
      <c r="V63" s="2071" t="e">
        <v>#DIV/0!</v>
      </c>
      <c r="W63" s="2071" t="e">
        <v>#DIV/0!</v>
      </c>
      <c r="X63" s="2071" t="e">
        <v>#DIV/0!</v>
      </c>
    </row>
    <row r="64" spans="2:24" ht="13.8" x14ac:dyDescent="0.3">
      <c r="B64" s="1980"/>
      <c r="C64" s="1980" t="s">
        <v>411</v>
      </c>
      <c r="D64" s="1980">
        <v>0</v>
      </c>
      <c r="E64" s="1980" t="s">
        <v>617</v>
      </c>
      <c r="F64" s="1980" t="s">
        <v>211</v>
      </c>
      <c r="G64" s="1989">
        <v>0</v>
      </c>
      <c r="H64" s="1989">
        <v>0</v>
      </c>
      <c r="I64" s="2067">
        <v>0</v>
      </c>
      <c r="J64" s="1983">
        <v>0</v>
      </c>
      <c r="K64" s="1983"/>
      <c r="L64" s="2012" t="e">
        <v>#N/A</v>
      </c>
      <c r="M64" s="2012" t="e">
        <v>#N/A</v>
      </c>
      <c r="N64" s="2064" t="e">
        <v>#DIV/0!</v>
      </c>
      <c r="O64" s="2064" t="e">
        <v>#DIV/0!</v>
      </c>
      <c r="P64" s="2064" t="e">
        <v>#N/A</v>
      </c>
      <c r="Q64" s="2064" t="e">
        <v>#N/A</v>
      </c>
      <c r="R64" s="2064" t="e">
        <v>#N/A</v>
      </c>
      <c r="S64" s="2002">
        <v>0</v>
      </c>
      <c r="T64" s="2002">
        <v>0</v>
      </c>
      <c r="U64" s="2002">
        <v>0</v>
      </c>
      <c r="V64" s="2071" t="e">
        <v>#DIV/0!</v>
      </c>
      <c r="W64" s="2071" t="e">
        <v>#DIV/0!</v>
      </c>
      <c r="X64" s="2071" t="e">
        <v>#DIV/0!</v>
      </c>
    </row>
    <row r="65" spans="2:24" ht="13.8" x14ac:dyDescent="0.3">
      <c r="B65" s="1980"/>
      <c r="C65" s="1980" t="s">
        <v>213</v>
      </c>
      <c r="D65" s="1980">
        <v>0</v>
      </c>
      <c r="E65" s="1980" t="s">
        <v>617</v>
      </c>
      <c r="F65" s="1980" t="s">
        <v>211</v>
      </c>
      <c r="G65" s="1989">
        <v>0</v>
      </c>
      <c r="H65" s="1989">
        <v>0</v>
      </c>
      <c r="I65" s="2067">
        <v>0</v>
      </c>
      <c r="J65" s="1983">
        <v>0</v>
      </c>
      <c r="K65" s="1983"/>
      <c r="L65" s="2012" t="e">
        <v>#N/A</v>
      </c>
      <c r="M65" s="2012" t="e">
        <v>#N/A</v>
      </c>
      <c r="N65" s="2064" t="e">
        <v>#DIV/0!</v>
      </c>
      <c r="O65" s="2064" t="e">
        <v>#DIV/0!</v>
      </c>
      <c r="P65" s="2064" t="e">
        <v>#N/A</v>
      </c>
      <c r="Q65" s="2064" t="e">
        <v>#N/A</v>
      </c>
      <c r="R65" s="2064" t="e">
        <v>#N/A</v>
      </c>
      <c r="S65" s="2002">
        <v>0</v>
      </c>
      <c r="T65" s="2002">
        <v>0</v>
      </c>
      <c r="U65" s="2002">
        <v>0</v>
      </c>
      <c r="V65" s="2071" t="e">
        <v>#DIV/0!</v>
      </c>
      <c r="W65" s="2071" t="e">
        <v>#DIV/0!</v>
      </c>
      <c r="X65" s="2071" t="e">
        <v>#DIV/0!</v>
      </c>
    </row>
    <row r="66" spans="2:24" ht="13.8" x14ac:dyDescent="0.3">
      <c r="B66" s="1980"/>
      <c r="C66" s="1980" t="s">
        <v>214</v>
      </c>
      <c r="D66" s="1980">
        <v>0</v>
      </c>
      <c r="E66" s="1980" t="s">
        <v>617</v>
      </c>
      <c r="F66" s="1980" t="s">
        <v>211</v>
      </c>
      <c r="G66" s="1989">
        <v>0</v>
      </c>
      <c r="H66" s="1989">
        <v>0</v>
      </c>
      <c r="I66" s="2067">
        <v>0</v>
      </c>
      <c r="J66" s="1983">
        <v>0</v>
      </c>
      <c r="K66" s="1983"/>
      <c r="L66" s="2012" t="e">
        <v>#N/A</v>
      </c>
      <c r="M66" s="2012" t="e">
        <v>#N/A</v>
      </c>
      <c r="N66" s="2064" t="e">
        <v>#DIV/0!</v>
      </c>
      <c r="O66" s="2064" t="e">
        <v>#DIV/0!</v>
      </c>
      <c r="P66" s="2064" t="e">
        <v>#N/A</v>
      </c>
      <c r="Q66" s="2064" t="e">
        <v>#N/A</v>
      </c>
      <c r="R66" s="2064" t="e">
        <v>#N/A</v>
      </c>
      <c r="S66" s="2002">
        <v>0</v>
      </c>
      <c r="T66" s="2002">
        <v>0</v>
      </c>
      <c r="U66" s="2002">
        <v>0</v>
      </c>
      <c r="V66" s="2071" t="e">
        <v>#DIV/0!</v>
      </c>
      <c r="W66" s="2071" t="e">
        <v>#DIV/0!</v>
      </c>
      <c r="X66" s="2071" t="e">
        <v>#DIV/0!</v>
      </c>
    </row>
    <row r="67" spans="2:24" ht="13.8" x14ac:dyDescent="0.3">
      <c r="B67" s="1980"/>
      <c r="C67" s="1980" t="s">
        <v>215</v>
      </c>
      <c r="D67" s="1980">
        <v>0</v>
      </c>
      <c r="E67" s="1980" t="s">
        <v>617</v>
      </c>
      <c r="F67" s="1980" t="s">
        <v>211</v>
      </c>
      <c r="G67" s="1989">
        <v>0</v>
      </c>
      <c r="H67" s="1989">
        <v>0</v>
      </c>
      <c r="I67" s="2067">
        <v>0</v>
      </c>
      <c r="J67" s="1983">
        <v>0</v>
      </c>
      <c r="K67" s="1983"/>
      <c r="L67" s="2012" t="e">
        <v>#N/A</v>
      </c>
      <c r="M67" s="2012" t="e">
        <v>#N/A</v>
      </c>
      <c r="N67" s="2064" t="e">
        <v>#DIV/0!</v>
      </c>
      <c r="O67" s="2064" t="e">
        <v>#DIV/0!</v>
      </c>
      <c r="P67" s="2064" t="e">
        <v>#N/A</v>
      </c>
      <c r="Q67" s="2064" t="e">
        <v>#N/A</v>
      </c>
      <c r="R67" s="2064" t="e">
        <v>#N/A</v>
      </c>
      <c r="S67" s="2002">
        <v>0</v>
      </c>
      <c r="T67" s="2002">
        <v>0</v>
      </c>
      <c r="U67" s="2002">
        <v>0</v>
      </c>
      <c r="V67" s="2071" t="e">
        <v>#DIV/0!</v>
      </c>
      <c r="W67" s="2071" t="e">
        <v>#DIV/0!</v>
      </c>
      <c r="X67" s="2071" t="e">
        <v>#DIV/0!</v>
      </c>
    </row>
    <row r="68" spans="2:24" ht="13.8" x14ac:dyDescent="0.3">
      <c r="B68" s="1980"/>
      <c r="C68" s="1980" t="s">
        <v>216</v>
      </c>
      <c r="D68" s="1983">
        <v>0</v>
      </c>
      <c r="E68" s="1980" t="s">
        <v>617</v>
      </c>
      <c r="F68" s="1980" t="s">
        <v>211</v>
      </c>
      <c r="G68" s="1989"/>
      <c r="H68" s="1989"/>
      <c r="I68" s="2000">
        <v>0</v>
      </c>
      <c r="J68" s="1983">
        <v>0</v>
      </c>
      <c r="K68" s="1983"/>
      <c r="L68" s="2012" t="e">
        <v>#N/A</v>
      </c>
      <c r="M68" s="2012" t="e">
        <v>#N/A</v>
      </c>
      <c r="N68" s="2064" t="e">
        <v>#DIV/0!</v>
      </c>
      <c r="O68" s="2064" t="e">
        <v>#DIV/0!</v>
      </c>
      <c r="P68" s="2064" t="e">
        <v>#N/A</v>
      </c>
      <c r="Q68" s="2064" t="e">
        <v>#N/A</v>
      </c>
      <c r="R68" s="2064" t="e">
        <v>#N/A</v>
      </c>
      <c r="S68" s="2002">
        <v>0</v>
      </c>
      <c r="T68" s="2002">
        <v>0</v>
      </c>
      <c r="U68" s="2002">
        <v>0</v>
      </c>
      <c r="V68" s="2071" t="e">
        <v>#DIV/0!</v>
      </c>
      <c r="W68" s="2071" t="e">
        <v>#DIV/0!</v>
      </c>
      <c r="X68" s="2071" t="e">
        <v>#DIV/0!</v>
      </c>
    </row>
    <row r="69" spans="2:24" ht="13.8" x14ac:dyDescent="0.3">
      <c r="B69" s="1980"/>
      <c r="C69" s="1980" t="s">
        <v>217</v>
      </c>
      <c r="D69" s="1980">
        <v>0</v>
      </c>
      <c r="E69" s="1980" t="s">
        <v>617</v>
      </c>
      <c r="F69" s="1980" t="s">
        <v>211</v>
      </c>
      <c r="G69" s="1989"/>
      <c r="H69" s="1989"/>
      <c r="I69" s="2000">
        <v>0</v>
      </c>
      <c r="J69" s="1983"/>
      <c r="K69" s="1983"/>
      <c r="L69" s="2012" t="e">
        <v>#N/A</v>
      </c>
      <c r="M69" s="2012" t="e">
        <v>#N/A</v>
      </c>
      <c r="N69" s="2064" t="e">
        <v>#DIV/0!</v>
      </c>
      <c r="O69" s="2064" t="e">
        <v>#DIV/0!</v>
      </c>
      <c r="P69" s="2064" t="e">
        <v>#N/A</v>
      </c>
      <c r="Q69" s="2064" t="e">
        <v>#N/A</v>
      </c>
      <c r="R69" s="2064" t="e">
        <v>#N/A</v>
      </c>
      <c r="S69" s="2002">
        <v>0</v>
      </c>
      <c r="T69" s="2002">
        <v>0</v>
      </c>
      <c r="U69" s="2002">
        <v>0</v>
      </c>
      <c r="V69" s="2071" t="e">
        <v>#DIV/0!</v>
      </c>
      <c r="W69" s="2071" t="e">
        <v>#DIV/0!</v>
      </c>
      <c r="X69" s="2071" t="e">
        <v>#DIV/0!</v>
      </c>
    </row>
    <row r="70" spans="2:24" ht="13.8" x14ac:dyDescent="0.3">
      <c r="B70" s="1980"/>
      <c r="C70" s="1980" t="s">
        <v>218</v>
      </c>
      <c r="D70" s="1983">
        <v>0</v>
      </c>
      <c r="E70" s="1980" t="s">
        <v>617</v>
      </c>
      <c r="F70" s="1980" t="s">
        <v>211</v>
      </c>
      <c r="G70" s="1989"/>
      <c r="H70" s="1989"/>
      <c r="I70" s="2000">
        <v>0</v>
      </c>
      <c r="J70" s="1983"/>
      <c r="K70" s="1983"/>
      <c r="L70" s="2012" t="e">
        <v>#N/A</v>
      </c>
      <c r="M70" s="2012" t="e">
        <v>#N/A</v>
      </c>
      <c r="N70" s="2064" t="e">
        <v>#DIV/0!</v>
      </c>
      <c r="O70" s="2064" t="e">
        <v>#DIV/0!</v>
      </c>
      <c r="P70" s="2064" t="e">
        <v>#N/A</v>
      </c>
      <c r="Q70" s="2064" t="e">
        <v>#N/A</v>
      </c>
      <c r="R70" s="2064" t="e">
        <v>#N/A</v>
      </c>
      <c r="S70" s="2002">
        <v>0</v>
      </c>
      <c r="T70" s="2002">
        <v>0</v>
      </c>
      <c r="U70" s="2002">
        <v>0</v>
      </c>
      <c r="V70" s="2071" t="e">
        <v>#DIV/0!</v>
      </c>
      <c r="W70" s="2071" t="e">
        <v>#DIV/0!</v>
      </c>
      <c r="X70" s="2071" t="e">
        <v>#DIV/0!</v>
      </c>
    </row>
    <row r="71" spans="2:24" ht="13.8" x14ac:dyDescent="0.3">
      <c r="B71" s="1980"/>
      <c r="C71" s="1980" t="s">
        <v>219</v>
      </c>
      <c r="D71" s="1980">
        <v>0</v>
      </c>
      <c r="E71" s="1980" t="s">
        <v>617</v>
      </c>
      <c r="F71" s="1980" t="s">
        <v>211</v>
      </c>
      <c r="G71" s="1989"/>
      <c r="H71" s="1989"/>
      <c r="I71" s="2000">
        <v>0</v>
      </c>
      <c r="J71" s="1983"/>
      <c r="K71" s="1983"/>
      <c r="L71" s="2012" t="e">
        <v>#N/A</v>
      </c>
      <c r="M71" s="2012" t="e">
        <v>#N/A</v>
      </c>
      <c r="N71" s="2064" t="e">
        <v>#DIV/0!</v>
      </c>
      <c r="O71" s="2064" t="e">
        <v>#DIV/0!</v>
      </c>
      <c r="P71" s="2064" t="e">
        <v>#N/A</v>
      </c>
      <c r="Q71" s="2064" t="e">
        <v>#N/A</v>
      </c>
      <c r="R71" s="2064" t="e">
        <v>#N/A</v>
      </c>
      <c r="S71" s="2002">
        <v>0</v>
      </c>
      <c r="T71" s="2002">
        <v>0</v>
      </c>
      <c r="U71" s="2002">
        <v>0</v>
      </c>
      <c r="V71" s="2071" t="e">
        <v>#DIV/0!</v>
      </c>
      <c r="W71" s="2071" t="e">
        <v>#DIV/0!</v>
      </c>
      <c r="X71" s="2071" t="e">
        <v>#DIV/0!</v>
      </c>
    </row>
    <row r="72" spans="2:24" ht="13.8" x14ac:dyDescent="0.3">
      <c r="B72" s="1980"/>
      <c r="C72" s="1980" t="s">
        <v>220</v>
      </c>
      <c r="D72" s="1983">
        <v>0</v>
      </c>
      <c r="E72" s="1980" t="s">
        <v>617</v>
      </c>
      <c r="F72" s="1980" t="s">
        <v>211</v>
      </c>
      <c r="G72" s="1989"/>
      <c r="H72" s="1989"/>
      <c r="I72" s="2000">
        <v>0</v>
      </c>
      <c r="J72" s="1983"/>
      <c r="K72" s="1983"/>
      <c r="L72" s="2012" t="e">
        <v>#N/A</v>
      </c>
      <c r="M72" s="2012" t="e">
        <v>#N/A</v>
      </c>
      <c r="N72" s="2064" t="e">
        <v>#DIV/0!</v>
      </c>
      <c r="O72" s="2064" t="e">
        <v>#DIV/0!</v>
      </c>
      <c r="P72" s="2064" t="e">
        <v>#N/A</v>
      </c>
      <c r="Q72" s="2064" t="e">
        <v>#N/A</v>
      </c>
      <c r="R72" s="2064" t="e">
        <v>#N/A</v>
      </c>
      <c r="S72" s="2002">
        <v>0</v>
      </c>
      <c r="T72" s="2002">
        <v>0</v>
      </c>
      <c r="U72" s="2002">
        <v>0</v>
      </c>
      <c r="V72" s="2071" t="e">
        <v>#DIV/0!</v>
      </c>
      <c r="W72" s="2071" t="e">
        <v>#DIV/0!</v>
      </c>
      <c r="X72" s="2071" t="e">
        <v>#DIV/0!</v>
      </c>
    </row>
    <row r="73" spans="2:24" ht="13.8" x14ac:dyDescent="0.3">
      <c r="B73" s="1980"/>
      <c r="C73" s="1980" t="s">
        <v>221</v>
      </c>
      <c r="D73" s="1980">
        <v>0</v>
      </c>
      <c r="E73" s="1980" t="s">
        <v>617</v>
      </c>
      <c r="F73" s="1980" t="s">
        <v>211</v>
      </c>
      <c r="G73" s="1989"/>
      <c r="H73" s="1989"/>
      <c r="I73" s="2000">
        <v>0</v>
      </c>
      <c r="J73" s="1983"/>
      <c r="K73" s="1983"/>
      <c r="L73" s="2012" t="e">
        <v>#N/A</v>
      </c>
      <c r="M73" s="2012" t="e">
        <v>#N/A</v>
      </c>
      <c r="N73" s="2064" t="e">
        <v>#DIV/0!</v>
      </c>
      <c r="O73" s="2064" t="e">
        <v>#DIV/0!</v>
      </c>
      <c r="P73" s="2064" t="e">
        <v>#N/A</v>
      </c>
      <c r="Q73" s="2064" t="e">
        <v>#N/A</v>
      </c>
      <c r="R73" s="2064" t="e">
        <v>#N/A</v>
      </c>
      <c r="S73" s="2002">
        <v>0</v>
      </c>
      <c r="T73" s="2002">
        <v>0</v>
      </c>
      <c r="U73" s="2002">
        <v>0</v>
      </c>
      <c r="V73" s="2071" t="e">
        <v>#DIV/0!</v>
      </c>
      <c r="W73" s="2071" t="e">
        <v>#DIV/0!</v>
      </c>
      <c r="X73" s="2071" t="e">
        <v>#DIV/0!</v>
      </c>
    </row>
    <row r="74" spans="2:24" ht="13.8" x14ac:dyDescent="0.3">
      <c r="B74" s="1980"/>
      <c r="C74" s="1980" t="s">
        <v>222</v>
      </c>
      <c r="D74" s="1983">
        <v>0</v>
      </c>
      <c r="E74" s="1980" t="s">
        <v>617</v>
      </c>
      <c r="F74" s="1980" t="s">
        <v>211</v>
      </c>
      <c r="G74" s="1989"/>
      <c r="H74" s="1989"/>
      <c r="I74" s="2000">
        <v>0</v>
      </c>
      <c r="J74" s="1983"/>
      <c r="K74" s="1983"/>
      <c r="L74" s="2012" t="e">
        <v>#N/A</v>
      </c>
      <c r="M74" s="2012" t="e">
        <v>#N/A</v>
      </c>
      <c r="N74" s="2064" t="e">
        <v>#DIV/0!</v>
      </c>
      <c r="O74" s="2064" t="e">
        <v>#DIV/0!</v>
      </c>
      <c r="P74" s="2064" t="e">
        <v>#N/A</v>
      </c>
      <c r="Q74" s="2064" t="e">
        <v>#N/A</v>
      </c>
      <c r="R74" s="2064" t="e">
        <v>#N/A</v>
      </c>
      <c r="S74" s="2002">
        <v>0</v>
      </c>
      <c r="T74" s="2002">
        <v>0</v>
      </c>
      <c r="U74" s="2002">
        <v>0</v>
      </c>
      <c r="V74" s="2071" t="e">
        <v>#DIV/0!</v>
      </c>
      <c r="W74" s="2071" t="e">
        <v>#DIV/0!</v>
      </c>
      <c r="X74" s="2071" t="e">
        <v>#DIV/0!</v>
      </c>
    </row>
    <row r="75" spans="2:24" ht="13.8" x14ac:dyDescent="0.3">
      <c r="B75" s="1980"/>
      <c r="C75" s="1980" t="s">
        <v>223</v>
      </c>
      <c r="D75" s="1980">
        <v>0</v>
      </c>
      <c r="E75" s="1980" t="s">
        <v>617</v>
      </c>
      <c r="F75" s="1980" t="s">
        <v>211</v>
      </c>
      <c r="G75" s="1989"/>
      <c r="H75" s="1989"/>
      <c r="I75" s="2000">
        <v>0</v>
      </c>
      <c r="J75" s="1983"/>
      <c r="K75" s="1983"/>
      <c r="L75" s="2012" t="e">
        <v>#N/A</v>
      </c>
      <c r="M75" s="2012" t="e">
        <v>#N/A</v>
      </c>
      <c r="N75" s="2064" t="e">
        <v>#DIV/0!</v>
      </c>
      <c r="O75" s="2064" t="e">
        <v>#DIV/0!</v>
      </c>
      <c r="P75" s="2064" t="e">
        <v>#N/A</v>
      </c>
      <c r="Q75" s="2064" t="e">
        <v>#N/A</v>
      </c>
      <c r="R75" s="2064" t="e">
        <v>#N/A</v>
      </c>
      <c r="S75" s="2002">
        <v>0</v>
      </c>
      <c r="T75" s="2002">
        <v>0</v>
      </c>
      <c r="U75" s="2002">
        <v>0</v>
      </c>
      <c r="V75" s="2071" t="e">
        <v>#DIV/0!</v>
      </c>
      <c r="W75" s="2071" t="e">
        <v>#DIV/0!</v>
      </c>
      <c r="X75" s="2071" t="e">
        <v>#DIV/0!</v>
      </c>
    </row>
    <row r="76" spans="2:24" ht="13.8" x14ac:dyDescent="0.3">
      <c r="B76" s="1980"/>
      <c r="C76" s="1980" t="s">
        <v>224</v>
      </c>
      <c r="D76" s="1983">
        <v>0</v>
      </c>
      <c r="E76" s="1980" t="s">
        <v>617</v>
      </c>
      <c r="F76" s="1980" t="s">
        <v>211</v>
      </c>
      <c r="G76" s="1989"/>
      <c r="H76" s="1989"/>
      <c r="I76" s="2000">
        <v>0</v>
      </c>
      <c r="J76" s="1983"/>
      <c r="K76" s="1983"/>
      <c r="L76" s="2012" t="e">
        <v>#N/A</v>
      </c>
      <c r="M76" s="2012" t="e">
        <v>#N/A</v>
      </c>
      <c r="N76" s="2064" t="e">
        <v>#DIV/0!</v>
      </c>
      <c r="O76" s="2064" t="e">
        <v>#DIV/0!</v>
      </c>
      <c r="P76" s="2064" t="e">
        <v>#N/A</v>
      </c>
      <c r="Q76" s="2064" t="e">
        <v>#N/A</v>
      </c>
      <c r="R76" s="2064" t="e">
        <v>#N/A</v>
      </c>
      <c r="S76" s="2002">
        <v>0</v>
      </c>
      <c r="T76" s="2002">
        <v>0</v>
      </c>
      <c r="U76" s="2002">
        <v>0</v>
      </c>
      <c r="V76" s="2071" t="e">
        <v>#DIV/0!</v>
      </c>
      <c r="W76" s="2071" t="e">
        <v>#DIV/0!</v>
      </c>
      <c r="X76" s="2071" t="e">
        <v>#DIV/0!</v>
      </c>
    </row>
    <row r="77" spans="2:24" ht="13.8" x14ac:dyDescent="0.3">
      <c r="B77" s="1980"/>
      <c r="C77" s="1980" t="s">
        <v>225</v>
      </c>
      <c r="D77" s="1980">
        <v>0</v>
      </c>
      <c r="E77" s="1980" t="s">
        <v>617</v>
      </c>
      <c r="F77" s="1980" t="s">
        <v>211</v>
      </c>
      <c r="G77" s="1989"/>
      <c r="H77" s="1989"/>
      <c r="I77" s="2000">
        <v>0</v>
      </c>
      <c r="J77" s="1983"/>
      <c r="K77" s="1983"/>
      <c r="L77" s="2012" t="e">
        <v>#N/A</v>
      </c>
      <c r="M77" s="2012" t="e">
        <v>#N/A</v>
      </c>
      <c r="N77" s="2064" t="e">
        <v>#DIV/0!</v>
      </c>
      <c r="O77" s="2064" t="e">
        <v>#DIV/0!</v>
      </c>
      <c r="P77" s="2064" t="e">
        <v>#N/A</v>
      </c>
      <c r="Q77" s="2064" t="e">
        <v>#N/A</v>
      </c>
      <c r="R77" s="2064" t="e">
        <v>#N/A</v>
      </c>
      <c r="S77" s="2002">
        <v>0</v>
      </c>
      <c r="T77" s="2002">
        <v>0</v>
      </c>
      <c r="U77" s="2002">
        <v>0</v>
      </c>
      <c r="V77" s="2071" t="e">
        <v>#DIV/0!</v>
      </c>
      <c r="W77" s="2071" t="e">
        <v>#DIV/0!</v>
      </c>
      <c r="X77" s="2071" t="e">
        <v>#DIV/0!</v>
      </c>
    </row>
    <row r="78" spans="2:24" ht="13.8" x14ac:dyDescent="0.3">
      <c r="B78" s="1980"/>
      <c r="C78" s="1980" t="s">
        <v>226</v>
      </c>
      <c r="D78" s="1983">
        <v>0</v>
      </c>
      <c r="E78" s="1980" t="s">
        <v>617</v>
      </c>
      <c r="F78" s="1980" t="s">
        <v>211</v>
      </c>
      <c r="G78" s="1989"/>
      <c r="H78" s="1989"/>
      <c r="I78" s="2000">
        <v>0</v>
      </c>
      <c r="J78" s="1983"/>
      <c r="K78" s="1983"/>
      <c r="L78" s="2012" t="e">
        <v>#REF!</v>
      </c>
      <c r="M78" s="2012" t="e">
        <v>#REF!</v>
      </c>
      <c r="N78" s="2064" t="e">
        <v>#DIV/0!</v>
      </c>
      <c r="O78" s="2064" t="e">
        <v>#DIV/0!</v>
      </c>
      <c r="P78" s="2064" t="e">
        <v>#REF!</v>
      </c>
      <c r="Q78" s="2064" t="e">
        <v>#REF!</v>
      </c>
      <c r="R78" s="2064" t="e">
        <v>#N/A</v>
      </c>
      <c r="S78" s="2002">
        <v>0</v>
      </c>
      <c r="T78" s="2002">
        <v>0</v>
      </c>
      <c r="U78" s="2002">
        <v>0</v>
      </c>
      <c r="V78" s="2071" t="e">
        <v>#DIV/0!</v>
      </c>
      <c r="W78" s="2071" t="e">
        <v>#DIV/0!</v>
      </c>
      <c r="X78" s="2071" t="e">
        <v>#DIV/0!</v>
      </c>
    </row>
    <row r="79" spans="2:24" ht="13.8" x14ac:dyDescent="0.3">
      <c r="B79" s="1980"/>
      <c r="C79" s="1980" t="s">
        <v>227</v>
      </c>
      <c r="D79" s="1980">
        <v>0</v>
      </c>
      <c r="E79" s="1980" t="s">
        <v>617</v>
      </c>
      <c r="F79" s="1980" t="s">
        <v>211</v>
      </c>
      <c r="G79" s="1989"/>
      <c r="H79" s="1989"/>
      <c r="I79" s="2000">
        <v>0</v>
      </c>
      <c r="J79" s="1983"/>
      <c r="K79" s="1983"/>
      <c r="L79" s="2012" t="e">
        <v>#REF!</v>
      </c>
      <c r="M79" s="2012" t="e">
        <v>#REF!</v>
      </c>
      <c r="N79" s="2064" t="e">
        <v>#DIV/0!</v>
      </c>
      <c r="O79" s="2064" t="e">
        <v>#DIV/0!</v>
      </c>
      <c r="P79" s="2064" t="e">
        <v>#REF!</v>
      </c>
      <c r="Q79" s="2064" t="e">
        <v>#REF!</v>
      </c>
      <c r="R79" s="2064" t="e">
        <v>#N/A</v>
      </c>
      <c r="S79" s="2002">
        <v>0</v>
      </c>
      <c r="T79" s="2002">
        <v>0</v>
      </c>
      <c r="U79" s="2002">
        <v>0</v>
      </c>
      <c r="V79" s="2071" t="e">
        <v>#DIV/0!</v>
      </c>
      <c r="W79" s="2071" t="e">
        <v>#DIV/0!</v>
      </c>
      <c r="X79" s="2071" t="e">
        <v>#DIV/0!</v>
      </c>
    </row>
    <row r="80" spans="2:24" ht="13.8" x14ac:dyDescent="0.3">
      <c r="B80" s="1980"/>
      <c r="C80" s="1980" t="s">
        <v>228</v>
      </c>
      <c r="D80" s="1980">
        <v>0</v>
      </c>
      <c r="E80" s="1980" t="s">
        <v>617</v>
      </c>
      <c r="F80" s="1980" t="s">
        <v>211</v>
      </c>
      <c r="G80" s="1989"/>
      <c r="H80" s="1989"/>
      <c r="I80" s="2000">
        <v>0</v>
      </c>
      <c r="J80" s="1983"/>
      <c r="K80" s="1983"/>
      <c r="L80" s="2012" t="e">
        <v>#REF!</v>
      </c>
      <c r="M80" s="2012" t="e">
        <v>#REF!</v>
      </c>
      <c r="N80" s="2064" t="e">
        <v>#DIV/0!</v>
      </c>
      <c r="O80" s="2064" t="e">
        <v>#DIV/0!</v>
      </c>
      <c r="P80" s="2064" t="e">
        <v>#REF!</v>
      </c>
      <c r="Q80" s="2064" t="e">
        <v>#REF!</v>
      </c>
      <c r="R80" s="2064" t="e">
        <v>#N/A</v>
      </c>
      <c r="S80" s="2002">
        <v>0</v>
      </c>
      <c r="T80" s="2002">
        <v>0</v>
      </c>
      <c r="U80" s="2002">
        <v>0</v>
      </c>
      <c r="V80" s="2071" t="e">
        <v>#DIV/0!</v>
      </c>
      <c r="W80" s="2071" t="e">
        <v>#DIV/0!</v>
      </c>
      <c r="X80" s="2071" t="e">
        <v>#DIV/0!</v>
      </c>
    </row>
    <row r="81" spans="2:21" ht="13.8" x14ac:dyDescent="0.3">
      <c r="B81" s="1980"/>
      <c r="C81" s="1980" t="s">
        <v>229</v>
      </c>
      <c r="D81" s="1980">
        <v>0</v>
      </c>
      <c r="E81" s="1980" t="s">
        <v>617</v>
      </c>
      <c r="F81" s="1980" t="s">
        <v>211</v>
      </c>
      <c r="G81" s="1989"/>
      <c r="H81" s="1989"/>
      <c r="I81" s="2000">
        <v>0</v>
      </c>
      <c r="J81" s="1983"/>
      <c r="K81" s="1983"/>
      <c r="L81" s="2012" t="e">
        <v>#REF!</v>
      </c>
      <c r="M81" s="2012" t="e">
        <v>#REF!</v>
      </c>
      <c r="N81" s="2064" t="e">
        <v>#DIV/0!</v>
      </c>
      <c r="O81" s="2064" t="e">
        <v>#DIV/0!</v>
      </c>
      <c r="P81" s="2064" t="e">
        <v>#REF!</v>
      </c>
      <c r="Q81" s="2064" t="e">
        <v>#REF!</v>
      </c>
      <c r="R81" s="2064" t="e">
        <v>#N/A</v>
      </c>
      <c r="S81" s="2002">
        <v>0</v>
      </c>
      <c r="T81" s="2002">
        <v>0</v>
      </c>
      <c r="U81" s="2002">
        <v>0</v>
      </c>
    </row>
    <row r="82" spans="2:21" ht="13.8" x14ac:dyDescent="0.3">
      <c r="B82" s="1980"/>
      <c r="C82" s="1980" t="s">
        <v>230</v>
      </c>
      <c r="D82" s="2032">
        <v>0</v>
      </c>
      <c r="E82" s="1980" t="s">
        <v>617</v>
      </c>
      <c r="F82" s="1980" t="s">
        <v>211</v>
      </c>
      <c r="G82" s="1989"/>
      <c r="H82" s="1989"/>
      <c r="I82" s="2000">
        <v>0</v>
      </c>
      <c r="J82" s="1983"/>
      <c r="K82" s="1983"/>
      <c r="L82" s="2012" t="e">
        <v>#REF!</v>
      </c>
      <c r="M82" s="2012" t="e">
        <v>#REF!</v>
      </c>
      <c r="N82" s="2064" t="e">
        <v>#DIV/0!</v>
      </c>
      <c r="O82" s="2064" t="e">
        <v>#DIV/0!</v>
      </c>
      <c r="P82" s="2064" t="e">
        <v>#REF!</v>
      </c>
      <c r="Q82" s="2064" t="e">
        <v>#REF!</v>
      </c>
      <c r="R82" s="2064" t="e">
        <v>#N/A</v>
      </c>
      <c r="S82" s="2002">
        <v>0</v>
      </c>
      <c r="T82" s="2002">
        <v>0</v>
      </c>
      <c r="U82" s="2002">
        <v>0</v>
      </c>
    </row>
    <row r="83" spans="2:21" ht="13.8" x14ac:dyDescent="0.3">
      <c r="B83" s="1980"/>
      <c r="C83" s="1980" t="s">
        <v>231</v>
      </c>
      <c r="D83" s="2032">
        <v>0</v>
      </c>
      <c r="E83" s="1980" t="s">
        <v>617</v>
      </c>
      <c r="F83" s="1980" t="s">
        <v>211</v>
      </c>
      <c r="G83" s="1989"/>
      <c r="H83" s="1989"/>
      <c r="I83" s="2000">
        <v>0</v>
      </c>
      <c r="J83" s="1983"/>
      <c r="K83" s="1983"/>
      <c r="L83" s="2012" t="e">
        <v>#REF!</v>
      </c>
      <c r="M83" s="2012" t="e">
        <v>#REF!</v>
      </c>
      <c r="N83" s="2064" t="e">
        <v>#DIV/0!</v>
      </c>
      <c r="O83" s="2064" t="e">
        <v>#DIV/0!</v>
      </c>
      <c r="P83" s="2064" t="e">
        <v>#REF!</v>
      </c>
      <c r="Q83" s="2064" t="e">
        <v>#REF!</v>
      </c>
      <c r="R83" s="2064" t="e">
        <v>#N/A</v>
      </c>
      <c r="S83" s="2002">
        <v>0</v>
      </c>
      <c r="T83" s="2002">
        <v>0</v>
      </c>
      <c r="U83" s="2002">
        <v>0</v>
      </c>
    </row>
    <row r="84" spans="2:21" ht="13.8" x14ac:dyDescent="0.3">
      <c r="B84" s="1980"/>
      <c r="C84" s="1980" t="s">
        <v>232</v>
      </c>
      <c r="D84" s="2032">
        <v>0</v>
      </c>
      <c r="E84" s="1980" t="s">
        <v>617</v>
      </c>
      <c r="F84" s="1980" t="s">
        <v>211</v>
      </c>
      <c r="G84" s="1989"/>
      <c r="H84" s="1989"/>
      <c r="I84" s="2000">
        <v>0</v>
      </c>
      <c r="J84" s="1983"/>
      <c r="K84" s="1983"/>
      <c r="L84" s="2012" t="e">
        <v>#REF!</v>
      </c>
      <c r="M84" s="2012" t="e">
        <v>#REF!</v>
      </c>
      <c r="N84" s="2064" t="e">
        <v>#DIV/0!</v>
      </c>
      <c r="O84" s="2064" t="e">
        <v>#DIV/0!</v>
      </c>
      <c r="P84" s="2064" t="e">
        <v>#REF!</v>
      </c>
      <c r="Q84" s="2064" t="e">
        <v>#REF!</v>
      </c>
      <c r="R84" s="2064" t="e">
        <v>#N/A</v>
      </c>
      <c r="S84" s="2002">
        <v>0</v>
      </c>
      <c r="T84" s="2002">
        <v>0</v>
      </c>
      <c r="U84" s="2002">
        <v>0</v>
      </c>
    </row>
    <row r="85" spans="2:21" ht="13.8" x14ac:dyDescent="0.3">
      <c r="B85" s="1980"/>
      <c r="C85" s="1980" t="s">
        <v>233</v>
      </c>
      <c r="D85" s="2032">
        <v>0</v>
      </c>
      <c r="E85" s="1980" t="s">
        <v>617</v>
      </c>
      <c r="F85" s="1980" t="s">
        <v>211</v>
      </c>
      <c r="G85" s="1989"/>
      <c r="H85" s="1989"/>
      <c r="I85" s="2000">
        <v>0</v>
      </c>
      <c r="J85" s="1983"/>
      <c r="K85" s="1983"/>
      <c r="L85" s="2012" t="e">
        <v>#REF!</v>
      </c>
      <c r="M85" s="2012" t="e">
        <v>#REF!</v>
      </c>
      <c r="N85" s="2064" t="e">
        <v>#DIV/0!</v>
      </c>
      <c r="O85" s="2064" t="e">
        <v>#DIV/0!</v>
      </c>
      <c r="P85" s="2064" t="e">
        <v>#REF!</v>
      </c>
      <c r="Q85" s="2064" t="e">
        <v>#REF!</v>
      </c>
      <c r="R85" s="2064" t="e">
        <v>#N/A</v>
      </c>
      <c r="S85" s="2002">
        <v>0</v>
      </c>
      <c r="T85" s="2002">
        <v>0</v>
      </c>
      <c r="U85" s="2002">
        <v>0</v>
      </c>
    </row>
    <row r="86" spans="2:21" ht="13.8" x14ac:dyDescent="0.3">
      <c r="B86" s="1980"/>
      <c r="C86" s="1980" t="s">
        <v>234</v>
      </c>
      <c r="D86" s="2032">
        <v>0</v>
      </c>
      <c r="E86" s="1980" t="s">
        <v>617</v>
      </c>
      <c r="F86" s="1980" t="s">
        <v>211</v>
      </c>
      <c r="G86" s="1989"/>
      <c r="H86" s="1989"/>
      <c r="I86" s="2000">
        <v>0</v>
      </c>
      <c r="J86" s="1983"/>
      <c r="K86" s="1983"/>
      <c r="L86" s="2012" t="e">
        <v>#REF!</v>
      </c>
      <c r="M86" s="2012" t="e">
        <v>#REF!</v>
      </c>
      <c r="N86" s="2064" t="e">
        <v>#DIV/0!</v>
      </c>
      <c r="O86" s="2064" t="e">
        <v>#DIV/0!</v>
      </c>
      <c r="P86" s="2064" t="e">
        <v>#REF!</v>
      </c>
      <c r="Q86" s="2064" t="e">
        <v>#REF!</v>
      </c>
      <c r="R86" s="2064" t="e">
        <v>#N/A</v>
      </c>
      <c r="S86" s="2002">
        <v>0</v>
      </c>
      <c r="T86" s="2002">
        <v>0</v>
      </c>
      <c r="U86" s="2002">
        <v>0</v>
      </c>
    </row>
    <row r="87" spans="2:21" ht="13.8" x14ac:dyDescent="0.3">
      <c r="B87" s="1980"/>
      <c r="C87" s="1980" t="s">
        <v>235</v>
      </c>
      <c r="D87" s="2032">
        <v>0</v>
      </c>
      <c r="E87" s="1980" t="s">
        <v>617</v>
      </c>
      <c r="F87" s="1980" t="s">
        <v>211</v>
      </c>
      <c r="G87" s="1989"/>
      <c r="H87" s="1989"/>
      <c r="I87" s="2000">
        <v>0</v>
      </c>
      <c r="J87" s="1983"/>
      <c r="K87" s="1983"/>
      <c r="L87" s="2012" t="e">
        <v>#REF!</v>
      </c>
      <c r="M87" s="2012" t="e">
        <v>#REF!</v>
      </c>
      <c r="N87" s="2064" t="e">
        <v>#DIV/0!</v>
      </c>
      <c r="O87" s="2064" t="e">
        <v>#DIV/0!</v>
      </c>
      <c r="P87" s="2064" t="e">
        <v>#REF!</v>
      </c>
      <c r="Q87" s="2064" t="e">
        <v>#REF!</v>
      </c>
      <c r="R87" s="2064" t="e">
        <v>#N/A</v>
      </c>
      <c r="S87" s="2002">
        <v>0</v>
      </c>
      <c r="T87" s="2002">
        <v>0</v>
      </c>
      <c r="U87" s="2002">
        <v>0</v>
      </c>
    </row>
    <row r="88" spans="2:21" ht="13.8" x14ac:dyDescent="0.3">
      <c r="B88" s="1980"/>
      <c r="C88" s="1980" t="s">
        <v>236</v>
      </c>
      <c r="D88" s="2032">
        <v>0</v>
      </c>
      <c r="E88" s="1980" t="s">
        <v>617</v>
      </c>
      <c r="F88" s="1980" t="s">
        <v>211</v>
      </c>
      <c r="G88" s="1989"/>
      <c r="H88" s="1989"/>
      <c r="I88" s="2000">
        <v>0</v>
      </c>
      <c r="J88" s="1983"/>
      <c r="K88" s="1983"/>
      <c r="L88" s="2012" t="e">
        <v>#REF!</v>
      </c>
      <c r="M88" s="2012" t="e">
        <v>#REF!</v>
      </c>
      <c r="N88" s="2064" t="e">
        <v>#DIV/0!</v>
      </c>
      <c r="O88" s="2064" t="e">
        <v>#DIV/0!</v>
      </c>
      <c r="P88" s="2064" t="e">
        <v>#REF!</v>
      </c>
      <c r="Q88" s="2064" t="e">
        <v>#REF!</v>
      </c>
      <c r="R88" s="2064" t="e">
        <v>#N/A</v>
      </c>
      <c r="S88" s="2002">
        <v>0</v>
      </c>
      <c r="T88" s="2002">
        <v>0</v>
      </c>
      <c r="U88" s="2002">
        <v>0</v>
      </c>
    </row>
    <row r="89" spans="2:21" ht="13.8" x14ac:dyDescent="0.3">
      <c r="B89" s="1980"/>
      <c r="C89" s="1980" t="s">
        <v>237</v>
      </c>
      <c r="D89" s="2032">
        <v>0</v>
      </c>
      <c r="E89" s="1980" t="s">
        <v>617</v>
      </c>
      <c r="F89" s="1980" t="s">
        <v>211</v>
      </c>
      <c r="G89" s="1989"/>
      <c r="H89" s="1989"/>
      <c r="I89" s="2000">
        <v>0</v>
      </c>
      <c r="J89" s="1983"/>
      <c r="K89" s="1983"/>
      <c r="L89" s="2012" t="e">
        <v>#REF!</v>
      </c>
      <c r="M89" s="2012" t="e">
        <v>#REF!</v>
      </c>
      <c r="N89" s="2064" t="e">
        <v>#DIV/0!</v>
      </c>
      <c r="O89" s="2064" t="e">
        <v>#DIV/0!</v>
      </c>
      <c r="P89" s="2064" t="e">
        <v>#REF!</v>
      </c>
      <c r="Q89" s="2064" t="e">
        <v>#REF!</v>
      </c>
      <c r="R89" s="2064" t="e">
        <v>#N/A</v>
      </c>
      <c r="S89" s="2002">
        <v>0</v>
      </c>
      <c r="T89" s="2002">
        <v>0</v>
      </c>
      <c r="U89" s="2002">
        <v>0</v>
      </c>
    </row>
    <row r="90" spans="2:21" ht="13.8" x14ac:dyDescent="0.3">
      <c r="B90" s="1980"/>
      <c r="C90" s="1980" t="s">
        <v>238</v>
      </c>
      <c r="D90" s="2032">
        <v>0</v>
      </c>
      <c r="E90" s="1980" t="s">
        <v>617</v>
      </c>
      <c r="F90" s="1980" t="s">
        <v>211</v>
      </c>
      <c r="G90" s="1989"/>
      <c r="H90" s="1989"/>
      <c r="I90" s="2000">
        <v>0</v>
      </c>
      <c r="J90" s="1983"/>
      <c r="K90" s="1983"/>
      <c r="L90" s="2012" t="e">
        <v>#REF!</v>
      </c>
      <c r="M90" s="2012" t="e">
        <v>#REF!</v>
      </c>
      <c r="N90" s="2064" t="e">
        <v>#DIV/0!</v>
      </c>
      <c r="O90" s="2064" t="e">
        <v>#DIV/0!</v>
      </c>
      <c r="P90" s="2064" t="e">
        <v>#REF!</v>
      </c>
      <c r="Q90" s="2064" t="e">
        <v>#REF!</v>
      </c>
      <c r="R90" s="2064" t="e">
        <v>#N/A</v>
      </c>
      <c r="S90" s="2002">
        <v>0</v>
      </c>
      <c r="T90" s="2002">
        <v>0</v>
      </c>
      <c r="U90" s="2002">
        <v>0</v>
      </c>
    </row>
    <row r="91" spans="2:21" ht="13.8" x14ac:dyDescent="0.3">
      <c r="B91" s="1980"/>
      <c r="C91" s="1980" t="s">
        <v>239</v>
      </c>
      <c r="D91" s="2032">
        <v>0</v>
      </c>
      <c r="E91" s="1980" t="s">
        <v>617</v>
      </c>
      <c r="F91" s="1980" t="s">
        <v>211</v>
      </c>
      <c r="G91" s="1989"/>
      <c r="H91" s="1989"/>
      <c r="I91" s="2000">
        <v>0</v>
      </c>
      <c r="J91" s="1983"/>
      <c r="K91" s="1983"/>
      <c r="L91" s="2012" t="e">
        <v>#REF!</v>
      </c>
      <c r="M91" s="2012" t="e">
        <v>#REF!</v>
      </c>
      <c r="N91" s="2064" t="e">
        <v>#DIV/0!</v>
      </c>
      <c r="O91" s="2064" t="e">
        <v>#DIV/0!</v>
      </c>
      <c r="P91" s="2064" t="e">
        <v>#REF!</v>
      </c>
      <c r="Q91" s="2064" t="e">
        <v>#REF!</v>
      </c>
      <c r="R91" s="2064" t="e">
        <v>#N/A</v>
      </c>
      <c r="S91" s="2002">
        <v>0</v>
      </c>
      <c r="T91" s="2002">
        <v>0</v>
      </c>
      <c r="U91" s="2002">
        <v>0</v>
      </c>
    </row>
    <row r="92" spans="2:21" ht="13.8" x14ac:dyDescent="0.3">
      <c r="B92" s="1980"/>
      <c r="C92" s="1980" t="s">
        <v>240</v>
      </c>
      <c r="D92" s="2032">
        <v>0</v>
      </c>
      <c r="E92" s="1980" t="s">
        <v>617</v>
      </c>
      <c r="F92" s="1980" t="s">
        <v>211</v>
      </c>
      <c r="G92" s="1989"/>
      <c r="H92" s="1989"/>
      <c r="I92" s="2000">
        <v>0</v>
      </c>
      <c r="J92" s="1983"/>
      <c r="K92" s="1983"/>
      <c r="L92" s="2012" t="e">
        <v>#REF!</v>
      </c>
      <c r="M92" s="2012" t="e">
        <v>#REF!</v>
      </c>
      <c r="N92" s="2064" t="e">
        <v>#DIV/0!</v>
      </c>
      <c r="O92" s="2064" t="e">
        <v>#DIV/0!</v>
      </c>
      <c r="P92" s="2064" t="e">
        <v>#REF!</v>
      </c>
      <c r="Q92" s="2064" t="e">
        <v>#REF!</v>
      </c>
      <c r="R92" s="2064" t="e">
        <v>#N/A</v>
      </c>
      <c r="S92" s="2002">
        <v>0</v>
      </c>
      <c r="T92" s="2002">
        <v>0</v>
      </c>
      <c r="U92" s="2002">
        <v>0</v>
      </c>
    </row>
    <row r="93" spans="2:21" ht="13.8" x14ac:dyDescent="0.3">
      <c r="B93" s="1980"/>
      <c r="C93" s="1980" t="s">
        <v>241</v>
      </c>
      <c r="D93" s="2032">
        <v>0</v>
      </c>
      <c r="E93" s="1980" t="s">
        <v>617</v>
      </c>
      <c r="F93" s="1980" t="s">
        <v>211</v>
      </c>
      <c r="G93" s="1989"/>
      <c r="H93" s="1989"/>
      <c r="I93" s="2000">
        <v>0</v>
      </c>
      <c r="J93" s="1983"/>
      <c r="K93" s="1983"/>
      <c r="L93" s="2012" t="e">
        <v>#REF!</v>
      </c>
      <c r="M93" s="2012" t="e">
        <v>#REF!</v>
      </c>
      <c r="N93" s="2064" t="e">
        <v>#DIV/0!</v>
      </c>
      <c r="O93" s="2064" t="e">
        <v>#DIV/0!</v>
      </c>
      <c r="P93" s="2064" t="e">
        <v>#REF!</v>
      </c>
      <c r="Q93" s="2064" t="e">
        <v>#REF!</v>
      </c>
      <c r="R93" s="2064" t="e">
        <v>#N/A</v>
      </c>
      <c r="S93" s="2002">
        <v>0</v>
      </c>
      <c r="T93" s="2002">
        <v>0</v>
      </c>
      <c r="U93" s="2002">
        <v>0</v>
      </c>
    </row>
    <row r="94" spans="2:21" ht="13.8" x14ac:dyDescent="0.3">
      <c r="B94" s="1980"/>
      <c r="C94" s="1980" t="s">
        <v>242</v>
      </c>
      <c r="D94" s="2032">
        <v>0</v>
      </c>
      <c r="E94" s="1980" t="s">
        <v>617</v>
      </c>
      <c r="F94" s="1980" t="s">
        <v>211</v>
      </c>
      <c r="G94" s="1989"/>
      <c r="H94" s="1989"/>
      <c r="I94" s="2000">
        <v>0</v>
      </c>
      <c r="J94" s="1983"/>
      <c r="K94" s="1983"/>
      <c r="L94" s="2012" t="e">
        <v>#REF!</v>
      </c>
      <c r="M94" s="2012" t="e">
        <v>#REF!</v>
      </c>
      <c r="N94" s="2064" t="e">
        <v>#DIV/0!</v>
      </c>
      <c r="O94" s="2064" t="e">
        <v>#DIV/0!</v>
      </c>
      <c r="P94" s="2064" t="e">
        <v>#REF!</v>
      </c>
      <c r="Q94" s="2064" t="e">
        <v>#REF!</v>
      </c>
      <c r="R94" s="2064" t="e">
        <v>#N/A</v>
      </c>
      <c r="S94" s="2002">
        <v>0</v>
      </c>
      <c r="T94" s="2002">
        <v>0</v>
      </c>
      <c r="U94" s="2002">
        <v>0</v>
      </c>
    </row>
    <row r="95" spans="2:21" ht="13.8" x14ac:dyDescent="0.3">
      <c r="B95" s="1980"/>
      <c r="C95" s="1980" t="s">
        <v>243</v>
      </c>
      <c r="D95" s="2032">
        <v>0</v>
      </c>
      <c r="E95" s="1980" t="s">
        <v>617</v>
      </c>
      <c r="F95" s="1980" t="s">
        <v>211</v>
      </c>
      <c r="G95" s="1989"/>
      <c r="H95" s="1989"/>
      <c r="I95" s="2000">
        <v>0</v>
      </c>
      <c r="J95" s="1983"/>
      <c r="K95" s="1983"/>
      <c r="L95" s="2012" t="e">
        <v>#REF!</v>
      </c>
      <c r="M95" s="2012" t="e">
        <v>#REF!</v>
      </c>
      <c r="N95" s="2064" t="e">
        <v>#DIV/0!</v>
      </c>
      <c r="O95" s="2064" t="e">
        <v>#DIV/0!</v>
      </c>
      <c r="P95" s="2064" t="e">
        <v>#REF!</v>
      </c>
      <c r="Q95" s="2064" t="e">
        <v>#REF!</v>
      </c>
      <c r="R95" s="2064" t="e">
        <v>#N/A</v>
      </c>
      <c r="S95" s="2002">
        <v>0</v>
      </c>
      <c r="T95" s="2002">
        <v>0</v>
      </c>
      <c r="U95" s="2002">
        <v>0</v>
      </c>
    </row>
    <row r="96" spans="2:21" ht="13.8" x14ac:dyDescent="0.3">
      <c r="B96" s="1980"/>
      <c r="C96" s="1980" t="s">
        <v>244</v>
      </c>
      <c r="D96" s="2032">
        <v>0</v>
      </c>
      <c r="E96" s="1980" t="s">
        <v>617</v>
      </c>
      <c r="F96" s="1980" t="s">
        <v>211</v>
      </c>
      <c r="G96" s="1989"/>
      <c r="H96" s="1989"/>
      <c r="I96" s="2000">
        <v>0</v>
      </c>
      <c r="J96" s="1983"/>
      <c r="K96" s="1983"/>
      <c r="L96" s="2012" t="e">
        <v>#REF!</v>
      </c>
      <c r="M96" s="2012" t="e">
        <v>#REF!</v>
      </c>
      <c r="N96" s="2064" t="e">
        <v>#DIV/0!</v>
      </c>
      <c r="O96" s="2064" t="e">
        <v>#DIV/0!</v>
      </c>
      <c r="P96" s="2064" t="e">
        <v>#REF!</v>
      </c>
      <c r="Q96" s="2064" t="e">
        <v>#REF!</v>
      </c>
      <c r="R96" s="2064" t="e">
        <v>#N/A</v>
      </c>
      <c r="S96" s="2002">
        <v>0</v>
      </c>
      <c r="T96" s="2002">
        <v>0</v>
      </c>
      <c r="U96" s="2002">
        <v>0</v>
      </c>
    </row>
    <row r="97" spans="2:21" ht="13.8" x14ac:dyDescent="0.3">
      <c r="B97" s="1980"/>
      <c r="C97" s="1980" t="s">
        <v>245</v>
      </c>
      <c r="D97" s="2032">
        <v>0</v>
      </c>
      <c r="E97" s="1980" t="s">
        <v>617</v>
      </c>
      <c r="F97" s="1980" t="s">
        <v>211</v>
      </c>
      <c r="G97" s="1989"/>
      <c r="H97" s="1989"/>
      <c r="I97" s="2000">
        <v>0</v>
      </c>
      <c r="J97" s="1983"/>
      <c r="K97" s="1983"/>
      <c r="L97" s="2012" t="e">
        <v>#REF!</v>
      </c>
      <c r="M97" s="2012" t="e">
        <v>#REF!</v>
      </c>
      <c r="N97" s="2064" t="e">
        <v>#DIV/0!</v>
      </c>
      <c r="O97" s="2064" t="e">
        <v>#DIV/0!</v>
      </c>
      <c r="P97" s="2064" t="e">
        <v>#REF!</v>
      </c>
      <c r="Q97" s="2064" t="e">
        <v>#REF!</v>
      </c>
      <c r="R97" s="2064" t="e">
        <v>#N/A</v>
      </c>
      <c r="S97" s="2002">
        <v>0</v>
      </c>
      <c r="T97" s="2002">
        <v>0</v>
      </c>
      <c r="U97" s="2002">
        <v>0</v>
      </c>
    </row>
    <row r="98" spans="2:21" ht="13.8" x14ac:dyDescent="0.3">
      <c r="B98" s="1980"/>
      <c r="C98" s="1980" t="s">
        <v>246</v>
      </c>
      <c r="D98" s="2032">
        <v>0</v>
      </c>
      <c r="E98" s="1980" t="s">
        <v>617</v>
      </c>
      <c r="F98" s="1980" t="s">
        <v>211</v>
      </c>
      <c r="G98" s="1989"/>
      <c r="H98" s="1989"/>
      <c r="I98" s="2000">
        <v>0</v>
      </c>
      <c r="J98" s="1983"/>
      <c r="K98" s="1983"/>
      <c r="L98" s="2012" t="e">
        <v>#REF!</v>
      </c>
      <c r="M98" s="2012" t="e">
        <v>#REF!</v>
      </c>
      <c r="N98" s="2064" t="e">
        <v>#DIV/0!</v>
      </c>
      <c r="O98" s="2064" t="e">
        <v>#DIV/0!</v>
      </c>
      <c r="P98" s="2064" t="e">
        <v>#REF!</v>
      </c>
      <c r="Q98" s="2064" t="e">
        <v>#REF!</v>
      </c>
      <c r="R98" s="2064" t="e">
        <v>#N/A</v>
      </c>
      <c r="S98" s="2002">
        <v>0</v>
      </c>
      <c r="T98" s="2002">
        <v>0</v>
      </c>
      <c r="U98" s="2002">
        <v>0</v>
      </c>
    </row>
    <row r="99" spans="2:21" ht="13.8" x14ac:dyDescent="0.3">
      <c r="B99" s="1980"/>
      <c r="C99" s="1980" t="s">
        <v>247</v>
      </c>
      <c r="D99" s="2032">
        <v>0</v>
      </c>
      <c r="E99" s="1980" t="s">
        <v>617</v>
      </c>
      <c r="F99" s="1980" t="s">
        <v>211</v>
      </c>
      <c r="G99" s="1989"/>
      <c r="H99" s="1989"/>
      <c r="I99" s="2000">
        <v>0</v>
      </c>
      <c r="J99" s="1983"/>
      <c r="K99" s="1983"/>
      <c r="L99" s="2012" t="e">
        <v>#REF!</v>
      </c>
      <c r="M99" s="2012" t="e">
        <v>#REF!</v>
      </c>
      <c r="N99" s="2064" t="e">
        <v>#DIV/0!</v>
      </c>
      <c r="O99" s="2064" t="e">
        <v>#DIV/0!</v>
      </c>
      <c r="P99" s="2064" t="e">
        <v>#REF!</v>
      </c>
      <c r="Q99" s="2064" t="e">
        <v>#REF!</v>
      </c>
      <c r="R99" s="2064" t="e">
        <v>#N/A</v>
      </c>
      <c r="S99" s="2002">
        <v>0</v>
      </c>
      <c r="T99" s="2002">
        <v>0</v>
      </c>
      <c r="U99" s="2002">
        <v>0</v>
      </c>
    </row>
    <row r="100" spans="2:21" ht="13.8" x14ac:dyDescent="0.3">
      <c r="B100" s="1980"/>
      <c r="C100" s="1980" t="s">
        <v>248</v>
      </c>
      <c r="D100" s="2032">
        <v>0</v>
      </c>
      <c r="E100" s="1980" t="s">
        <v>617</v>
      </c>
      <c r="F100" s="1980" t="s">
        <v>211</v>
      </c>
      <c r="G100" s="1989"/>
      <c r="H100" s="1989"/>
      <c r="I100" s="2000">
        <v>0</v>
      </c>
      <c r="J100" s="1983"/>
      <c r="K100" s="1983"/>
      <c r="L100" s="2012" t="e">
        <v>#REF!</v>
      </c>
      <c r="M100" s="2012" t="e">
        <v>#REF!</v>
      </c>
      <c r="N100" s="2064" t="e">
        <v>#DIV/0!</v>
      </c>
      <c r="O100" s="2064" t="e">
        <v>#DIV/0!</v>
      </c>
      <c r="P100" s="2064" t="e">
        <v>#REF!</v>
      </c>
      <c r="Q100" s="2064" t="e">
        <v>#REF!</v>
      </c>
      <c r="R100" s="2064" t="e">
        <v>#N/A</v>
      </c>
      <c r="S100" s="2002">
        <v>0</v>
      </c>
      <c r="T100" s="2002">
        <v>0</v>
      </c>
      <c r="U100" s="2002">
        <v>0</v>
      </c>
    </row>
    <row r="101" spans="2:21" ht="13.8" x14ac:dyDescent="0.3">
      <c r="B101" s="1980"/>
      <c r="C101" s="1980" t="s">
        <v>249</v>
      </c>
      <c r="D101" s="2032">
        <v>0</v>
      </c>
      <c r="E101" s="1980" t="s">
        <v>617</v>
      </c>
      <c r="F101" s="1980" t="s">
        <v>211</v>
      </c>
      <c r="G101" s="1989"/>
      <c r="H101" s="1989"/>
      <c r="I101" s="2000">
        <v>0</v>
      </c>
      <c r="J101" s="1983"/>
      <c r="K101" s="1983"/>
      <c r="L101" s="2012" t="e">
        <v>#REF!</v>
      </c>
      <c r="M101" s="2012" t="e">
        <v>#REF!</v>
      </c>
      <c r="N101" s="2064" t="e">
        <v>#DIV/0!</v>
      </c>
      <c r="O101" s="2064" t="e">
        <v>#DIV/0!</v>
      </c>
      <c r="P101" s="2064" t="e">
        <v>#REF!</v>
      </c>
      <c r="Q101" s="2064" t="e">
        <v>#REF!</v>
      </c>
      <c r="R101" s="2064" t="e">
        <v>#N/A</v>
      </c>
      <c r="S101" s="2002">
        <v>0</v>
      </c>
      <c r="T101" s="2002">
        <v>0</v>
      </c>
      <c r="U101" s="2002">
        <v>0</v>
      </c>
    </row>
    <row r="102" spans="2:21" ht="13.8" x14ac:dyDescent="0.3">
      <c r="B102" s="1980"/>
      <c r="C102" s="1980" t="s">
        <v>250</v>
      </c>
      <c r="D102" s="2032">
        <v>0</v>
      </c>
      <c r="E102" s="1980" t="s">
        <v>617</v>
      </c>
      <c r="F102" s="1980" t="s">
        <v>211</v>
      </c>
      <c r="G102" s="1989"/>
      <c r="H102" s="1989"/>
      <c r="I102" s="2000">
        <v>0</v>
      </c>
      <c r="J102" s="1983"/>
      <c r="K102" s="1983"/>
      <c r="L102" s="2012" t="e">
        <v>#REF!</v>
      </c>
      <c r="M102" s="2012" t="e">
        <v>#REF!</v>
      </c>
      <c r="N102" s="2064" t="e">
        <v>#DIV/0!</v>
      </c>
      <c r="O102" s="2064" t="e">
        <v>#DIV/0!</v>
      </c>
      <c r="P102" s="2064" t="e">
        <v>#REF!</v>
      </c>
      <c r="Q102" s="2064" t="e">
        <v>#REF!</v>
      </c>
      <c r="R102" s="2064" t="e">
        <v>#N/A</v>
      </c>
      <c r="S102" s="2002">
        <v>0</v>
      </c>
      <c r="T102" s="2002">
        <v>0</v>
      </c>
      <c r="U102" s="2002">
        <v>0</v>
      </c>
    </row>
    <row r="103" spans="2:21" ht="14.4" thickBot="1" x14ac:dyDescent="0.35">
      <c r="B103" s="1980"/>
      <c r="C103" s="1980" t="s">
        <v>251</v>
      </c>
      <c r="D103" s="2032">
        <v>0</v>
      </c>
      <c r="E103" s="1980" t="s">
        <v>617</v>
      </c>
      <c r="F103" s="1980" t="s">
        <v>211</v>
      </c>
      <c r="G103" s="1989"/>
      <c r="H103" s="1989"/>
      <c r="I103" s="2000">
        <v>0</v>
      </c>
      <c r="J103" s="1983"/>
      <c r="K103" s="1983"/>
      <c r="L103" s="2015" t="e">
        <v>#REF!</v>
      </c>
      <c r="M103" s="2015" t="e">
        <v>#REF!</v>
      </c>
      <c r="N103" s="2065" t="e">
        <v>#DIV/0!</v>
      </c>
      <c r="O103" s="2065" t="e">
        <v>#DIV/0!</v>
      </c>
      <c r="P103" s="2064" t="e">
        <v>#REF!</v>
      </c>
      <c r="Q103" s="2065" t="e">
        <v>#REF!</v>
      </c>
      <c r="R103" s="2065" t="e">
        <v>#N/A</v>
      </c>
      <c r="S103" s="2002">
        <v>0</v>
      </c>
      <c r="T103" s="2002">
        <v>0</v>
      </c>
      <c r="U103" s="2002">
        <v>0</v>
      </c>
    </row>
    <row r="104" spans="2:21" ht="14.4" thickBot="1" x14ac:dyDescent="0.35">
      <c r="B104" s="1976"/>
      <c r="C104" s="1976"/>
      <c r="D104" s="1976"/>
      <c r="E104" s="1976"/>
      <c r="F104" s="1976"/>
      <c r="G104" s="2014">
        <v>0</v>
      </c>
      <c r="H104" s="2001">
        <v>0</v>
      </c>
      <c r="I104" s="2013">
        <v>0</v>
      </c>
      <c r="J104" s="1979" t="e">
        <v>#DIV/0!</v>
      </c>
      <c r="K104" s="1977"/>
      <c r="L104" s="2016" t="e">
        <v>#N/A</v>
      </c>
      <c r="M104" s="2017" t="e">
        <v>#N/A</v>
      </c>
      <c r="N104" s="2048" t="e">
        <v>#DIV/0!</v>
      </c>
      <c r="O104" s="2048" t="e">
        <v>#DIV/0!</v>
      </c>
      <c r="P104" s="2048" t="e">
        <v>#N/A</v>
      </c>
      <c r="Q104" s="2049" t="e">
        <v>#N/A</v>
      </c>
      <c r="R104" s="2049" t="e">
        <v>#DIV/0!</v>
      </c>
      <c r="S104" s="2003">
        <v>0</v>
      </c>
      <c r="T104" s="2003">
        <v>0</v>
      </c>
      <c r="U104" s="2003">
        <v>0</v>
      </c>
    </row>
  </sheetData>
  <customSheetViews>
    <customSheetView guid="{074EB09C-6289-46D7-9513-012B68BCA7BF}" showPageBreaks="1">
      <pageMargins left="0.7" right="0.7" top="0.75" bottom="0.75" header="0.3" footer="0.3"/>
      <pageSetup orientation="portrait" r:id="rId1"/>
    </customSheetView>
  </customSheetViews>
  <mergeCells count="16">
    <mergeCell ref="V60:X60"/>
    <mergeCell ref="Q2:R2"/>
    <mergeCell ref="S2:U2"/>
    <mergeCell ref="V2:V3"/>
    <mergeCell ref="P10:R10"/>
    <mergeCell ref="L60:R60"/>
    <mergeCell ref="I10:L10"/>
    <mergeCell ref="D9:E9"/>
    <mergeCell ref="I9:L9"/>
    <mergeCell ref="M9:N9"/>
    <mergeCell ref="S60:U60"/>
    <mergeCell ref="M10:O10"/>
    <mergeCell ref="B60:K60"/>
    <mergeCell ref="I11:K11"/>
    <mergeCell ref="D59:H59"/>
    <mergeCell ref="C10:F10"/>
  </mergeCells>
  <pageMargins left="0.17" right="0.22" top="0.28000000000000003" bottom="0.39" header="0.3" footer="0.3"/>
  <pageSetup paperSize="17" scale="54" orientation="landscape"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13"/>
  <sheetViews>
    <sheetView topLeftCell="A13" workbookViewId="0">
      <selection activeCell="A13" sqref="A13"/>
    </sheetView>
  </sheetViews>
  <sheetFormatPr defaultRowHeight="13.2" x14ac:dyDescent="0.25"/>
  <sheetData>
    <row r="1" spans="1:1" x14ac:dyDescent="0.25">
      <c r="A1" t="s">
        <v>0</v>
      </c>
    </row>
    <row r="13" spans="1:1" x14ac:dyDescent="0.25">
      <c r="A13" t="s">
        <v>2</v>
      </c>
    </row>
  </sheetData>
  <customSheetViews>
    <customSheetView guid="{074EB09C-6289-46D7-9513-012B68BCA7BF}" showPageBreaks="1" topLeftCell="A13">
      <selection activeCell="F28" sqref="F28"/>
      <pageMargins left="0.7" right="0.7" top="0.75" bottom="0.75" header="0.3" footer="0.3"/>
      <pageSetup orientation="portrait" r:id="rId1"/>
    </customSheetView>
  </customSheetViews>
  <pageMargins left="0.7" right="0.7" top="0.75" bottom="0.75" header="0.3" footer="0.3"/>
  <pageSetup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G21" sqref="G21"/>
    </sheetView>
  </sheetViews>
  <sheetFormatPr defaultRowHeight="13.2" x14ac:dyDescent="0.25"/>
  <cols>
    <col min="1" max="1" width="15.33203125" customWidth="1"/>
    <col min="2" max="2" width="21" customWidth="1"/>
    <col min="3" max="3" width="25" style="2" customWidth="1"/>
    <col min="4" max="4" width="22.88671875" style="3" customWidth="1"/>
    <col min="5" max="9" width="18.88671875" customWidth="1"/>
    <col min="10" max="10" width="17.5546875" customWidth="1"/>
    <col min="11" max="12" width="24.44140625" customWidth="1"/>
    <col min="13" max="13" width="19.44140625" customWidth="1"/>
    <col min="14" max="14" width="13.88671875" customWidth="1"/>
    <col min="15" max="15" width="15.5546875" customWidth="1"/>
  </cols>
  <sheetData>
    <row r="1" spans="1:15" ht="44.25" customHeight="1" x14ac:dyDescent="0.25"/>
    <row r="2" spans="1:15" s="198" customFormat="1" ht="18.75" customHeight="1" thickBot="1" x14ac:dyDescent="0.35">
      <c r="B2" s="1" t="s">
        <v>122</v>
      </c>
      <c r="C2" s="170"/>
      <c r="D2" s="2"/>
      <c r="E2" s="3"/>
    </row>
    <row r="3" spans="1:15" ht="18" customHeight="1" thickBot="1" x14ac:dyDescent="0.3">
      <c r="B3" s="5" t="s">
        <v>118</v>
      </c>
      <c r="C3" s="171"/>
      <c r="D3" s="6" t="s">
        <v>78</v>
      </c>
      <c r="E3" s="104">
        <v>18230737</v>
      </c>
    </row>
    <row r="4" spans="1:15" ht="20.25" customHeight="1" x14ac:dyDescent="0.25"/>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99"/>
      <c r="O7" s="26" t="s">
        <v>21</v>
      </c>
    </row>
    <row r="8" spans="1:15" s="55" customFormat="1" x14ac:dyDescent="0.25">
      <c r="A8" s="112"/>
      <c r="D8" s="114" t="s">
        <v>22</v>
      </c>
      <c r="E8" s="28">
        <v>69700</v>
      </c>
      <c r="F8" s="28">
        <v>0</v>
      </c>
      <c r="G8" s="28">
        <v>0</v>
      </c>
      <c r="H8" s="28">
        <v>0</v>
      </c>
      <c r="I8" s="28">
        <v>0</v>
      </c>
      <c r="J8" s="28">
        <v>149300</v>
      </c>
      <c r="K8" s="28">
        <v>0</v>
      </c>
      <c r="L8" s="28">
        <v>0</v>
      </c>
      <c r="M8" s="28">
        <v>0</v>
      </c>
      <c r="N8" s="89">
        <v>219000</v>
      </c>
      <c r="O8" s="30" t="e">
        <f>(N8-N7)/N7</f>
        <v>#DIV/0!</v>
      </c>
    </row>
    <row r="9" spans="1:15" s="55" customFormat="1" x14ac:dyDescent="0.25">
      <c r="A9" s="112"/>
      <c r="D9" s="55">
        <v>2012</v>
      </c>
      <c r="E9" s="121">
        <f>SUM(B23:B25)</f>
        <v>0</v>
      </c>
      <c r="F9" s="121">
        <f>SUM(B29:B31)</f>
        <v>0</v>
      </c>
      <c r="G9" s="121">
        <f>(SUM(B23:B25)+SUM(B29:B31))*0.63</f>
        <v>0</v>
      </c>
      <c r="H9" s="121">
        <f>SUM(B44:B48)+SUM(B52:B57)</f>
        <v>0</v>
      </c>
      <c r="I9" s="122">
        <f>SUM(B60:B64)</f>
        <v>0</v>
      </c>
      <c r="J9" s="121">
        <f>SUM(B68:B73)</f>
        <v>95650</v>
      </c>
      <c r="K9" s="121">
        <f>SUM(B76:B82)</f>
        <v>0</v>
      </c>
      <c r="L9" s="121">
        <f>SUM(B85:B90)</f>
        <v>0</v>
      </c>
      <c r="M9" s="123"/>
      <c r="N9" s="124">
        <f>SUM(E9:M9)</f>
        <v>95650</v>
      </c>
      <c r="O9" s="30">
        <f>(N9-N8)/N8</f>
        <v>-0.56324200913242006</v>
      </c>
    </row>
    <row r="10" spans="1:15" s="55" customFormat="1" x14ac:dyDescent="0.25">
      <c r="A10" s="112"/>
      <c r="D10" s="55">
        <v>2013</v>
      </c>
      <c r="E10" s="121">
        <f>SUM(C23:C25)</f>
        <v>0</v>
      </c>
      <c r="F10" s="121">
        <f>SUM(C29:C31)</f>
        <v>0</v>
      </c>
      <c r="G10" s="121">
        <f>(SUM(C23:C25)+SUM(C29:C31))*0.63</f>
        <v>0</v>
      </c>
      <c r="H10" s="121">
        <f>SUM(C44:C48)+SUM(C52:C57)</f>
        <v>0</v>
      </c>
      <c r="I10" s="122">
        <f>SUM(C60:C64)</f>
        <v>0</v>
      </c>
      <c r="J10" s="121">
        <f>SUM(C68:C73)</f>
        <v>95130</v>
      </c>
      <c r="K10" s="121">
        <f>SUM(C76:C82)</f>
        <v>0</v>
      </c>
      <c r="L10" s="121">
        <f>SUM(C85:C90)</f>
        <v>0</v>
      </c>
      <c r="M10" s="123"/>
      <c r="N10" s="124">
        <f>SUM(E10:M10)</f>
        <v>95130</v>
      </c>
      <c r="O10" s="30">
        <f>(N10-N9)/N9</f>
        <v>-5.4364871928907479E-3</v>
      </c>
    </row>
    <row r="11" spans="1:15" s="19" customFormat="1" ht="13.8" thickBot="1" x14ac:dyDescent="0.3">
      <c r="A11" s="71"/>
      <c r="D11" s="126" t="s">
        <v>23</v>
      </c>
      <c r="E11" s="127">
        <f>SUM(E9:E10)</f>
        <v>0</v>
      </c>
      <c r="F11" s="127">
        <f t="shared" ref="F11:M11" si="0">SUM(F9:F10)</f>
        <v>0</v>
      </c>
      <c r="G11" s="127">
        <f t="shared" si="0"/>
        <v>0</v>
      </c>
      <c r="H11" s="127">
        <f t="shared" si="0"/>
        <v>0</v>
      </c>
      <c r="I11" s="127">
        <f t="shared" si="0"/>
        <v>0</v>
      </c>
      <c r="J11" s="127">
        <f t="shared" si="0"/>
        <v>190780</v>
      </c>
      <c r="K11" s="127">
        <f t="shared" si="0"/>
        <v>0</v>
      </c>
      <c r="L11" s="127">
        <f t="shared" si="0"/>
        <v>0</v>
      </c>
      <c r="M11" s="128">
        <f t="shared" si="0"/>
        <v>0</v>
      </c>
      <c r="N11" s="129">
        <f>SUM(N9:N10)</f>
        <v>190780</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14" ht="15.6" x14ac:dyDescent="0.3">
      <c r="A17" s="71"/>
      <c r="B17" s="4779" t="s">
        <v>27</v>
      </c>
      <c r="C17" s="4779"/>
      <c r="D17" s="45" t="s">
        <v>28</v>
      </c>
      <c r="E17" s="46" t="s">
        <v>29</v>
      </c>
    </row>
    <row r="18" spans="1:14" ht="15.6" x14ac:dyDescent="0.3">
      <c r="A18" s="71"/>
      <c r="B18" s="4780" t="s">
        <v>30</v>
      </c>
      <c r="C18" s="4780"/>
      <c r="D18" s="45"/>
      <c r="E18" s="46"/>
      <c r="N18" s="86"/>
    </row>
    <row r="19" spans="1:14" ht="46.8" x14ac:dyDescent="0.3">
      <c r="A19" s="71"/>
      <c r="B19" s="174">
        <v>2012</v>
      </c>
      <c r="C19" s="174">
        <v>2013</v>
      </c>
      <c r="D19" s="71" t="s">
        <v>89</v>
      </c>
      <c r="E19" s="134" t="s">
        <v>32</v>
      </c>
      <c r="N19" s="86"/>
    </row>
    <row r="20" spans="1:14" x14ac:dyDescent="0.25">
      <c r="A20" s="71"/>
      <c r="B20" s="178" t="s">
        <v>9</v>
      </c>
      <c r="C20" s="178" t="s">
        <v>9</v>
      </c>
      <c r="D20" s="141"/>
      <c r="E20" s="142">
        <f>SUM(B23:B25)+SUM(C23:C25)</f>
        <v>0</v>
      </c>
    </row>
    <row r="21" spans="1:14" ht="7.5" customHeight="1" x14ac:dyDescent="0.25">
      <c r="A21" s="71"/>
      <c r="B21" s="179"/>
      <c r="C21" s="179"/>
      <c r="D21" s="2"/>
      <c r="E21" s="54"/>
    </row>
    <row r="22" spans="1:14" x14ac:dyDescent="0.25">
      <c r="A22" s="71"/>
      <c r="B22" s="180" t="s">
        <v>33</v>
      </c>
      <c r="C22" s="180" t="s">
        <v>33</v>
      </c>
      <c r="D22" s="146" t="s">
        <v>7</v>
      </c>
      <c r="E22" s="54"/>
      <c r="F22" s="147" t="s">
        <v>7</v>
      </c>
    </row>
    <row r="23" spans="1:14" x14ac:dyDescent="0.25">
      <c r="A23" s="71"/>
      <c r="B23" s="71"/>
      <c r="C23" s="19"/>
      <c r="E23" s="54"/>
      <c r="F23" s="149"/>
    </row>
    <row r="24" spans="1:14" x14ac:dyDescent="0.25">
      <c r="A24" s="71"/>
      <c r="C24"/>
      <c r="D24" s="2"/>
      <c r="E24" s="54"/>
    </row>
    <row r="25" spans="1:14" x14ac:dyDescent="0.25">
      <c r="A25" s="71"/>
      <c r="C25"/>
      <c r="D25" s="2"/>
      <c r="E25" s="54"/>
    </row>
    <row r="26" spans="1:14" s="55" customFormat="1" ht="21" customHeight="1" x14ac:dyDescent="0.25">
      <c r="A26" s="112"/>
      <c r="B26" s="178" t="s">
        <v>10</v>
      </c>
      <c r="C26" s="178" t="s">
        <v>10</v>
      </c>
      <c r="D26" s="141"/>
      <c r="E26" s="142">
        <f>SUM(B29:B32)+SUM(C29:C32)</f>
        <v>0</v>
      </c>
    </row>
    <row r="27" spans="1:14" ht="8.25" customHeight="1" x14ac:dyDescent="0.25">
      <c r="A27" s="71"/>
      <c r="B27" s="184"/>
      <c r="C27" s="184"/>
      <c r="D27" s="155"/>
      <c r="E27" s="54"/>
    </row>
    <row r="28" spans="1:14" s="55" customFormat="1" ht="13.5" customHeight="1" x14ac:dyDescent="0.25">
      <c r="A28" s="112"/>
      <c r="B28" s="180" t="s">
        <v>33</v>
      </c>
      <c r="C28" s="180" t="s">
        <v>33</v>
      </c>
      <c r="D28" s="155"/>
      <c r="E28" s="54"/>
    </row>
    <row r="29" spans="1:14" x14ac:dyDescent="0.25">
      <c r="A29" s="71"/>
      <c r="B29" s="88"/>
      <c r="C29" s="185"/>
      <c r="D29" s="153"/>
      <c r="E29" s="54"/>
    </row>
    <row r="30" spans="1:14" x14ac:dyDescent="0.25">
      <c r="A30" s="71"/>
      <c r="B30" s="185"/>
      <c r="C30" s="185"/>
      <c r="D30" s="153"/>
      <c r="E30" s="54"/>
    </row>
    <row r="31" spans="1:14" x14ac:dyDescent="0.25">
      <c r="A31" s="71"/>
      <c r="B31" s="19"/>
      <c r="C31" s="19"/>
      <c r="D31" s="153"/>
      <c r="E31" s="54"/>
    </row>
    <row r="32" spans="1:14" x14ac:dyDescent="0.25">
      <c r="A32" s="71"/>
      <c r="B32" s="19"/>
      <c r="C32" s="19"/>
      <c r="D32" s="153"/>
      <c r="E32" s="54"/>
    </row>
    <row r="33" spans="1:6" x14ac:dyDescent="0.25">
      <c r="A33" s="71"/>
      <c r="B33" s="178" t="s">
        <v>11</v>
      </c>
      <c r="C33" s="178" t="s">
        <v>11</v>
      </c>
      <c r="D33" s="141"/>
      <c r="E33" s="142">
        <f>E20*0.63</f>
        <v>0</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D51"/>
      <c r="E51" s="75"/>
    </row>
    <row r="52" spans="1:5" x14ac:dyDescent="0.25">
      <c r="A52" s="71"/>
      <c r="B52" s="188"/>
      <c r="C52" s="188"/>
      <c r="D52"/>
      <c r="E52" s="75"/>
    </row>
    <row r="53" spans="1:5" ht="12.75" customHeight="1"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0</v>
      </c>
    </row>
    <row r="59" spans="1:5" ht="6.75" customHeight="1" x14ac:dyDescent="0.25">
      <c r="A59" s="71"/>
      <c r="B59" s="179"/>
      <c r="C59" s="179"/>
      <c r="D59" s="2"/>
      <c r="E59" s="54"/>
    </row>
    <row r="60" spans="1:5" x14ac:dyDescent="0.25">
      <c r="A60" s="71"/>
      <c r="C60"/>
      <c r="D60" s="164" t="s">
        <v>72</v>
      </c>
      <c r="E60" s="54"/>
    </row>
    <row r="61" spans="1:5" x14ac:dyDescent="0.25">
      <c r="A61" s="71"/>
      <c r="B61" t="s">
        <v>7</v>
      </c>
      <c r="C61"/>
      <c r="D61" s="164" t="s">
        <v>42</v>
      </c>
      <c r="E61" s="54"/>
    </row>
    <row r="62" spans="1:5" x14ac:dyDescent="0.25">
      <c r="A62" s="71"/>
      <c r="C62"/>
      <c r="D62" s="164" t="s">
        <v>43</v>
      </c>
      <c r="E62" s="54"/>
    </row>
    <row r="63" spans="1:5" x14ac:dyDescent="0.25">
      <c r="A63" s="71"/>
      <c r="C63"/>
      <c r="D63" s="164" t="s">
        <v>62</v>
      </c>
      <c r="E63" s="54"/>
    </row>
    <row r="64" spans="1:5" x14ac:dyDescent="0.25">
      <c r="A64" s="71"/>
      <c r="B64" s="192"/>
      <c r="C64" s="192"/>
      <c r="D64" s="164" t="s">
        <v>45</v>
      </c>
      <c r="E64" s="54"/>
    </row>
    <row r="65" spans="1:5" x14ac:dyDescent="0.25">
      <c r="A65" s="71"/>
      <c r="B65" s="192"/>
      <c r="C65" s="192"/>
      <c r="D65" s="164"/>
      <c r="E65" s="54"/>
    </row>
    <row r="66" spans="1:5" x14ac:dyDescent="0.25">
      <c r="A66" s="71"/>
      <c r="B66" s="178" t="s">
        <v>14</v>
      </c>
      <c r="C66" s="178" t="s">
        <v>14</v>
      </c>
      <c r="D66" s="141"/>
      <c r="E66" s="142">
        <f>SUM(B68:B73)+SUM(C68:C73)</f>
        <v>190780</v>
      </c>
    </row>
    <row r="67" spans="1:5" ht="6" customHeight="1" x14ac:dyDescent="0.25">
      <c r="A67" s="166"/>
      <c r="B67" s="179"/>
      <c r="C67" s="179"/>
      <c r="D67" s="2"/>
      <c r="E67" s="54"/>
    </row>
    <row r="68" spans="1:5" x14ac:dyDescent="0.25">
      <c r="A68" s="71"/>
      <c r="B68" s="86">
        <v>25220</v>
      </c>
      <c r="C68" s="86">
        <v>13000</v>
      </c>
      <c r="D68" s="164" t="s">
        <v>112</v>
      </c>
      <c r="E68" s="54"/>
    </row>
    <row r="69" spans="1:5" x14ac:dyDescent="0.25">
      <c r="A69" s="71"/>
      <c r="B69" s="86"/>
      <c r="C69" s="86"/>
      <c r="D69" s="164"/>
      <c r="E69" s="54"/>
    </row>
    <row r="70" spans="1:5" x14ac:dyDescent="0.25">
      <c r="A70" s="71"/>
      <c r="B70" s="86">
        <v>32500</v>
      </c>
      <c r="C70" s="86">
        <v>44200</v>
      </c>
      <c r="D70" s="164" t="s">
        <v>123</v>
      </c>
      <c r="E70" s="54"/>
    </row>
    <row r="71" spans="1:5" x14ac:dyDescent="0.25">
      <c r="A71" s="71"/>
      <c r="B71" s="86">
        <v>35100</v>
      </c>
      <c r="C71" s="86">
        <v>35100</v>
      </c>
      <c r="D71" s="164" t="s">
        <v>124</v>
      </c>
      <c r="E71" s="54"/>
    </row>
    <row r="72" spans="1:5" x14ac:dyDescent="0.25">
      <c r="A72" s="71"/>
      <c r="B72" s="86">
        <v>2050</v>
      </c>
      <c r="C72" s="86">
        <v>2050</v>
      </c>
      <c r="D72" s="3370" t="s">
        <v>1087</v>
      </c>
      <c r="E72" s="54"/>
    </row>
    <row r="73" spans="1:5" x14ac:dyDescent="0.25">
      <c r="A73" s="71"/>
      <c r="B73" s="86">
        <v>780</v>
      </c>
      <c r="C73" s="86">
        <v>780</v>
      </c>
      <c r="D73" s="3370" t="s">
        <v>1088</v>
      </c>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C81"/>
      <c r="D81" s="153"/>
      <c r="E81" s="54"/>
    </row>
    <row r="82" spans="1:5" x14ac:dyDescent="0.25">
      <c r="A82" s="71"/>
      <c r="C82"/>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95"/>
      <c r="C85" s="195"/>
      <c r="D85" s="167"/>
      <c r="E85" s="54"/>
    </row>
    <row r="86" spans="1:5" s="55" customFormat="1" ht="12.75" customHeight="1" x14ac:dyDescent="0.25">
      <c r="A86" s="112"/>
      <c r="B86" s="1564"/>
      <c r="C86" s="1564"/>
      <c r="E86" s="54"/>
    </row>
    <row r="87" spans="1:5" s="55" customFormat="1" ht="12.75" customHeight="1" x14ac:dyDescent="0.25">
      <c r="A87" s="112"/>
      <c r="B87" s="195"/>
      <c r="C87" s="195"/>
      <c r="D87" s="169"/>
      <c r="E87" s="54"/>
    </row>
    <row r="88" spans="1:5" s="55" customFormat="1" x14ac:dyDescent="0.25">
      <c r="A88" s="112"/>
      <c r="B88" s="195"/>
      <c r="C88" s="195"/>
      <c r="D88" s="167"/>
      <c r="E88" s="54"/>
    </row>
    <row r="89" spans="1:5" s="55" customFormat="1" x14ac:dyDescent="0.25">
      <c r="A89" s="112"/>
      <c r="B89" s="195"/>
      <c r="C89" s="195"/>
      <c r="D89" s="167"/>
      <c r="E89" s="54"/>
    </row>
    <row r="90" spans="1:5" x14ac:dyDescent="0.25">
      <c r="A90" s="71"/>
      <c r="B90" s="183"/>
      <c r="C90" s="183"/>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C94"/>
      <c r="D94" s="2"/>
      <c r="E94" s="3"/>
    </row>
    <row r="95" spans="1:5" x14ac:dyDescent="0.25">
      <c r="A95" s="71"/>
      <c r="B95" s="88" t="s">
        <v>56</v>
      </c>
      <c r="C95"/>
      <c r="D95" s="2"/>
      <c r="E95" s="3"/>
    </row>
    <row r="96" spans="1:5" x14ac:dyDescent="0.25">
      <c r="A96" s="71"/>
      <c r="B96" s="88" t="s">
        <v>57</v>
      </c>
      <c r="C96"/>
      <c r="D96" s="2"/>
      <c r="E96" s="3"/>
    </row>
  </sheetData>
  <customSheetViews>
    <customSheetView guid="{074EB09C-6289-46D7-9513-012B68BCA7BF}" showPageBreaks="1" topLeftCell="A49">
      <selection activeCell="A6" sqref="A6"/>
      <pageMargins left="0.7" right="0.7" top="0.75" bottom="0.75" header="0.3" footer="0.3"/>
      <pageSetup orientation="portrait" r:id="rId1"/>
    </customSheetView>
  </customSheetViews>
  <mergeCells count="3">
    <mergeCell ref="B17:C17"/>
    <mergeCell ref="B18:C18"/>
    <mergeCell ref="B14:E14"/>
  </mergeCells>
  <pageMargins left="0.27" right="0.7" top="0.38" bottom="0.45" header="0.3" footer="0.3"/>
  <pageSetup paperSize="17" scale="54"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
  <sheetViews>
    <sheetView workbookViewId="0"/>
  </sheetViews>
  <sheetFormatPr defaultRowHeight="13.2" x14ac:dyDescent="0.25"/>
  <sheetData>
    <row r="1" spans="1:1" x14ac:dyDescent="0.25">
      <c r="A1" t="s">
        <v>129</v>
      </c>
    </row>
  </sheetData>
  <customSheetViews>
    <customSheetView guid="{074EB09C-6289-46D7-9513-012B68BCA7BF}" showPageBreaks="1">
      <pageMargins left="0.7" right="0.7" top="0.75" bottom="0.75" header="0.3" footer="0.3"/>
      <pageSetup orientation="portrait" r:id="rId1"/>
    </customSheetView>
  </customSheetViews>
  <pageMargins left="0.7" right="0.7" top="0.75" bottom="0.75" header="0.3" footer="0.3"/>
  <pageSetup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RowHeight="13.2" x14ac:dyDescent="0.25"/>
  <cols>
    <col min="1" max="1" width="16" customWidth="1"/>
    <col min="2" max="2" width="21" customWidth="1"/>
    <col min="3" max="3" width="23.109375" style="2" customWidth="1"/>
    <col min="4" max="4" width="21.88671875" style="3" customWidth="1"/>
    <col min="5" max="9" width="18.88671875" customWidth="1"/>
    <col min="10" max="10" width="17.5546875" customWidth="1"/>
    <col min="11" max="12" width="24.44140625" customWidth="1"/>
    <col min="13" max="13" width="19.44140625" customWidth="1"/>
    <col min="14" max="14" width="14.6640625" customWidth="1"/>
    <col min="15" max="15" width="19.44140625" customWidth="1"/>
  </cols>
  <sheetData>
    <row r="1" spans="1:15" ht="42" customHeight="1" x14ac:dyDescent="0.25"/>
    <row r="2" spans="1:15" ht="19.5" customHeight="1" thickBot="1" x14ac:dyDescent="0.35">
      <c r="B2" s="1" t="s">
        <v>121</v>
      </c>
      <c r="C2" s="170"/>
      <c r="D2" s="2"/>
      <c r="E2" s="3"/>
    </row>
    <row r="3" spans="1:15" ht="15.6" thickBot="1" x14ac:dyDescent="0.3">
      <c r="B3" s="5" t="s">
        <v>118</v>
      </c>
      <c r="C3" s="171"/>
      <c r="D3" s="6" t="s">
        <v>78</v>
      </c>
      <c r="E3" s="104">
        <v>18230732</v>
      </c>
    </row>
    <row r="4" spans="1:15" ht="16.5" customHeight="1" x14ac:dyDescent="0.25"/>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152000</v>
      </c>
      <c r="O7" s="26" t="s">
        <v>21</v>
      </c>
    </row>
    <row r="8" spans="1:15" s="55" customFormat="1" x14ac:dyDescent="0.25">
      <c r="A8" s="112"/>
      <c r="D8" s="114" t="s">
        <v>22</v>
      </c>
      <c r="E8" s="115"/>
      <c r="F8" s="28">
        <v>73125</v>
      </c>
      <c r="G8" s="28">
        <v>34700</v>
      </c>
      <c r="H8" s="28">
        <v>0</v>
      </c>
      <c r="I8" s="28">
        <v>6000</v>
      </c>
      <c r="J8" s="28">
        <v>0</v>
      </c>
      <c r="K8" s="28">
        <v>0</v>
      </c>
      <c r="L8" s="28">
        <v>0</v>
      </c>
      <c r="M8" s="28">
        <v>0</v>
      </c>
      <c r="N8" s="89">
        <v>113825</v>
      </c>
      <c r="O8" s="30">
        <f>(N8-N7)/N7</f>
        <v>-0.25115131578947369</v>
      </c>
    </row>
    <row r="9" spans="1:15" s="55" customFormat="1" x14ac:dyDescent="0.25">
      <c r="A9" s="112"/>
      <c r="D9" s="55">
        <v>2012</v>
      </c>
      <c r="E9" s="121">
        <f>SUM(B23:B25)</f>
        <v>23400</v>
      </c>
      <c r="F9" s="121">
        <f>SUM(B29:B31)</f>
        <v>0</v>
      </c>
      <c r="G9" s="121">
        <f>(SUM(B23:B25)+SUM(B29:B31))*0.63</f>
        <v>14742</v>
      </c>
      <c r="H9" s="121">
        <f>SUM(B44:B48)+SUM(B52:B57)</f>
        <v>0</v>
      </c>
      <c r="I9" s="122">
        <f>SUM(B60:B64)</f>
        <v>2600</v>
      </c>
      <c r="J9" s="121">
        <f>SUM(B68:B73)</f>
        <v>11050</v>
      </c>
      <c r="K9" s="121">
        <f>SUM(B76:B82)</f>
        <v>0</v>
      </c>
      <c r="L9" s="121">
        <f>SUM(B85:B90)</f>
        <v>0</v>
      </c>
      <c r="M9" s="123"/>
      <c r="N9" s="124">
        <f>SUM(E9:M9)</f>
        <v>51792</v>
      </c>
      <c r="O9" s="30">
        <f>(N9-N8)/N8</f>
        <v>-0.54498572369866027</v>
      </c>
    </row>
    <row r="10" spans="1:15" s="55" customFormat="1" x14ac:dyDescent="0.25">
      <c r="A10" s="112"/>
      <c r="D10" s="55">
        <v>2013</v>
      </c>
      <c r="E10" s="121">
        <f>SUM(C23:C25)</f>
        <v>24102</v>
      </c>
      <c r="F10" s="121">
        <f>SUM(C29:C31)</f>
        <v>0</v>
      </c>
      <c r="G10" s="121">
        <f>(SUM(C23:C25)+SUM(C29:C31))*0.63</f>
        <v>15184.26</v>
      </c>
      <c r="H10" s="121">
        <f>SUM(C44:C48)+SUM(C52:C57)</f>
        <v>0</v>
      </c>
      <c r="I10" s="122">
        <f>SUM(C60:C64)</f>
        <v>2600</v>
      </c>
      <c r="J10" s="121">
        <f>SUM(C68:C73)</f>
        <v>11050</v>
      </c>
      <c r="K10" s="121">
        <f>SUM(C76:C82)</f>
        <v>0</v>
      </c>
      <c r="L10" s="121">
        <f>SUM(C85:C90)</f>
        <v>0</v>
      </c>
      <c r="M10" s="123"/>
      <c r="N10" s="124">
        <f>SUM(E10:M10)</f>
        <v>52936.26</v>
      </c>
      <c r="O10" s="30">
        <f>(N10-N9)/N9</f>
        <v>2.2093373493975943E-2</v>
      </c>
    </row>
    <row r="11" spans="1:15" s="19" customFormat="1" ht="13.8" thickBot="1" x14ac:dyDescent="0.3">
      <c r="A11" s="71"/>
      <c r="D11" s="126" t="s">
        <v>23</v>
      </c>
      <c r="E11" s="127">
        <f>SUM(E9:E10)</f>
        <v>47502</v>
      </c>
      <c r="F11" s="127">
        <f t="shared" ref="F11:M11" si="0">SUM(F9:F10)</f>
        <v>0</v>
      </c>
      <c r="G11" s="127">
        <f t="shared" si="0"/>
        <v>29926.260000000002</v>
      </c>
      <c r="H11" s="127">
        <f t="shared" si="0"/>
        <v>0</v>
      </c>
      <c r="I11" s="127">
        <f t="shared" si="0"/>
        <v>5200</v>
      </c>
      <c r="J11" s="127">
        <f t="shared" si="0"/>
        <v>22100</v>
      </c>
      <c r="K11" s="127">
        <f t="shared" si="0"/>
        <v>0</v>
      </c>
      <c r="L11" s="127">
        <f t="shared" si="0"/>
        <v>0</v>
      </c>
      <c r="M11" s="128">
        <f t="shared" si="0"/>
        <v>0</v>
      </c>
      <c r="N11" s="129">
        <f>SUM(N9:N10)</f>
        <v>104728.26000000001</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47502</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181">
        <v>23400</v>
      </c>
      <c r="C23" s="182">
        <v>24102</v>
      </c>
      <c r="D23" s="148"/>
      <c r="E23" s="54"/>
      <c r="F23" s="149"/>
    </row>
    <row r="24" spans="1:6" x14ac:dyDescent="0.25">
      <c r="A24" s="71"/>
      <c r="B24" s="183"/>
      <c r="C24" s="183"/>
      <c r="D24" s="151"/>
      <c r="E24" s="54"/>
    </row>
    <row r="25" spans="1:6" x14ac:dyDescent="0.25">
      <c r="A25" s="71"/>
      <c r="B25" s="183"/>
      <c r="C25" s="183"/>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29926.26</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D51"/>
      <c r="E51" s="75"/>
    </row>
    <row r="52" spans="1:5" x14ac:dyDescent="0.25">
      <c r="A52" s="71"/>
      <c r="B52" s="188"/>
      <c r="C52" s="188"/>
      <c r="D52"/>
      <c r="E52" s="75"/>
    </row>
    <row r="53" spans="1:5" ht="12.75" customHeight="1"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5200</v>
      </c>
    </row>
    <row r="59" spans="1:5" ht="6.75" customHeight="1" x14ac:dyDescent="0.25">
      <c r="A59" s="71"/>
      <c r="B59" s="179"/>
      <c r="C59" s="179"/>
      <c r="D59" s="2"/>
      <c r="E59" s="54"/>
    </row>
    <row r="60" spans="1:5" x14ac:dyDescent="0.25">
      <c r="A60" s="71"/>
      <c r="B60" s="86"/>
      <c r="C60" s="86"/>
      <c r="D60" s="164" t="s">
        <v>72</v>
      </c>
      <c r="E60" s="54"/>
    </row>
    <row r="61" spans="1:5" x14ac:dyDescent="0.25">
      <c r="A61" s="71"/>
      <c r="B61" s="86" t="s">
        <v>7</v>
      </c>
      <c r="C61" s="86"/>
      <c r="D61" s="164" t="s">
        <v>42</v>
      </c>
      <c r="E61" s="54"/>
    </row>
    <row r="62" spans="1:5" x14ac:dyDescent="0.25">
      <c r="A62" s="71"/>
      <c r="B62" s="86">
        <v>2600</v>
      </c>
      <c r="C62" s="86">
        <v>2600</v>
      </c>
      <c r="D62" s="164" t="s">
        <v>43</v>
      </c>
      <c r="E62" s="54"/>
    </row>
    <row r="63" spans="1:5" x14ac:dyDescent="0.25">
      <c r="A63" s="71"/>
      <c r="B63" s="86"/>
      <c r="C63" s="86"/>
      <c r="D63" s="164" t="s">
        <v>62</v>
      </c>
      <c r="E63" s="54"/>
    </row>
    <row r="64" spans="1:5" x14ac:dyDescent="0.25">
      <c r="A64" s="71"/>
      <c r="B64" s="189"/>
      <c r="C64" s="189"/>
      <c r="D64" s="164" t="s">
        <v>45</v>
      </c>
      <c r="E64" s="54"/>
    </row>
    <row r="65" spans="1:5" x14ac:dyDescent="0.25">
      <c r="A65" s="71"/>
      <c r="B65" s="189"/>
      <c r="C65" s="189"/>
      <c r="D65" s="164"/>
      <c r="E65" s="54"/>
    </row>
    <row r="66" spans="1:5" x14ac:dyDescent="0.25">
      <c r="A66" s="71"/>
      <c r="B66" s="178" t="s">
        <v>14</v>
      </c>
      <c r="C66" s="178" t="s">
        <v>14</v>
      </c>
      <c r="D66" s="141"/>
      <c r="E66" s="142">
        <f>SUM(B68:B73)+SUM(C68:C73)</f>
        <v>22100</v>
      </c>
    </row>
    <row r="67" spans="1:5" ht="6" customHeight="1" x14ac:dyDescent="0.25">
      <c r="A67" s="166"/>
      <c r="B67" s="179"/>
      <c r="C67" s="179"/>
      <c r="D67" s="2"/>
      <c r="E67" s="54"/>
    </row>
    <row r="68" spans="1:5" x14ac:dyDescent="0.25">
      <c r="A68" s="71"/>
      <c r="B68" s="86">
        <v>11050</v>
      </c>
      <c r="C68" s="86">
        <v>11050</v>
      </c>
      <c r="D68" s="164" t="s">
        <v>92</v>
      </c>
      <c r="E68" s="54"/>
    </row>
    <row r="69" spans="1:5" x14ac:dyDescent="0.25">
      <c r="A69" s="71"/>
      <c r="B69" s="86"/>
      <c r="C69" s="86"/>
      <c r="D69" s="2"/>
      <c r="E69" s="54"/>
    </row>
    <row r="70" spans="1:5" x14ac:dyDescent="0.25">
      <c r="A70" s="71"/>
      <c r="B70" s="86"/>
      <c r="C70" s="86"/>
      <c r="D70" s="2"/>
      <c r="E70" s="54"/>
    </row>
    <row r="71" spans="1:5" x14ac:dyDescent="0.25">
      <c r="A71" s="71"/>
      <c r="B71" s="86"/>
      <c r="C71" s="86"/>
      <c r="D71" s="2"/>
      <c r="E71" s="54"/>
    </row>
    <row r="72" spans="1:5" x14ac:dyDescent="0.25">
      <c r="A72" s="71"/>
      <c r="B72" s="86"/>
      <c r="C72" s="86"/>
      <c r="D72" s="2"/>
      <c r="E72" s="54"/>
    </row>
    <row r="73" spans="1:5" x14ac:dyDescent="0.25">
      <c r="A73" s="71"/>
      <c r="B73" s="86" t="s">
        <v>7</v>
      </c>
      <c r="C73" s="86"/>
      <c r="D73" s="2"/>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C81"/>
      <c r="D81" s="153"/>
      <c r="E81" s="54"/>
    </row>
    <row r="82" spans="1:5" x14ac:dyDescent="0.25">
      <c r="A82" s="71"/>
      <c r="C82"/>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C90"/>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C94"/>
      <c r="D94" s="2"/>
      <c r="E94" s="3"/>
    </row>
    <row r="95" spans="1:5" x14ac:dyDescent="0.25">
      <c r="A95" s="71"/>
      <c r="B95" s="88" t="s">
        <v>56</v>
      </c>
      <c r="C95"/>
      <c r="D95" s="2"/>
      <c r="E95" s="3"/>
    </row>
    <row r="96" spans="1:5" x14ac:dyDescent="0.25">
      <c r="A96" s="71"/>
      <c r="B96" s="88" t="s">
        <v>57</v>
      </c>
      <c r="C96"/>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39" right="0.7" top="0.32" bottom="0.35" header="0.3" footer="0.3"/>
  <pageSetup paperSize="17" scale="55" orientation="landscape"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C11" sqref="C11"/>
    </sheetView>
  </sheetViews>
  <sheetFormatPr defaultRowHeight="13.2" x14ac:dyDescent="0.25"/>
  <cols>
    <col min="1" max="1" width="15.6640625" customWidth="1"/>
    <col min="2" max="2" width="21.33203125" customWidth="1"/>
    <col min="3" max="3" width="22.6640625" style="2" customWidth="1"/>
    <col min="4" max="4" width="22.44140625" style="3" customWidth="1"/>
    <col min="5" max="9" width="18.88671875" customWidth="1"/>
    <col min="10" max="10" width="17.5546875" customWidth="1"/>
    <col min="11" max="12" width="20.109375" customWidth="1"/>
    <col min="13" max="13" width="19.44140625" customWidth="1"/>
    <col min="14" max="14" width="14.44140625" customWidth="1"/>
    <col min="15" max="15" width="15.33203125" customWidth="1"/>
  </cols>
  <sheetData>
    <row r="1" spans="1:15" ht="43.5" customHeight="1" x14ac:dyDescent="0.25"/>
    <row r="2" spans="1:15" ht="18" thickBot="1" x14ac:dyDescent="0.35">
      <c r="B2" s="1" t="s">
        <v>80</v>
      </c>
      <c r="C2" s="170"/>
      <c r="D2" s="2"/>
      <c r="E2" s="3"/>
    </row>
    <row r="3" spans="1:15" ht="15.6" thickBot="1" x14ac:dyDescent="0.3">
      <c r="B3" s="5" t="s">
        <v>118</v>
      </c>
      <c r="C3" s="171"/>
      <c r="D3" s="6" t="s">
        <v>6</v>
      </c>
      <c r="E3" s="104">
        <v>18230657</v>
      </c>
    </row>
    <row r="4" spans="1:15" x14ac:dyDescent="0.25">
      <c r="B4" s="171"/>
    </row>
    <row r="5" spans="1:15" x14ac:dyDescent="0.25">
      <c r="B5" s="171" t="s">
        <v>7</v>
      </c>
      <c r="C5" s="105"/>
    </row>
    <row r="6" spans="1:15" ht="13.8" thickBot="1" x14ac:dyDescent="0.3">
      <c r="A6" s="71"/>
      <c r="C6"/>
      <c r="D6" s="2"/>
      <c r="E6" s="107" t="s">
        <v>1286</v>
      </c>
    </row>
    <row r="7" spans="1:15" ht="39.6" x14ac:dyDescent="0.3">
      <c r="B7" s="3882"/>
      <c r="C7"/>
      <c r="D7"/>
      <c r="E7" s="108" t="s">
        <v>9</v>
      </c>
      <c r="F7" s="108" t="s">
        <v>10</v>
      </c>
      <c r="G7" s="108" t="s">
        <v>11</v>
      </c>
      <c r="H7" s="109" t="s">
        <v>12</v>
      </c>
      <c r="I7" s="110" t="s">
        <v>13</v>
      </c>
      <c r="J7" s="108" t="s">
        <v>14</v>
      </c>
      <c r="K7" s="108" t="s">
        <v>15</v>
      </c>
      <c r="L7" s="108" t="s">
        <v>16</v>
      </c>
      <c r="M7" s="108" t="s">
        <v>17</v>
      </c>
      <c r="N7" s="111" t="s">
        <v>18</v>
      </c>
      <c r="O7" s="18" t="s">
        <v>19</v>
      </c>
    </row>
    <row r="8" spans="1:15" s="55" customFormat="1" x14ac:dyDescent="0.25">
      <c r="A8" s="112"/>
      <c r="D8" s="114" t="s">
        <v>20</v>
      </c>
      <c r="E8" s="115"/>
      <c r="F8" s="115"/>
      <c r="G8" s="115"/>
      <c r="H8" s="116"/>
      <c r="I8" s="117"/>
      <c r="J8" s="115"/>
      <c r="K8" s="115"/>
      <c r="L8" s="115"/>
      <c r="M8" s="115"/>
      <c r="N8" s="199"/>
      <c r="O8" s="26" t="s">
        <v>21</v>
      </c>
    </row>
    <row r="9" spans="1:15" s="55" customFormat="1" x14ac:dyDescent="0.25">
      <c r="A9" s="112"/>
      <c r="D9" s="114" t="s">
        <v>22</v>
      </c>
      <c r="E9" s="28">
        <v>49733</v>
      </c>
      <c r="F9" s="28">
        <v>0</v>
      </c>
      <c r="G9" s="28">
        <v>31331.79</v>
      </c>
      <c r="H9" s="28">
        <v>0</v>
      </c>
      <c r="I9" s="28">
        <v>8040</v>
      </c>
      <c r="J9" s="28">
        <v>2250</v>
      </c>
      <c r="K9" s="28">
        <v>600</v>
      </c>
      <c r="L9" s="28">
        <v>0</v>
      </c>
      <c r="M9" s="28">
        <v>0</v>
      </c>
      <c r="N9" s="29">
        <v>91954.790000000008</v>
      </c>
      <c r="O9" s="30" t="e">
        <f>(N9-N8)/N8</f>
        <v>#DIV/0!</v>
      </c>
    </row>
    <row r="10" spans="1:15" s="55" customFormat="1" x14ac:dyDescent="0.25">
      <c r="A10" s="112"/>
      <c r="D10" s="55">
        <v>2012</v>
      </c>
      <c r="E10" s="121">
        <f>SUM(B24:B26)</f>
        <v>24931</v>
      </c>
      <c r="F10" s="121">
        <f>SUM(B30:B32)</f>
        <v>0</v>
      </c>
      <c r="G10" s="121">
        <f>(SUM(B24:B26)+SUM(B30:B32))*0.63</f>
        <v>15706.53</v>
      </c>
      <c r="H10" s="121">
        <f>SUM(B45:B49)+SUM(B53:B58)</f>
        <v>0</v>
      </c>
      <c r="I10" s="122">
        <f>SUM(B61:B65)</f>
        <v>780</v>
      </c>
      <c r="J10" s="121">
        <f>SUM(B69:B74)</f>
        <v>845</v>
      </c>
      <c r="K10" s="121">
        <f>SUM(B77:B83)</f>
        <v>0</v>
      </c>
      <c r="L10" s="121">
        <f>SUM(B86:B91)</f>
        <v>0</v>
      </c>
      <c r="M10" s="123"/>
      <c r="N10" s="190">
        <f>SUM(E10:M10)</f>
        <v>42262.53</v>
      </c>
      <c r="O10" s="30">
        <f>(N10-N9)/N9</f>
        <v>-0.5403988198983436</v>
      </c>
    </row>
    <row r="11" spans="1:15" s="55" customFormat="1" x14ac:dyDescent="0.25">
      <c r="A11" s="112"/>
      <c r="D11" s="55">
        <v>2013</v>
      </c>
      <c r="E11" s="121">
        <f>SUM(C24:C26)</f>
        <v>25659</v>
      </c>
      <c r="F11" s="121">
        <f>SUM(C30:C32)</f>
        <v>0</v>
      </c>
      <c r="G11" s="121">
        <f>(SUM(C24:C26)+SUM(C30:C32))*0.63</f>
        <v>16165.17</v>
      </c>
      <c r="H11" s="121">
        <f>SUM(C45:C49)+SUM(C53:C58)</f>
        <v>0</v>
      </c>
      <c r="I11" s="122">
        <f>SUM(C61:C65)</f>
        <v>1300</v>
      </c>
      <c r="J11" s="121">
        <f>SUM(C69:C74)</f>
        <v>845</v>
      </c>
      <c r="K11" s="121">
        <f>SUM(C77:C83)</f>
        <v>0</v>
      </c>
      <c r="L11" s="121">
        <f>SUM(C86:C91)</f>
        <v>0</v>
      </c>
      <c r="M11" s="123"/>
      <c r="N11" s="124">
        <f>SUM(E11:M11)</f>
        <v>43969.17</v>
      </c>
      <c r="O11" s="30">
        <f>(N11-N10)/N10</f>
        <v>4.0381870181458598E-2</v>
      </c>
    </row>
    <row r="12" spans="1:15" s="19" customFormat="1" ht="13.8" thickBot="1" x14ac:dyDescent="0.3">
      <c r="A12" s="71"/>
      <c r="D12" s="126" t="s">
        <v>23</v>
      </c>
      <c r="E12" s="127">
        <f>SUM(E10:E11)</f>
        <v>50590</v>
      </c>
      <c r="F12" s="127">
        <f t="shared" ref="F12:M12" si="0">SUM(F10:F11)</f>
        <v>0</v>
      </c>
      <c r="G12" s="127">
        <f t="shared" si="0"/>
        <v>31871.7</v>
      </c>
      <c r="H12" s="127">
        <f t="shared" si="0"/>
        <v>0</v>
      </c>
      <c r="I12" s="127">
        <f t="shared" si="0"/>
        <v>2080</v>
      </c>
      <c r="J12" s="127">
        <f t="shared" si="0"/>
        <v>1690</v>
      </c>
      <c r="K12" s="127">
        <f t="shared" si="0"/>
        <v>0</v>
      </c>
      <c r="L12" s="127">
        <f t="shared" si="0"/>
        <v>0</v>
      </c>
      <c r="M12" s="128">
        <f t="shared" si="0"/>
        <v>0</v>
      </c>
      <c r="N12" s="129">
        <f>SUM(N10:N11)</f>
        <v>86231.7</v>
      </c>
    </row>
    <row r="13" spans="1:15" ht="18" customHeight="1" x14ac:dyDescent="0.25">
      <c r="A13" s="71"/>
      <c r="C13"/>
      <c r="D13" s="2"/>
      <c r="E13" s="3"/>
      <c r="M13" s="71" t="s">
        <v>24</v>
      </c>
    </row>
    <row r="14" spans="1:15" x14ac:dyDescent="0.25">
      <c r="A14" s="71"/>
      <c r="C14"/>
      <c r="D14" s="2"/>
      <c r="E14" s="3"/>
      <c r="M14" s="71" t="s">
        <v>25</v>
      </c>
    </row>
    <row r="15" spans="1:15" ht="15.6" x14ac:dyDescent="0.3">
      <c r="A15" s="71"/>
      <c r="B15" s="4781" t="s">
        <v>26</v>
      </c>
      <c r="C15" s="4783"/>
      <c r="D15" s="4783"/>
      <c r="E15" s="4782"/>
      <c r="F15" s="3839"/>
      <c r="G15" s="3839"/>
    </row>
    <row r="16" spans="1:15" s="55" customFormat="1" ht="15.6" x14ac:dyDescent="0.3">
      <c r="A16" s="112"/>
      <c r="B16" s="173"/>
      <c r="C16" s="132"/>
      <c r="D16" s="132"/>
      <c r="E16" s="132"/>
      <c r="F16" s="132"/>
      <c r="G16" s="132"/>
    </row>
    <row r="17" spans="1:10" s="55" customFormat="1" ht="15.6" x14ac:dyDescent="0.3">
      <c r="A17" s="112"/>
      <c r="B17" s="132"/>
      <c r="C17" s="132"/>
      <c r="D17" s="132"/>
      <c r="E17" s="132"/>
      <c r="F17" s="132"/>
      <c r="G17" s="132"/>
    </row>
    <row r="18" spans="1:10" ht="15.6" x14ac:dyDescent="0.3">
      <c r="A18" s="71"/>
      <c r="B18" s="4779" t="s">
        <v>27</v>
      </c>
      <c r="C18" s="4779"/>
      <c r="D18" s="45" t="s">
        <v>28</v>
      </c>
      <c r="E18" s="46" t="s">
        <v>29</v>
      </c>
    </row>
    <row r="19" spans="1:10" ht="15.6" x14ac:dyDescent="0.3">
      <c r="A19" s="71"/>
      <c r="B19" s="4780" t="s">
        <v>30</v>
      </c>
      <c r="C19" s="4780"/>
      <c r="D19" s="45"/>
      <c r="E19" s="46"/>
      <c r="H19" s="135"/>
      <c r="I19" s="135"/>
      <c r="J19" s="135"/>
    </row>
    <row r="20" spans="1:10" ht="46.8" x14ac:dyDescent="0.3">
      <c r="A20" s="71"/>
      <c r="B20" s="174">
        <v>2012</v>
      </c>
      <c r="C20" s="174">
        <v>2013</v>
      </c>
      <c r="D20" s="71" t="s">
        <v>89</v>
      </c>
      <c r="E20" s="134" t="s">
        <v>32</v>
      </c>
      <c r="H20" s="200"/>
      <c r="I20" s="135"/>
      <c r="J20" s="135"/>
    </row>
    <row r="21" spans="1:10" x14ac:dyDescent="0.25">
      <c r="A21" s="71"/>
      <c r="B21" s="178" t="s">
        <v>9</v>
      </c>
      <c r="C21" s="178" t="s">
        <v>9</v>
      </c>
      <c r="D21" s="141"/>
      <c r="E21" s="142">
        <f>SUM(B24:B26)+SUM(C24:C26)</f>
        <v>50590</v>
      </c>
      <c r="H21" s="143"/>
      <c r="I21" s="135"/>
      <c r="J21" s="135"/>
    </row>
    <row r="22" spans="1:10" ht="7.5" customHeight="1" x14ac:dyDescent="0.25">
      <c r="A22" s="71"/>
      <c r="B22" s="179"/>
      <c r="C22" s="179"/>
      <c r="D22" s="2"/>
      <c r="E22" s="54"/>
      <c r="H22" s="143"/>
      <c r="I22" s="135"/>
      <c r="J22" s="135"/>
    </row>
    <row r="23" spans="1:10" x14ac:dyDescent="0.25">
      <c r="A23" s="71"/>
      <c r="B23" s="180" t="s">
        <v>33</v>
      </c>
      <c r="C23" s="180" t="s">
        <v>33</v>
      </c>
      <c r="D23" s="146" t="s">
        <v>7</v>
      </c>
      <c r="E23" s="54"/>
      <c r="F23" s="147" t="s">
        <v>7</v>
      </c>
      <c r="H23" s="143"/>
      <c r="I23" s="135"/>
      <c r="J23" s="135"/>
    </row>
    <row r="24" spans="1:10" x14ac:dyDescent="0.25">
      <c r="A24" s="71"/>
      <c r="B24" s="181">
        <v>24931</v>
      </c>
      <c r="C24" s="182">
        <v>25659</v>
      </c>
      <c r="D24" s="148" t="s">
        <v>125</v>
      </c>
      <c r="E24" s="54"/>
      <c r="F24" s="149"/>
      <c r="H24" s="143"/>
      <c r="I24" s="135"/>
      <c r="J24" s="135"/>
    </row>
    <row r="25" spans="1:10" ht="15" x14ac:dyDescent="0.4">
      <c r="A25" s="71"/>
      <c r="B25" s="183"/>
      <c r="C25" s="183"/>
      <c r="D25" s="153"/>
      <c r="E25" s="54"/>
      <c r="H25" s="152"/>
      <c r="I25" s="135"/>
      <c r="J25" s="135"/>
    </row>
    <row r="26" spans="1:10" x14ac:dyDescent="0.25">
      <c r="A26" s="71"/>
      <c r="B26" s="183"/>
      <c r="C26" s="183"/>
      <c r="D26" s="151"/>
      <c r="E26" s="54"/>
      <c r="H26" s="143"/>
      <c r="I26" s="135"/>
      <c r="J26" s="135"/>
    </row>
    <row r="27" spans="1:10" s="55" customFormat="1" ht="21" customHeight="1" x14ac:dyDescent="0.25">
      <c r="A27" s="112"/>
      <c r="B27" s="178" t="s">
        <v>10</v>
      </c>
      <c r="C27" s="178" t="s">
        <v>10</v>
      </c>
      <c r="D27" s="141"/>
      <c r="E27" s="142">
        <f>SUM(B30:B33)+SUM(C30:C33)</f>
        <v>0</v>
      </c>
    </row>
    <row r="28" spans="1:10" ht="8.25" customHeight="1" x14ac:dyDescent="0.25">
      <c r="A28" s="71"/>
      <c r="B28" s="184"/>
      <c r="C28" s="184"/>
      <c r="D28" s="155"/>
      <c r="E28" s="54"/>
    </row>
    <row r="29" spans="1:10" s="55" customFormat="1" ht="13.5" customHeight="1" x14ac:dyDescent="0.25">
      <c r="A29" s="112"/>
      <c r="B29" s="180" t="s">
        <v>33</v>
      </c>
      <c r="C29" s="180" t="s">
        <v>33</v>
      </c>
      <c r="D29" s="155"/>
      <c r="E29" s="54"/>
    </row>
    <row r="30" spans="1:10" x14ac:dyDescent="0.25">
      <c r="A30" s="71"/>
      <c r="B30" s="88"/>
      <c r="C30" s="185"/>
      <c r="D30" s="153"/>
      <c r="E30" s="54"/>
    </row>
    <row r="31" spans="1:10" x14ac:dyDescent="0.25">
      <c r="A31" s="71"/>
      <c r="B31" s="185"/>
      <c r="C31" s="185"/>
      <c r="D31" s="153"/>
      <c r="E31" s="54"/>
    </row>
    <row r="32" spans="1:10" x14ac:dyDescent="0.25">
      <c r="A32" s="71"/>
      <c r="B32" s="19"/>
      <c r="C32" s="19"/>
      <c r="D32" s="153"/>
      <c r="E32" s="54"/>
    </row>
    <row r="33" spans="1:6" x14ac:dyDescent="0.25">
      <c r="A33" s="71"/>
      <c r="B33" s="19"/>
      <c r="C33" s="19"/>
      <c r="D33" s="153"/>
      <c r="E33" s="54"/>
    </row>
    <row r="34" spans="1:6" x14ac:dyDescent="0.25">
      <c r="A34" s="71"/>
      <c r="B34" s="178" t="s">
        <v>11</v>
      </c>
      <c r="C34" s="178" t="s">
        <v>11</v>
      </c>
      <c r="D34" s="141"/>
      <c r="E34" s="142">
        <f>E21*0.63</f>
        <v>31871.7</v>
      </c>
    </row>
    <row r="35" spans="1:6" ht="7.5" customHeight="1" x14ac:dyDescent="0.25">
      <c r="A35" s="71"/>
      <c r="B35" s="179"/>
      <c r="C35" s="179"/>
      <c r="D35" s="2"/>
      <c r="E35" s="70"/>
    </row>
    <row r="36" spans="1:6" x14ac:dyDescent="0.25">
      <c r="A36" s="191"/>
      <c r="B36" s="186" t="s">
        <v>38</v>
      </c>
      <c r="C36" s="186" t="s">
        <v>38</v>
      </c>
      <c r="D36" s="146" t="s">
        <v>7</v>
      </c>
      <c r="E36" s="54"/>
      <c r="F36" s="161"/>
    </row>
    <row r="37" spans="1:6" x14ac:dyDescent="0.25">
      <c r="A37" s="71"/>
      <c r="B37" s="19"/>
      <c r="C37" s="19"/>
      <c r="D37" s="153" t="s">
        <v>7</v>
      </c>
      <c r="E37" s="54"/>
    </row>
    <row r="38" spans="1:6" s="55" customFormat="1" x14ac:dyDescent="0.25">
      <c r="A38" s="112"/>
      <c r="B38" s="178" t="s">
        <v>39</v>
      </c>
      <c r="C38" s="178" t="s">
        <v>39</v>
      </c>
      <c r="D38" s="141"/>
      <c r="E38" s="142">
        <f>SUM(B40:B42)+SUM(C40:C42)</f>
        <v>0</v>
      </c>
    </row>
    <row r="39" spans="1:6" ht="7.5" customHeight="1" x14ac:dyDescent="0.25">
      <c r="A39" s="71"/>
      <c r="B39" s="184"/>
      <c r="C39" s="184"/>
      <c r="D39" s="155"/>
      <c r="E39" s="54"/>
    </row>
    <row r="40" spans="1:6" x14ac:dyDescent="0.25">
      <c r="A40" s="71"/>
      <c r="C40" s="185"/>
      <c r="D40" s="153"/>
      <c r="E40" s="54"/>
    </row>
    <row r="41" spans="1:6" ht="26.25" customHeight="1" x14ac:dyDescent="0.25">
      <c r="A41" s="71"/>
      <c r="B41" s="19"/>
      <c r="C41" s="19"/>
      <c r="D41" s="153"/>
      <c r="E41" s="54"/>
    </row>
    <row r="42" spans="1:6" ht="15.75" customHeight="1" x14ac:dyDescent="0.25">
      <c r="A42" s="71"/>
      <c r="B42" s="19"/>
      <c r="C42" s="19"/>
      <c r="D42" s="153"/>
      <c r="E42" s="54"/>
    </row>
    <row r="43" spans="1:6" x14ac:dyDescent="0.25">
      <c r="A43" s="71"/>
      <c r="B43" s="178" t="s">
        <v>12</v>
      </c>
      <c r="C43" s="178" t="s">
        <v>12</v>
      </c>
      <c r="D43" s="141"/>
      <c r="E43" s="142">
        <f>SUM(B45:B50)+SUM(C45:C50)</f>
        <v>0</v>
      </c>
    </row>
    <row r="44" spans="1:6" ht="6.75" customHeight="1" x14ac:dyDescent="0.25">
      <c r="A44" s="71"/>
      <c r="B44" s="187"/>
      <c r="C44" s="187"/>
      <c r="D44" s="153"/>
      <c r="E44" s="54"/>
    </row>
    <row r="45" spans="1:6" x14ac:dyDescent="0.25">
      <c r="A45" s="71"/>
      <c r="B45" s="201"/>
      <c r="C45" s="201"/>
      <c r="D45" s="151" t="s">
        <v>126</v>
      </c>
      <c r="E45" s="54"/>
    </row>
    <row r="46" spans="1:6" x14ac:dyDescent="0.25">
      <c r="A46" s="71"/>
      <c r="B46" s="201"/>
      <c r="C46" s="201"/>
      <c r="D46" s="153"/>
      <c r="E46" s="54"/>
    </row>
    <row r="47" spans="1:6" x14ac:dyDescent="0.25">
      <c r="A47" s="71"/>
      <c r="B47" s="201"/>
      <c r="C47" s="201"/>
      <c r="D47" s="153"/>
      <c r="E47" s="54"/>
    </row>
    <row r="48" spans="1:6" x14ac:dyDescent="0.25">
      <c r="A48" s="71"/>
      <c r="B48" s="201"/>
      <c r="C48" s="201"/>
      <c r="D48" s="153"/>
      <c r="E48" s="54"/>
    </row>
    <row r="49" spans="1:5" ht="27.75" customHeight="1" x14ac:dyDescent="0.25">
      <c r="A49" s="71"/>
      <c r="B49" s="201"/>
      <c r="C49" s="201"/>
      <c r="D49" s="153"/>
      <c r="E49" s="54"/>
    </row>
    <row r="50" spans="1:5" ht="15" customHeight="1" x14ac:dyDescent="0.25">
      <c r="A50" s="71"/>
      <c r="B50" s="201"/>
      <c r="C50" s="201"/>
      <c r="D50" s="153"/>
      <c r="E50" s="54"/>
    </row>
    <row r="51" spans="1:5" x14ac:dyDescent="0.25">
      <c r="A51" s="71"/>
      <c r="B51" s="178" t="s">
        <v>40</v>
      </c>
      <c r="C51" s="178" t="s">
        <v>40</v>
      </c>
      <c r="D51" s="141"/>
      <c r="E51" s="142">
        <f>SUM(B53:B58)+SUM(C53:C58)</f>
        <v>0</v>
      </c>
    </row>
    <row r="52" spans="1:5" ht="6.75" customHeight="1" x14ac:dyDescent="0.25">
      <c r="A52" s="71"/>
      <c r="B52" s="184"/>
      <c r="C52" s="184"/>
      <c r="D52"/>
      <c r="E52" s="75"/>
    </row>
    <row r="53" spans="1:5" x14ac:dyDescent="0.25">
      <c r="A53" s="71"/>
      <c r="B53" s="188"/>
      <c r="C53" s="188"/>
      <c r="D53"/>
      <c r="E53" s="75"/>
    </row>
    <row r="54" spans="1:5" ht="12.75" customHeight="1" x14ac:dyDescent="0.25">
      <c r="A54" s="71"/>
      <c r="B54" s="188"/>
      <c r="C54" s="188"/>
      <c r="D54"/>
      <c r="E54" s="75"/>
    </row>
    <row r="55" spans="1:5" x14ac:dyDescent="0.25">
      <c r="A55" s="71"/>
      <c r="B55" s="188"/>
      <c r="C55" s="188"/>
      <c r="D55"/>
      <c r="E55" s="75"/>
    </row>
    <row r="56" spans="1:5" x14ac:dyDescent="0.25">
      <c r="A56" s="71"/>
      <c r="B56" s="188"/>
      <c r="C56" s="188"/>
      <c r="D56"/>
      <c r="E56" s="75"/>
    </row>
    <row r="57" spans="1:5" x14ac:dyDescent="0.25">
      <c r="A57" s="71"/>
      <c r="C57"/>
      <c r="D57"/>
      <c r="E57" s="75"/>
    </row>
    <row r="58" spans="1:5" x14ac:dyDescent="0.25">
      <c r="A58" s="71"/>
      <c r="C58"/>
      <c r="D58" s="2"/>
      <c r="E58" s="54"/>
    </row>
    <row r="59" spans="1:5" x14ac:dyDescent="0.25">
      <c r="A59" s="71"/>
      <c r="B59" s="178" t="s">
        <v>13</v>
      </c>
      <c r="C59" s="178" t="s">
        <v>13</v>
      </c>
      <c r="D59" s="141"/>
      <c r="E59" s="142">
        <f>SUM(B61:B66)+SUM(C61:C66)</f>
        <v>2080</v>
      </c>
    </row>
    <row r="60" spans="1:5" ht="6.75" customHeight="1" x14ac:dyDescent="0.25">
      <c r="A60" s="71"/>
      <c r="B60" s="179"/>
      <c r="C60" s="179"/>
      <c r="D60" s="2"/>
      <c r="E60" s="54"/>
    </row>
    <row r="61" spans="1:5" x14ac:dyDescent="0.25">
      <c r="A61" s="71"/>
      <c r="B61" s="86">
        <v>130</v>
      </c>
      <c r="C61" s="86">
        <v>650</v>
      </c>
      <c r="D61" s="164" t="s">
        <v>83</v>
      </c>
      <c r="E61" s="54"/>
    </row>
    <row r="62" spans="1:5" x14ac:dyDescent="0.25">
      <c r="A62" s="71"/>
      <c r="B62" s="86" t="s">
        <v>7</v>
      </c>
      <c r="C62" s="86"/>
      <c r="D62" s="164" t="s">
        <v>42</v>
      </c>
      <c r="E62" s="54"/>
    </row>
    <row r="63" spans="1:5" x14ac:dyDescent="0.25">
      <c r="A63" s="71"/>
      <c r="B63" s="86">
        <v>650</v>
      </c>
      <c r="C63" s="86">
        <v>650</v>
      </c>
      <c r="D63" s="164" t="s">
        <v>43</v>
      </c>
      <c r="E63" s="54"/>
    </row>
    <row r="64" spans="1:5" x14ac:dyDescent="0.25">
      <c r="A64" s="71"/>
      <c r="B64" s="86"/>
      <c r="C64" s="86"/>
      <c r="D64" s="164" t="s">
        <v>62</v>
      </c>
      <c r="E64" s="54"/>
    </row>
    <row r="65" spans="1:5" x14ac:dyDescent="0.25">
      <c r="A65" s="71"/>
      <c r="B65" s="189"/>
      <c r="C65" s="189"/>
      <c r="D65" s="164" t="s">
        <v>45</v>
      </c>
      <c r="E65" s="54"/>
    </row>
    <row r="66" spans="1:5" x14ac:dyDescent="0.25">
      <c r="A66" s="71"/>
      <c r="B66" s="189"/>
      <c r="C66" s="189"/>
      <c r="D66" s="164"/>
      <c r="E66" s="54"/>
    </row>
    <row r="67" spans="1:5" x14ac:dyDescent="0.25">
      <c r="A67" s="71"/>
      <c r="B67" s="178" t="s">
        <v>14</v>
      </c>
      <c r="C67" s="178" t="s">
        <v>14</v>
      </c>
      <c r="D67" s="141"/>
      <c r="E67" s="142">
        <f>SUM(B69:B74)+SUM(C69:C74)</f>
        <v>1690</v>
      </c>
    </row>
    <row r="68" spans="1:5" ht="6" customHeight="1" x14ac:dyDescent="0.25">
      <c r="A68" s="166"/>
      <c r="B68" s="179"/>
      <c r="C68" s="179"/>
      <c r="D68" s="2"/>
      <c r="E68" s="54"/>
    </row>
    <row r="69" spans="1:5" x14ac:dyDescent="0.25">
      <c r="A69" s="71"/>
      <c r="B69" s="86">
        <v>845</v>
      </c>
      <c r="C69" s="86">
        <v>845</v>
      </c>
      <c r="D69" s="164" t="s">
        <v>127</v>
      </c>
      <c r="E69" s="54"/>
    </row>
    <row r="70" spans="1:5" x14ac:dyDescent="0.25">
      <c r="A70" s="71"/>
      <c r="B70" s="86"/>
      <c r="C70" s="86"/>
      <c r="D70" s="2"/>
      <c r="E70" s="54"/>
    </row>
    <row r="71" spans="1:5" x14ac:dyDescent="0.25">
      <c r="A71" s="71"/>
      <c r="B71" s="86"/>
      <c r="C71" s="86"/>
      <c r="D71" s="2"/>
      <c r="E71" s="54"/>
    </row>
    <row r="72" spans="1:5" x14ac:dyDescent="0.25">
      <c r="A72" s="71"/>
      <c r="B72" s="86"/>
      <c r="C72" s="86"/>
      <c r="D72" s="2"/>
      <c r="E72" s="54"/>
    </row>
    <row r="73" spans="1:5" x14ac:dyDescent="0.25">
      <c r="A73" s="71"/>
      <c r="B73" s="86"/>
      <c r="C73" s="86"/>
      <c r="D73" s="2"/>
      <c r="E73" s="54"/>
    </row>
    <row r="74" spans="1:5" x14ac:dyDescent="0.25">
      <c r="A74" s="71"/>
      <c r="B74" s="86" t="s">
        <v>7</v>
      </c>
      <c r="C74" s="86"/>
      <c r="D74" s="2"/>
      <c r="E74" s="54"/>
    </row>
    <row r="75" spans="1:5" x14ac:dyDescent="0.25">
      <c r="A75" s="71"/>
      <c r="B75" s="178" t="s">
        <v>15</v>
      </c>
      <c r="C75" s="178" t="s">
        <v>15</v>
      </c>
      <c r="D75" s="141"/>
      <c r="E75" s="142">
        <f>SUM(B77:B83)+SUM(C77:C83)</f>
        <v>0</v>
      </c>
    </row>
    <row r="76" spans="1:5" ht="6.75" customHeight="1" x14ac:dyDescent="0.25">
      <c r="A76" s="71"/>
      <c r="B76" s="184"/>
      <c r="C76" s="184"/>
      <c r="D76" s="2"/>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s="55" customFormat="1" ht="12.75" customHeight="1" x14ac:dyDescent="0.25">
      <c r="A81" s="112"/>
      <c r="B81" s="188"/>
      <c r="C81" s="188"/>
      <c r="D81" s="167"/>
      <c r="E81" s="54"/>
    </row>
    <row r="82" spans="1:5" x14ac:dyDescent="0.25">
      <c r="A82" s="71"/>
      <c r="C82"/>
      <c r="D82" s="153"/>
      <c r="E82" s="54"/>
    </row>
    <row r="83" spans="1:5" x14ac:dyDescent="0.25">
      <c r="A83" s="71"/>
      <c r="C83"/>
      <c r="D83" s="153"/>
      <c r="E83" s="54"/>
    </row>
    <row r="84" spans="1:5" x14ac:dyDescent="0.25">
      <c r="A84" s="71"/>
      <c r="B84" s="178" t="s">
        <v>16</v>
      </c>
      <c r="C84" s="178" t="s">
        <v>16</v>
      </c>
      <c r="D84" s="141"/>
      <c r="E84" s="142">
        <f>SUM(B86:B91)+SUM(C86:C91)</f>
        <v>0</v>
      </c>
    </row>
    <row r="85" spans="1:5" s="55" customFormat="1" ht="6.75" customHeight="1" x14ac:dyDescent="0.25">
      <c r="A85" s="112"/>
      <c r="B85" s="184"/>
      <c r="C85" s="184"/>
      <c r="D85" s="167"/>
      <c r="E85" s="54"/>
    </row>
    <row r="86" spans="1:5" s="55" customFormat="1" ht="12.75" customHeight="1" x14ac:dyDescent="0.25">
      <c r="A86" s="112"/>
      <c r="B86" s="195"/>
      <c r="C86" s="195"/>
      <c r="D86" s="169"/>
      <c r="E86" s="54"/>
    </row>
    <row r="87" spans="1:5" s="55" customFormat="1" ht="12.75" customHeight="1" x14ac:dyDescent="0.25">
      <c r="A87" s="112"/>
      <c r="B87" s="195"/>
      <c r="C87" s="195"/>
      <c r="D87" s="167"/>
      <c r="E87" s="54"/>
    </row>
    <row r="88" spans="1:5" s="55" customFormat="1" ht="12.75" customHeight="1" x14ac:dyDescent="0.25">
      <c r="A88" s="112"/>
      <c r="B88" s="195"/>
      <c r="C88" s="195"/>
      <c r="D88" s="167"/>
      <c r="E88" s="54"/>
    </row>
    <row r="89" spans="1:5" s="55" customFormat="1" x14ac:dyDescent="0.25">
      <c r="A89" s="112"/>
      <c r="B89" s="195"/>
      <c r="C89" s="195"/>
      <c r="D89" s="167"/>
      <c r="E89" s="54"/>
    </row>
    <row r="90" spans="1:5" s="55" customFormat="1" x14ac:dyDescent="0.25">
      <c r="A90" s="112"/>
      <c r="B90" s="195"/>
      <c r="C90" s="195"/>
      <c r="D90" s="167"/>
      <c r="E90" s="54"/>
    </row>
    <row r="91" spans="1:5" x14ac:dyDescent="0.25">
      <c r="A91" s="71"/>
      <c r="B91" s="183"/>
      <c r="C91" s="183"/>
      <c r="D91" s="2"/>
      <c r="E91" s="54"/>
    </row>
    <row r="92" spans="1:5" ht="26.4" x14ac:dyDescent="0.25">
      <c r="A92" s="71"/>
      <c r="B92" s="178" t="s">
        <v>17</v>
      </c>
      <c r="C92" s="178" t="s">
        <v>17</v>
      </c>
      <c r="D92" s="2"/>
      <c r="E92" s="54"/>
    </row>
    <row r="93" spans="1:5" s="55" customFormat="1" ht="6.75" customHeight="1" x14ac:dyDescent="0.25">
      <c r="A93" s="112"/>
      <c r="B93" s="184"/>
      <c r="C93" s="184"/>
      <c r="D93" s="167"/>
      <c r="E93" s="54"/>
    </row>
    <row r="94" spans="1:5" s="55" customFormat="1" x14ac:dyDescent="0.25">
      <c r="A94" s="112"/>
      <c r="B94" s="188"/>
      <c r="C94" s="188"/>
      <c r="D94" s="167"/>
      <c r="E94" s="84"/>
    </row>
    <row r="95" spans="1:5" x14ac:dyDescent="0.25">
      <c r="A95" s="71"/>
      <c r="B95" s="88" t="s">
        <v>55</v>
      </c>
      <c r="C95"/>
      <c r="D95" s="2"/>
      <c r="E95" s="3"/>
    </row>
    <row r="96" spans="1:5" x14ac:dyDescent="0.25">
      <c r="A96" s="71"/>
      <c r="B96" s="88" t="s">
        <v>56</v>
      </c>
      <c r="C96"/>
      <c r="D96" s="2"/>
      <c r="E96" s="3"/>
    </row>
    <row r="97" spans="1:5" x14ac:dyDescent="0.25">
      <c r="A97" s="71"/>
      <c r="B97" s="88" t="s">
        <v>57</v>
      </c>
      <c r="C97"/>
      <c r="D97" s="2"/>
      <c r="E97"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4" right="0.7" top="0.38" bottom="0.37" header="0.3" footer="0.3"/>
  <pageSetup paperSize="17" scale="55" orientation="landscape"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8" sqref="C8"/>
    </sheetView>
  </sheetViews>
  <sheetFormatPr defaultColWidth="31.44140625" defaultRowHeight="13.2" x14ac:dyDescent="0.25"/>
  <cols>
    <col min="1" max="1" width="15.44140625" customWidth="1"/>
    <col min="2" max="3" width="21.109375" customWidth="1"/>
    <col min="4" max="4" width="22.6640625" customWidth="1"/>
    <col min="5" max="7" width="22.5546875" customWidth="1"/>
    <col min="8" max="10" width="19.44140625" customWidth="1"/>
    <col min="11" max="13" width="18.109375" customWidth="1"/>
    <col min="14" max="14" width="23.33203125" customWidth="1"/>
    <col min="15" max="15" width="21" customWidth="1"/>
  </cols>
  <sheetData>
    <row r="1" spans="1:15" ht="41.25" customHeight="1" x14ac:dyDescent="0.25"/>
    <row r="2" spans="1:15" ht="18" thickBot="1" x14ac:dyDescent="0.35">
      <c r="A2" s="1412"/>
      <c r="B2" s="1455" t="s">
        <v>858</v>
      </c>
      <c r="C2" s="1413"/>
      <c r="D2" s="1414"/>
      <c r="E2" s="4524" t="s">
        <v>867</v>
      </c>
      <c r="F2" s="1412" t="s">
        <v>1019</v>
      </c>
      <c r="G2" s="1412"/>
      <c r="H2" s="1412"/>
      <c r="I2" s="1412"/>
      <c r="J2" s="1412"/>
      <c r="K2" s="1412"/>
      <c r="L2" s="1412"/>
      <c r="M2" s="1412"/>
      <c r="N2" s="1412"/>
      <c r="O2" s="1412"/>
    </row>
    <row r="3" spans="1:15" ht="15.6" thickBot="1" x14ac:dyDescent="0.3">
      <c r="A3" s="1412"/>
      <c r="B3" s="1456" t="s">
        <v>118</v>
      </c>
      <c r="C3" s="1434"/>
      <c r="D3" s="1457" t="s">
        <v>78</v>
      </c>
      <c r="E3" s="1458">
        <v>18230698</v>
      </c>
      <c r="F3" s="1412"/>
      <c r="G3" s="1412"/>
      <c r="H3" s="1412"/>
      <c r="I3" s="1412"/>
      <c r="J3" s="1412"/>
      <c r="K3" s="1412"/>
      <c r="L3" s="1412"/>
      <c r="M3" s="1412"/>
      <c r="N3" s="1412"/>
      <c r="O3" s="1412"/>
    </row>
    <row r="4" spans="1:15" x14ac:dyDescent="0.25">
      <c r="B4" s="3957" t="s">
        <v>1291</v>
      </c>
    </row>
    <row r="5" spans="1:15" ht="13.8" thickBot="1" x14ac:dyDescent="0.3">
      <c r="A5" s="1441"/>
      <c r="B5" s="1412"/>
      <c r="C5" s="1412"/>
      <c r="D5" s="1414"/>
      <c r="E5" s="1454" t="s">
        <v>1286</v>
      </c>
      <c r="F5" s="1412"/>
      <c r="G5" s="1412"/>
      <c r="H5" s="1412"/>
      <c r="I5" s="1412"/>
      <c r="J5" s="1412"/>
      <c r="K5" s="1412"/>
      <c r="L5" s="1412"/>
      <c r="M5" s="1412"/>
      <c r="N5" s="1412"/>
      <c r="O5" s="1412"/>
    </row>
    <row r="6" spans="1:15" ht="39.6" x14ac:dyDescent="0.3">
      <c r="B6" s="3882"/>
      <c r="C6" s="1412"/>
      <c r="D6" s="1412"/>
      <c r="E6" s="1416" t="s">
        <v>9</v>
      </c>
      <c r="F6" s="1416" t="s">
        <v>10</v>
      </c>
      <c r="G6" s="1416" t="s">
        <v>11</v>
      </c>
      <c r="H6" s="1417" t="s">
        <v>12</v>
      </c>
      <c r="I6" s="1418" t="s">
        <v>13</v>
      </c>
      <c r="J6" s="1416" t="s">
        <v>14</v>
      </c>
      <c r="K6" s="1416" t="s">
        <v>15</v>
      </c>
      <c r="L6" s="1416" t="s">
        <v>16</v>
      </c>
      <c r="M6" s="1416" t="s">
        <v>17</v>
      </c>
      <c r="N6" s="1419" t="s">
        <v>18</v>
      </c>
      <c r="O6" s="1465" t="s">
        <v>19</v>
      </c>
    </row>
    <row r="7" spans="1:15" x14ac:dyDescent="0.25">
      <c r="A7" s="1442"/>
      <c r="B7" s="1433"/>
      <c r="C7" s="1433"/>
      <c r="D7" s="1459" t="s">
        <v>20</v>
      </c>
      <c r="E7" s="1460"/>
      <c r="F7" s="1460"/>
      <c r="G7" s="1460"/>
      <c r="H7" s="1461"/>
      <c r="I7" s="1462"/>
      <c r="J7" s="1460"/>
      <c r="K7" s="1460"/>
      <c r="L7" s="1460"/>
      <c r="M7" s="1460"/>
      <c r="N7" s="1479">
        <v>48653</v>
      </c>
      <c r="O7" s="1475" t="s">
        <v>21</v>
      </c>
    </row>
    <row r="8" spans="1:15" x14ac:dyDescent="0.25">
      <c r="A8" s="1442"/>
      <c r="B8" s="1433"/>
      <c r="C8" s="1433"/>
      <c r="D8" s="1459" t="s">
        <v>22</v>
      </c>
      <c r="E8" s="1463">
        <v>2300</v>
      </c>
      <c r="F8" s="1463">
        <v>0</v>
      </c>
      <c r="G8" s="1463">
        <v>1449</v>
      </c>
      <c r="H8" s="1463">
        <v>0</v>
      </c>
      <c r="I8" s="1463">
        <v>0</v>
      </c>
      <c r="J8" s="1463">
        <v>0</v>
      </c>
      <c r="K8" s="1463">
        <v>0</v>
      </c>
      <c r="L8" s="1463">
        <v>40553</v>
      </c>
      <c r="M8" s="1464">
        <v>0</v>
      </c>
      <c r="N8" s="1480">
        <v>44302</v>
      </c>
      <c r="O8" s="1476">
        <v>-8.9429223275029293E-2</v>
      </c>
    </row>
    <row r="9" spans="1:15" x14ac:dyDescent="0.25">
      <c r="A9" s="1442"/>
      <c r="B9" s="1433"/>
      <c r="C9" s="1433"/>
      <c r="D9" s="1433">
        <v>2012</v>
      </c>
      <c r="E9" s="1467">
        <v>0</v>
      </c>
      <c r="F9" s="1467">
        <v>0</v>
      </c>
      <c r="G9" s="1467">
        <v>0</v>
      </c>
      <c r="H9" s="1467">
        <v>0</v>
      </c>
      <c r="I9" s="1470">
        <v>0</v>
      </c>
      <c r="J9" s="1467">
        <v>0</v>
      </c>
      <c r="K9" s="1467">
        <v>0</v>
      </c>
      <c r="L9" s="1467">
        <f>SUM(B85:B90)</f>
        <v>18000</v>
      </c>
      <c r="M9" s="1473"/>
      <c r="N9" s="1477">
        <f>SUM(E9:M9)</f>
        <v>18000</v>
      </c>
      <c r="O9" s="1476">
        <v>-1</v>
      </c>
    </row>
    <row r="10" spans="1:15" x14ac:dyDescent="0.25">
      <c r="A10" s="1442"/>
      <c r="B10" s="1433"/>
      <c r="C10" s="1433"/>
      <c r="D10" s="1433">
        <v>2013</v>
      </c>
      <c r="E10" s="1467">
        <v>0</v>
      </c>
      <c r="F10" s="1467">
        <v>0</v>
      </c>
      <c r="G10" s="1467">
        <v>0</v>
      </c>
      <c r="H10" s="1467">
        <v>0</v>
      </c>
      <c r="I10" s="1470">
        <v>0</v>
      </c>
      <c r="J10" s="1467">
        <v>0</v>
      </c>
      <c r="K10" s="1467">
        <v>0</v>
      </c>
      <c r="L10" s="1467">
        <f>SUM(C85:C90)</f>
        <v>18000</v>
      </c>
      <c r="M10" s="1473"/>
      <c r="N10" s="3381">
        <f>SUM(E10:M10)</f>
        <v>18000</v>
      </c>
      <c r="O10" s="1476" t="e">
        <v>#DIV/0!</v>
      </c>
    </row>
    <row r="11" spans="1:15" ht="13.8" thickBot="1" x14ac:dyDescent="0.3">
      <c r="A11" s="1441"/>
      <c r="B11" s="1420"/>
      <c r="C11" s="1420"/>
      <c r="D11" s="1440" t="s">
        <v>23</v>
      </c>
      <c r="E11" s="1469">
        <v>0</v>
      </c>
      <c r="F11" s="1469">
        <v>0</v>
      </c>
      <c r="G11" s="1469">
        <v>0</v>
      </c>
      <c r="H11" s="1469">
        <v>0</v>
      </c>
      <c r="I11" s="1469">
        <v>0</v>
      </c>
      <c r="J11" s="1469">
        <v>0</v>
      </c>
      <c r="K11" s="1469">
        <v>0</v>
      </c>
      <c r="L11" s="1469">
        <f>SUM(L9:L10)</f>
        <v>36000</v>
      </c>
      <c r="M11" s="1474">
        <v>0</v>
      </c>
      <c r="N11" s="1478">
        <f>SUM(N9:N10)</f>
        <v>36000</v>
      </c>
      <c r="O11" s="1420"/>
    </row>
    <row r="12" spans="1:15" ht="26.4" x14ac:dyDescent="0.25">
      <c r="A12" s="1441"/>
      <c r="B12" s="1412"/>
      <c r="C12" s="1412"/>
      <c r="D12" s="1414"/>
      <c r="E12" s="1415"/>
      <c r="F12" s="1412"/>
      <c r="G12" s="1412"/>
      <c r="H12" s="1412"/>
      <c r="I12" s="1412"/>
      <c r="J12" s="1412"/>
      <c r="K12" s="1412"/>
      <c r="L12" s="1412"/>
      <c r="M12" s="1441" t="s">
        <v>24</v>
      </c>
      <c r="N12" s="1412"/>
      <c r="O12" s="1412"/>
    </row>
    <row r="13" spans="1:15" x14ac:dyDescent="0.25">
      <c r="A13" s="1441"/>
      <c r="B13" s="1412"/>
      <c r="C13" s="1412"/>
      <c r="D13" s="1414"/>
      <c r="E13" s="1415"/>
      <c r="F13" s="1412"/>
      <c r="G13" s="1412"/>
      <c r="H13" s="1412"/>
      <c r="I13" s="1412"/>
      <c r="J13" s="1412"/>
      <c r="K13" s="1412"/>
      <c r="L13" s="1412"/>
      <c r="M13" s="1441" t="s">
        <v>25</v>
      </c>
      <c r="N13" s="1412"/>
      <c r="O13" s="1412"/>
    </row>
    <row r="14" spans="1:15" ht="15.6" x14ac:dyDescent="0.3">
      <c r="A14" s="1441"/>
      <c r="B14" s="4803" t="s">
        <v>26</v>
      </c>
      <c r="C14" s="4804"/>
      <c r="D14" s="4804"/>
      <c r="E14" s="4805"/>
      <c r="F14" s="4528"/>
      <c r="G14" s="4528"/>
      <c r="H14" s="1412"/>
      <c r="I14" s="1412"/>
      <c r="J14" s="1412"/>
      <c r="K14" s="1412"/>
      <c r="L14" s="1412"/>
      <c r="M14" s="1412"/>
      <c r="N14" s="1412"/>
      <c r="O14" s="1412"/>
    </row>
    <row r="15" spans="1:15" ht="15.6" x14ac:dyDescent="0.3">
      <c r="A15" s="1442"/>
      <c r="B15" s="1449"/>
      <c r="C15" s="1448"/>
      <c r="D15" s="1448"/>
      <c r="E15" s="1448"/>
      <c r="F15" s="1448"/>
      <c r="G15" s="1448"/>
      <c r="H15" s="1433"/>
      <c r="I15" s="1433"/>
      <c r="J15" s="1433"/>
      <c r="K15" s="1433"/>
      <c r="L15" s="1433"/>
      <c r="M15" s="1433"/>
      <c r="N15" s="1433"/>
      <c r="O15" s="1433"/>
    </row>
    <row r="16" spans="1:15" ht="15.6" x14ac:dyDescent="0.3">
      <c r="A16" s="1442"/>
      <c r="B16" s="1448"/>
      <c r="C16" s="1448"/>
      <c r="D16" s="1448"/>
      <c r="E16" s="1448"/>
      <c r="F16" s="1448"/>
      <c r="G16" s="1448"/>
      <c r="H16" s="1433"/>
      <c r="I16" s="1433"/>
      <c r="J16" s="1433"/>
      <c r="K16" s="1433"/>
      <c r="L16" s="1433"/>
      <c r="M16" s="1433"/>
      <c r="N16" s="1433"/>
      <c r="O16" s="1433"/>
    </row>
    <row r="17" spans="1:7" ht="15.6" x14ac:dyDescent="0.3">
      <c r="A17" s="1441"/>
      <c r="B17" s="4801" t="s">
        <v>27</v>
      </c>
      <c r="C17" s="4801"/>
      <c r="D17" s="1429" t="s">
        <v>28</v>
      </c>
      <c r="E17" s="1430" t="s">
        <v>29</v>
      </c>
      <c r="F17" s="1412"/>
      <c r="G17" s="1412"/>
    </row>
    <row r="18" spans="1:7" ht="15.6" x14ac:dyDescent="0.3">
      <c r="A18" s="1441"/>
      <c r="B18" s="4802" t="s">
        <v>30</v>
      </c>
      <c r="C18" s="4802"/>
      <c r="D18" s="1429"/>
      <c r="E18" s="1430"/>
      <c r="F18" s="1412"/>
      <c r="G18" s="1412"/>
    </row>
    <row r="19" spans="1:7" ht="46.8" x14ac:dyDescent="0.3">
      <c r="A19" s="1441"/>
      <c r="B19" s="1428">
        <v>2012</v>
      </c>
      <c r="C19" s="1428">
        <v>2013</v>
      </c>
      <c r="D19" s="1441" t="s">
        <v>89</v>
      </c>
      <c r="E19" s="1466" t="s">
        <v>32</v>
      </c>
      <c r="F19" s="1412"/>
      <c r="G19" s="1412"/>
    </row>
    <row r="20" spans="1:7" x14ac:dyDescent="0.25">
      <c r="A20" s="1441"/>
      <c r="B20" s="1421" t="s">
        <v>9</v>
      </c>
      <c r="C20" s="1421" t="s">
        <v>9</v>
      </c>
      <c r="D20" s="1468"/>
      <c r="E20" s="1471">
        <v>0</v>
      </c>
      <c r="F20" s="1412"/>
      <c r="G20" s="1412"/>
    </row>
    <row r="21" spans="1:7" x14ac:dyDescent="0.25">
      <c r="A21" s="1441"/>
      <c r="B21" s="1444"/>
      <c r="C21" s="1444"/>
      <c r="D21" s="1414"/>
      <c r="E21" s="1450"/>
      <c r="F21" s="1412"/>
      <c r="G21" s="1412"/>
    </row>
    <row r="22" spans="1:7" x14ac:dyDescent="0.25">
      <c r="A22" s="1441"/>
      <c r="B22" s="1422" t="s">
        <v>33</v>
      </c>
      <c r="C22" s="1422" t="s">
        <v>33</v>
      </c>
      <c r="D22" s="1423" t="s">
        <v>7</v>
      </c>
      <c r="E22" s="1450"/>
      <c r="F22" s="1435" t="s">
        <v>7</v>
      </c>
      <c r="G22" s="1412"/>
    </row>
    <row r="23" spans="1:7" x14ac:dyDescent="0.25">
      <c r="A23" s="1441"/>
      <c r="B23" s="1441"/>
      <c r="C23" s="1420"/>
      <c r="D23" s="1415"/>
      <c r="E23" s="1450"/>
      <c r="F23" s="1439"/>
      <c r="G23" s="1412"/>
    </row>
    <row r="24" spans="1:7" x14ac:dyDescent="0.25">
      <c r="A24" s="1441"/>
      <c r="B24" s="1412"/>
      <c r="C24" s="1412"/>
      <c r="D24" s="1414"/>
      <c r="E24" s="1450"/>
      <c r="F24" s="1412"/>
      <c r="G24" s="1412"/>
    </row>
    <row r="25" spans="1:7" x14ac:dyDescent="0.25">
      <c r="A25" s="1441"/>
      <c r="B25" s="1412"/>
      <c r="C25" s="1412"/>
      <c r="D25" s="1414"/>
      <c r="E25" s="1450"/>
      <c r="F25" s="1412"/>
      <c r="G25" s="1412"/>
    </row>
    <row r="26" spans="1:7" x14ac:dyDescent="0.25">
      <c r="A26" s="1442"/>
      <c r="B26" s="1421" t="s">
        <v>10</v>
      </c>
      <c r="C26" s="1421" t="s">
        <v>10</v>
      </c>
      <c r="D26" s="1468"/>
      <c r="E26" s="1471">
        <v>0</v>
      </c>
      <c r="F26" s="1433"/>
      <c r="G26" s="1433"/>
    </row>
    <row r="27" spans="1:7" x14ac:dyDescent="0.25">
      <c r="A27" s="1441"/>
      <c r="B27" s="1445"/>
      <c r="C27" s="1445"/>
      <c r="D27" s="1426"/>
      <c r="E27" s="1450"/>
      <c r="F27" s="1412"/>
      <c r="G27" s="1412"/>
    </row>
    <row r="28" spans="1:7" x14ac:dyDescent="0.25">
      <c r="A28" s="1442"/>
      <c r="B28" s="1422" t="s">
        <v>33</v>
      </c>
      <c r="C28" s="1422" t="s">
        <v>33</v>
      </c>
      <c r="D28" s="1426"/>
      <c r="E28" s="1450"/>
      <c r="F28" s="1433"/>
      <c r="G28" s="1433"/>
    </row>
    <row r="29" spans="1:7" x14ac:dyDescent="0.25">
      <c r="A29" s="1441"/>
      <c r="B29" s="1438"/>
      <c r="C29" s="1427"/>
      <c r="D29" s="1424"/>
      <c r="E29" s="1450"/>
      <c r="F29" s="1412"/>
      <c r="G29" s="1412"/>
    </row>
    <row r="30" spans="1:7" x14ac:dyDescent="0.25">
      <c r="A30" s="1441"/>
      <c r="B30" s="1427"/>
      <c r="C30" s="1427"/>
      <c r="D30" s="1424"/>
      <c r="E30" s="1450"/>
      <c r="F30" s="1412"/>
      <c r="G30" s="1412"/>
    </row>
    <row r="31" spans="1:7" x14ac:dyDescent="0.25">
      <c r="A31" s="1441"/>
      <c r="B31" s="1420"/>
      <c r="C31" s="1420"/>
      <c r="D31" s="1424"/>
      <c r="E31" s="1450"/>
      <c r="F31" s="1412"/>
      <c r="G31" s="1412"/>
    </row>
    <row r="32" spans="1:7" x14ac:dyDescent="0.25">
      <c r="A32" s="1441"/>
      <c r="B32" s="1420"/>
      <c r="C32" s="1420"/>
      <c r="D32" s="1424"/>
      <c r="E32" s="1450"/>
      <c r="F32" s="1412"/>
      <c r="G32" s="1412"/>
    </row>
    <row r="33" spans="1:6" x14ac:dyDescent="0.25">
      <c r="A33" s="1441"/>
      <c r="B33" s="1421" t="s">
        <v>11</v>
      </c>
      <c r="C33" s="1421" t="s">
        <v>11</v>
      </c>
      <c r="D33" s="1468"/>
      <c r="E33" s="1471">
        <v>0</v>
      </c>
      <c r="F33" s="1412"/>
    </row>
    <row r="34" spans="1:6" x14ac:dyDescent="0.25">
      <c r="A34" s="1441"/>
      <c r="B34" s="1444"/>
      <c r="C34" s="1444"/>
      <c r="D34" s="1414"/>
      <c r="E34" s="1451"/>
      <c r="F34" s="1412"/>
    </row>
    <row r="35" spans="1:6" x14ac:dyDescent="0.25">
      <c r="A35" s="1472"/>
      <c r="B35" s="1436" t="s">
        <v>38</v>
      </c>
      <c r="C35" s="1436" t="s">
        <v>38</v>
      </c>
      <c r="D35" s="1423" t="s">
        <v>7</v>
      </c>
      <c r="E35" s="1450"/>
      <c r="F35" s="1432"/>
    </row>
    <row r="36" spans="1:6" x14ac:dyDescent="0.25">
      <c r="A36" s="1441"/>
      <c r="B36" s="1420"/>
      <c r="C36" s="1420"/>
      <c r="D36" s="1424" t="s">
        <v>7</v>
      </c>
      <c r="E36" s="1450"/>
      <c r="F36" s="1412"/>
    </row>
    <row r="37" spans="1:6" x14ac:dyDescent="0.25">
      <c r="A37" s="1442"/>
      <c r="B37" s="1421" t="s">
        <v>39</v>
      </c>
      <c r="C37" s="1421" t="s">
        <v>39</v>
      </c>
      <c r="D37" s="1468"/>
      <c r="E37" s="1471">
        <v>0</v>
      </c>
      <c r="F37" s="1433"/>
    </row>
    <row r="38" spans="1:6" x14ac:dyDescent="0.25">
      <c r="A38" s="1441"/>
      <c r="B38" s="1445"/>
      <c r="C38" s="1445"/>
      <c r="D38" s="1426"/>
      <c r="E38" s="1450"/>
      <c r="F38" s="1412"/>
    </row>
    <row r="39" spans="1:6" x14ac:dyDescent="0.25">
      <c r="A39" s="1441"/>
      <c r="B39" s="1412"/>
      <c r="C39" s="1427"/>
      <c r="D39" s="1424"/>
      <c r="E39" s="1450"/>
      <c r="F39" s="1412"/>
    </row>
    <row r="40" spans="1:6" x14ac:dyDescent="0.25">
      <c r="A40" s="1441"/>
      <c r="B40" s="1420"/>
      <c r="C40" s="1420"/>
      <c r="D40" s="1424"/>
      <c r="E40" s="1450"/>
      <c r="F40" s="1412"/>
    </row>
    <row r="41" spans="1:6" x14ac:dyDescent="0.25">
      <c r="A41" s="1441"/>
      <c r="B41" s="1420"/>
      <c r="C41" s="1420"/>
      <c r="D41" s="1424"/>
      <c r="E41" s="1450"/>
      <c r="F41" s="1412"/>
    </row>
    <row r="42" spans="1:6" x14ac:dyDescent="0.25">
      <c r="A42" s="1441"/>
      <c r="B42" s="1421" t="s">
        <v>12</v>
      </c>
      <c r="C42" s="1421" t="s">
        <v>12</v>
      </c>
      <c r="D42" s="1468"/>
      <c r="E42" s="1471">
        <v>0</v>
      </c>
      <c r="F42" s="1412"/>
    </row>
    <row r="43" spans="1:6" x14ac:dyDescent="0.25">
      <c r="A43" s="1441"/>
      <c r="B43" s="1446"/>
      <c r="C43" s="1446"/>
      <c r="D43" s="1424"/>
      <c r="E43" s="1450"/>
      <c r="F43" s="1412"/>
    </row>
    <row r="44" spans="1:6" x14ac:dyDescent="0.25">
      <c r="A44" s="1441"/>
      <c r="B44" s="1420"/>
      <c r="C44" s="1420"/>
      <c r="D44" s="1424"/>
      <c r="E44" s="1450"/>
      <c r="F44" s="1412"/>
    </row>
    <row r="45" spans="1:6" x14ac:dyDescent="0.25">
      <c r="A45" s="1441"/>
      <c r="B45" s="1420"/>
      <c r="C45" s="1420"/>
      <c r="D45" s="1424"/>
      <c r="E45" s="1450"/>
      <c r="F45" s="1412"/>
    </row>
    <row r="46" spans="1:6" x14ac:dyDescent="0.25">
      <c r="A46" s="1441"/>
      <c r="B46" s="1420"/>
      <c r="C46" s="1420"/>
      <c r="D46" s="1424"/>
      <c r="E46" s="1450"/>
      <c r="F46" s="1412"/>
    </row>
    <row r="47" spans="1:6" x14ac:dyDescent="0.25">
      <c r="A47" s="1441"/>
      <c r="B47" s="1420"/>
      <c r="C47" s="1420"/>
      <c r="D47" s="1424"/>
      <c r="E47" s="1450"/>
      <c r="F47" s="1412"/>
    </row>
    <row r="48" spans="1:6" x14ac:dyDescent="0.25">
      <c r="A48" s="1441"/>
      <c r="B48" s="1420"/>
      <c r="C48" s="1420"/>
      <c r="D48" s="1424"/>
      <c r="E48" s="1450"/>
      <c r="F48" s="1412"/>
    </row>
    <row r="49" spans="1:5" x14ac:dyDescent="0.25">
      <c r="A49" s="1441"/>
      <c r="B49" s="1420"/>
      <c r="C49" s="1420"/>
      <c r="D49" s="1424"/>
      <c r="E49" s="1450"/>
    </row>
    <row r="50" spans="1:5" x14ac:dyDescent="0.25">
      <c r="A50" s="1441"/>
      <c r="B50" s="1421" t="s">
        <v>40</v>
      </c>
      <c r="C50" s="1421" t="s">
        <v>40</v>
      </c>
      <c r="D50" s="1468"/>
      <c r="E50" s="1471">
        <v>0</v>
      </c>
    </row>
    <row r="51" spans="1:5" x14ac:dyDescent="0.25">
      <c r="A51" s="1441"/>
      <c r="B51" s="1445"/>
      <c r="C51" s="1445"/>
      <c r="D51" s="1412"/>
      <c r="E51" s="1452"/>
    </row>
    <row r="52" spans="1:5" x14ac:dyDescent="0.25">
      <c r="A52" s="1441"/>
      <c r="B52" s="1425"/>
      <c r="C52" s="1425"/>
      <c r="D52" s="1412"/>
      <c r="E52" s="1452"/>
    </row>
    <row r="53" spans="1:5" x14ac:dyDescent="0.25">
      <c r="A53" s="1441"/>
      <c r="B53" s="1425"/>
      <c r="C53" s="1425"/>
      <c r="D53" s="1412"/>
      <c r="E53" s="1452"/>
    </row>
    <row r="54" spans="1:5" x14ac:dyDescent="0.25">
      <c r="A54" s="1441"/>
      <c r="B54" s="1425"/>
      <c r="C54" s="1425"/>
      <c r="D54" s="1412"/>
      <c r="E54" s="1452"/>
    </row>
    <row r="55" spans="1:5" x14ac:dyDescent="0.25">
      <c r="A55" s="1441"/>
      <c r="B55" s="1425"/>
      <c r="C55" s="1425"/>
      <c r="D55" s="1412"/>
      <c r="E55" s="1452"/>
    </row>
    <row r="56" spans="1:5" x14ac:dyDescent="0.25">
      <c r="A56" s="1441"/>
      <c r="B56" s="1412"/>
      <c r="C56" s="1412"/>
      <c r="D56" s="1412"/>
      <c r="E56" s="1452"/>
    </row>
    <row r="57" spans="1:5" x14ac:dyDescent="0.25">
      <c r="A57" s="1441"/>
      <c r="B57" s="1412"/>
      <c r="C57" s="1412"/>
      <c r="D57" s="1414"/>
      <c r="E57" s="1450"/>
    </row>
    <row r="58" spans="1:5" x14ac:dyDescent="0.25">
      <c r="A58" s="1441"/>
      <c r="B58" s="1421" t="s">
        <v>13</v>
      </c>
      <c r="C58" s="1421" t="s">
        <v>13</v>
      </c>
      <c r="D58" s="1468"/>
      <c r="E58" s="1471">
        <v>0</v>
      </c>
    </row>
    <row r="59" spans="1:5" x14ac:dyDescent="0.25">
      <c r="A59" s="1441"/>
      <c r="B59" s="1444"/>
      <c r="C59" s="1444"/>
      <c r="D59" s="1414"/>
      <c r="E59" s="1450"/>
    </row>
    <row r="60" spans="1:5" x14ac:dyDescent="0.25">
      <c r="A60" s="1441"/>
      <c r="B60" s="1412"/>
      <c r="C60" s="1412"/>
      <c r="D60" s="1447" t="s">
        <v>72</v>
      </c>
      <c r="E60" s="1450"/>
    </row>
    <row r="61" spans="1:5" x14ac:dyDescent="0.25">
      <c r="A61" s="1441"/>
      <c r="B61" s="1412" t="s">
        <v>7</v>
      </c>
      <c r="C61" s="1412"/>
      <c r="D61" s="1447" t="s">
        <v>42</v>
      </c>
      <c r="E61" s="1450"/>
    </row>
    <row r="62" spans="1:5" x14ac:dyDescent="0.25">
      <c r="A62" s="1441"/>
      <c r="B62" s="1412"/>
      <c r="C62" s="1412"/>
      <c r="D62" s="1447" t="s">
        <v>43</v>
      </c>
      <c r="E62" s="1450"/>
    </row>
    <row r="63" spans="1:5" x14ac:dyDescent="0.25">
      <c r="A63" s="1441"/>
      <c r="B63" s="1412"/>
      <c r="C63" s="1412"/>
      <c r="D63" s="1447" t="s">
        <v>62</v>
      </c>
      <c r="E63" s="1450"/>
    </row>
    <row r="64" spans="1:5" x14ac:dyDescent="0.25">
      <c r="A64" s="1441"/>
      <c r="B64" s="1437"/>
      <c r="C64" s="1437"/>
      <c r="D64" s="1447" t="s">
        <v>45</v>
      </c>
      <c r="E64" s="1450"/>
    </row>
    <row r="65" spans="1:5" x14ac:dyDescent="0.25">
      <c r="A65" s="1441"/>
      <c r="B65" s="1437"/>
      <c r="C65" s="1437"/>
      <c r="D65" s="1447"/>
      <c r="E65" s="1450"/>
    </row>
    <row r="66" spans="1:5" x14ac:dyDescent="0.25">
      <c r="A66" s="1441"/>
      <c r="B66" s="1421" t="s">
        <v>14</v>
      </c>
      <c r="C66" s="1421" t="s">
        <v>14</v>
      </c>
      <c r="D66" s="1468"/>
      <c r="E66" s="1471">
        <v>0</v>
      </c>
    </row>
    <row r="67" spans="1:5" x14ac:dyDescent="0.25">
      <c r="A67" s="1443"/>
      <c r="B67" s="1444"/>
      <c r="C67" s="1444"/>
      <c r="D67" s="1414"/>
      <c r="E67" s="1450"/>
    </row>
    <row r="68" spans="1:5" x14ac:dyDescent="0.25">
      <c r="A68" s="1441"/>
      <c r="B68" s="1412" t="s">
        <v>7</v>
      </c>
      <c r="C68" s="1412"/>
      <c r="D68" s="1414"/>
      <c r="E68" s="1450"/>
    </row>
    <row r="69" spans="1:5" x14ac:dyDescent="0.25">
      <c r="A69" s="1441"/>
      <c r="B69" s="1412"/>
      <c r="C69" s="1412"/>
      <c r="D69" s="1414"/>
      <c r="E69" s="1450"/>
    </row>
    <row r="70" spans="1:5" x14ac:dyDescent="0.25">
      <c r="A70" s="1441"/>
      <c r="B70" s="1412"/>
      <c r="C70" s="1412"/>
      <c r="D70" s="1414"/>
      <c r="E70" s="1450"/>
    </row>
    <row r="71" spans="1:5" x14ac:dyDescent="0.25">
      <c r="A71" s="1441"/>
      <c r="B71" s="1412"/>
      <c r="C71" s="1412"/>
      <c r="D71" s="1414"/>
      <c r="E71" s="1450"/>
    </row>
    <row r="72" spans="1:5" x14ac:dyDescent="0.25">
      <c r="A72" s="1441"/>
      <c r="B72" s="1412"/>
      <c r="C72" s="1412"/>
      <c r="D72" s="1414"/>
      <c r="E72" s="1450"/>
    </row>
    <row r="73" spans="1:5" x14ac:dyDescent="0.25">
      <c r="A73" s="1441"/>
      <c r="B73" s="1412" t="s">
        <v>7</v>
      </c>
      <c r="C73" s="1412"/>
      <c r="D73" s="1414"/>
      <c r="E73" s="1450"/>
    </row>
    <row r="74" spans="1:5" x14ac:dyDescent="0.25">
      <c r="A74" s="1441"/>
      <c r="B74" s="1421" t="s">
        <v>15</v>
      </c>
      <c r="C74" s="1421" t="s">
        <v>15</v>
      </c>
      <c r="D74" s="1468"/>
      <c r="E74" s="1471">
        <v>0</v>
      </c>
    </row>
    <row r="75" spans="1:5" x14ac:dyDescent="0.25">
      <c r="A75" s="1441"/>
      <c r="B75" s="1445"/>
      <c r="C75" s="1445"/>
      <c r="D75" s="1414"/>
      <c r="E75" s="1450"/>
    </row>
    <row r="76" spans="1:5" x14ac:dyDescent="0.25">
      <c r="A76" s="1442"/>
      <c r="B76" s="1425"/>
      <c r="C76" s="1425"/>
      <c r="D76" s="1431"/>
      <c r="E76" s="1450"/>
    </row>
    <row r="77" spans="1:5" x14ac:dyDescent="0.25">
      <c r="A77" s="1442"/>
      <c r="B77" s="1425"/>
      <c r="C77" s="1425"/>
      <c r="D77" s="1431"/>
      <c r="E77" s="1450"/>
    </row>
    <row r="78" spans="1:5" x14ac:dyDescent="0.25">
      <c r="A78" s="1442"/>
      <c r="B78" s="1425"/>
      <c r="C78" s="1425"/>
      <c r="D78" s="1431"/>
      <c r="E78" s="1450"/>
    </row>
    <row r="79" spans="1:5" x14ac:dyDescent="0.25">
      <c r="A79" s="1442"/>
      <c r="B79" s="1425"/>
      <c r="C79" s="1425"/>
      <c r="D79" s="1431"/>
      <c r="E79" s="1450"/>
    </row>
    <row r="80" spans="1:5" x14ac:dyDescent="0.25">
      <c r="A80" s="1442"/>
      <c r="B80" s="1425"/>
      <c r="C80" s="1425"/>
      <c r="D80" s="1431"/>
      <c r="E80" s="1450"/>
    </row>
    <row r="81" spans="1:5" x14ac:dyDescent="0.25">
      <c r="A81" s="1441"/>
      <c r="B81" s="1412"/>
      <c r="C81" s="1412"/>
      <c r="D81" s="1424"/>
      <c r="E81" s="1450"/>
    </row>
    <row r="82" spans="1:5" x14ac:dyDescent="0.25">
      <c r="A82" s="1441"/>
      <c r="B82" s="1412"/>
      <c r="C82" s="1412"/>
      <c r="D82" s="1424"/>
      <c r="E82" s="1450"/>
    </row>
    <row r="83" spans="1:5" x14ac:dyDescent="0.25">
      <c r="A83" s="1441"/>
      <c r="B83" s="1421" t="s">
        <v>16</v>
      </c>
      <c r="C83" s="1421" t="s">
        <v>16</v>
      </c>
      <c r="D83" s="1468"/>
      <c r="E83" s="1471">
        <f>SUM(B85:B90)+SUM(C85:C90)</f>
        <v>36000</v>
      </c>
    </row>
    <row r="84" spans="1:5" x14ac:dyDescent="0.25">
      <c r="A84" s="1442"/>
      <c r="B84" s="1445"/>
      <c r="C84" s="1445"/>
      <c r="D84" s="1431"/>
      <c r="E84" s="1450"/>
    </row>
    <row r="85" spans="1:5" ht="26.4" x14ac:dyDescent="0.25">
      <c r="A85" s="1442"/>
      <c r="B85" s="3353">
        <v>18000</v>
      </c>
      <c r="C85" s="3353">
        <v>18000</v>
      </c>
      <c r="D85" s="3380" t="s">
        <v>1083</v>
      </c>
      <c r="E85" s="1450"/>
    </row>
    <row r="86" spans="1:5" x14ac:dyDescent="0.25">
      <c r="A86" s="1442"/>
      <c r="B86" s="1425"/>
      <c r="C86" s="1425"/>
      <c r="D86" s="1431"/>
      <c r="E86" s="1450"/>
    </row>
    <row r="87" spans="1:5" x14ac:dyDescent="0.25">
      <c r="A87" s="1442"/>
      <c r="B87" s="1425"/>
      <c r="C87" s="1425"/>
      <c r="D87" s="1431"/>
      <c r="E87" s="1450"/>
    </row>
    <row r="88" spans="1:5" x14ac:dyDescent="0.25">
      <c r="A88" s="1442"/>
      <c r="B88" s="1425"/>
      <c r="C88" s="1425"/>
      <c r="D88" s="1431"/>
      <c r="E88" s="1450"/>
    </row>
    <row r="89" spans="1:5" x14ac:dyDescent="0.25">
      <c r="A89" s="1442"/>
      <c r="B89" s="1425"/>
      <c r="C89" s="1425"/>
      <c r="D89" s="1431"/>
      <c r="E89" s="1450"/>
    </row>
    <row r="90" spans="1:5" x14ac:dyDescent="0.25">
      <c r="A90" s="1441"/>
      <c r="B90" s="1412"/>
      <c r="C90" s="1412"/>
      <c r="D90" s="1414"/>
      <c r="E90" s="1450"/>
    </row>
    <row r="91" spans="1:5" ht="26.4" x14ac:dyDescent="0.25">
      <c r="A91" s="1441"/>
      <c r="B91" s="1421" t="s">
        <v>17</v>
      </c>
      <c r="C91" s="1421" t="s">
        <v>17</v>
      </c>
      <c r="D91" s="1414"/>
      <c r="E91" s="1450"/>
    </row>
    <row r="92" spans="1:5" x14ac:dyDescent="0.25">
      <c r="A92" s="1442"/>
      <c r="B92" s="1445"/>
      <c r="C92" s="1445"/>
      <c r="D92" s="1431"/>
      <c r="E92" s="1450"/>
    </row>
    <row r="93" spans="1:5" x14ac:dyDescent="0.25">
      <c r="A93" s="1442"/>
      <c r="B93" s="1425"/>
      <c r="C93" s="1425"/>
      <c r="D93" s="1431"/>
      <c r="E93" s="1453"/>
    </row>
    <row r="94" spans="1:5" x14ac:dyDescent="0.25">
      <c r="A94" s="1441"/>
      <c r="B94" s="1438" t="s">
        <v>55</v>
      </c>
      <c r="C94" s="1412"/>
      <c r="D94" s="1414"/>
      <c r="E94" s="1415"/>
    </row>
    <row r="95" spans="1:5" x14ac:dyDescent="0.25">
      <c r="A95" s="1441"/>
      <c r="B95" s="1438" t="s">
        <v>56</v>
      </c>
      <c r="C95" s="1412"/>
      <c r="D95" s="1414"/>
      <c r="E95" s="1415"/>
    </row>
    <row r="96" spans="1:5" x14ac:dyDescent="0.25">
      <c r="A96" s="1441"/>
      <c r="B96" s="1438" t="s">
        <v>57</v>
      </c>
      <c r="C96" s="1412"/>
      <c r="D96" s="1414"/>
      <c r="E96" s="1415"/>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7" right="0.7" top="0.45" bottom="0.36" header="0.3" footer="0.3"/>
  <pageSetup paperSize="17" scale="54" orientation="landscape"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
  <sheetViews>
    <sheetView workbookViewId="0">
      <pane xSplit="1" ySplit="1" topLeftCell="B2" activePane="bottomRight" state="frozen"/>
      <selection pane="topRight" activeCell="B1" sqref="B1"/>
      <selection pane="bottomLeft" activeCell="A2" sqref="A2"/>
      <selection pane="bottomRight" activeCell="D7" sqref="D7"/>
    </sheetView>
  </sheetViews>
  <sheetFormatPr defaultRowHeight="13.2" x14ac:dyDescent="0.25"/>
  <cols>
    <col min="1" max="1" width="15.44140625" customWidth="1"/>
    <col min="2" max="3" width="22" customWidth="1"/>
    <col min="4" max="4" width="22.88671875" customWidth="1"/>
    <col min="5" max="5" width="19.88671875" customWidth="1"/>
    <col min="6" max="6" width="21" customWidth="1"/>
    <col min="7" max="7" width="23.6640625" customWidth="1"/>
    <col min="8" max="8" width="20.44140625" customWidth="1"/>
    <col min="9" max="9" width="17.6640625" customWidth="1"/>
    <col min="10" max="11" width="23.6640625" customWidth="1"/>
    <col min="12" max="12" width="18.6640625" customWidth="1"/>
    <col min="13" max="13" width="23.6640625" customWidth="1"/>
    <col min="14" max="14" width="14.109375" customWidth="1"/>
    <col min="15" max="15" width="20" customWidth="1"/>
  </cols>
  <sheetData>
    <row r="1" spans="1:15" ht="42" customHeight="1" x14ac:dyDescent="0.25"/>
    <row r="3" spans="1:15" ht="18" thickBot="1" x14ac:dyDescent="0.35">
      <c r="B3" s="1" t="s">
        <v>119</v>
      </c>
      <c r="C3" s="170"/>
      <c r="D3" s="2"/>
      <c r="E3" s="3"/>
    </row>
    <row r="4" spans="1:15" ht="15.6" thickBot="1" x14ac:dyDescent="0.3">
      <c r="B4" s="5" t="s">
        <v>118</v>
      </c>
      <c r="C4" s="171"/>
      <c r="D4" s="6" t="s">
        <v>78</v>
      </c>
      <c r="E4" s="104" t="s">
        <v>105</v>
      </c>
    </row>
    <row r="5" spans="1:15" ht="15" x14ac:dyDescent="0.25">
      <c r="B5" s="5"/>
      <c r="C5" s="171"/>
      <c r="D5" s="6"/>
      <c r="E5" s="197"/>
    </row>
    <row r="6" spans="1:15" ht="13.8" thickBot="1" x14ac:dyDescent="0.3">
      <c r="A6" s="71"/>
      <c r="D6" s="2"/>
      <c r="E6" s="107" t="s">
        <v>1286</v>
      </c>
    </row>
    <row r="7" spans="1:15" ht="39.6" x14ac:dyDescent="0.3">
      <c r="B7" s="3882"/>
      <c r="E7" s="108" t="s">
        <v>9</v>
      </c>
      <c r="F7" s="108" t="s">
        <v>10</v>
      </c>
      <c r="G7" s="108" t="s">
        <v>11</v>
      </c>
      <c r="H7" s="109" t="s">
        <v>12</v>
      </c>
      <c r="I7" s="110" t="s">
        <v>13</v>
      </c>
      <c r="J7" s="108" t="s">
        <v>14</v>
      </c>
      <c r="K7" s="108" t="s">
        <v>15</v>
      </c>
      <c r="L7" s="108" t="s">
        <v>16</v>
      </c>
      <c r="M7" s="108" t="s">
        <v>17</v>
      </c>
      <c r="N7" s="111" t="s">
        <v>18</v>
      </c>
      <c r="O7" s="18" t="s">
        <v>19</v>
      </c>
    </row>
    <row r="8" spans="1:15" s="55" customFormat="1" x14ac:dyDescent="0.25">
      <c r="A8" s="112"/>
      <c r="D8" s="114" t="s">
        <v>20</v>
      </c>
      <c r="E8" s="115"/>
      <c r="F8" s="115"/>
      <c r="G8" s="115"/>
      <c r="H8" s="116"/>
      <c r="I8" s="117"/>
      <c r="J8" s="115"/>
      <c r="K8" s="115"/>
      <c r="L8" s="115"/>
      <c r="M8" s="115"/>
      <c r="N8" s="118">
        <v>189654</v>
      </c>
      <c r="O8" s="26" t="s">
        <v>21</v>
      </c>
    </row>
    <row r="9" spans="1:15" s="55" customFormat="1" x14ac:dyDescent="0.25">
      <c r="A9" s="112"/>
      <c r="D9" s="114" t="s">
        <v>22</v>
      </c>
      <c r="E9" s="28">
        <v>65800</v>
      </c>
      <c r="F9" s="28">
        <v>0</v>
      </c>
      <c r="G9" s="28">
        <v>41454</v>
      </c>
      <c r="H9" s="28">
        <v>0</v>
      </c>
      <c r="I9" s="28">
        <v>800</v>
      </c>
      <c r="J9" s="28">
        <v>127000</v>
      </c>
      <c r="K9" s="28">
        <v>800</v>
      </c>
      <c r="L9" s="28">
        <v>400</v>
      </c>
      <c r="M9" s="172">
        <v>0</v>
      </c>
      <c r="N9" s="89">
        <v>236254</v>
      </c>
      <c r="O9" s="30">
        <f>(N9-N8)/N8</f>
        <v>0.24571060984740634</v>
      </c>
    </row>
    <row r="10" spans="1:15" s="55" customFormat="1" x14ac:dyDescent="0.25">
      <c r="A10" s="112"/>
      <c r="D10" s="55">
        <v>2012</v>
      </c>
      <c r="E10" s="121">
        <f>SUM(B24:B26)</f>
        <v>28353</v>
      </c>
      <c r="F10" s="121">
        <f>SUM(B30:B32)</f>
        <v>0</v>
      </c>
      <c r="G10" s="121">
        <f>(SUM(B24:B26)+SUM(B30:B32))*0.63</f>
        <v>17862.39</v>
      </c>
      <c r="H10" s="121">
        <f>SUM(B45:B49)+SUM(B53:B58)</f>
        <v>0</v>
      </c>
      <c r="I10" s="122">
        <f>SUM(B61:B65)</f>
        <v>487</v>
      </c>
      <c r="J10" s="121">
        <f>SUM(B69:B77)</f>
        <v>37700</v>
      </c>
      <c r="K10" s="121">
        <f>SUM(B80:B86)</f>
        <v>200</v>
      </c>
      <c r="L10" s="121">
        <f>SUM(B89:B94)</f>
        <v>150</v>
      </c>
      <c r="M10" s="123"/>
      <c r="N10" s="124">
        <f>SUM(E10:M10)</f>
        <v>84752.39</v>
      </c>
      <c r="O10" s="30">
        <f>(N10-N9)/N9</f>
        <v>-0.64126579867430811</v>
      </c>
    </row>
    <row r="11" spans="1:15" s="55" customFormat="1" x14ac:dyDescent="0.25">
      <c r="A11" s="112"/>
      <c r="D11" s="55">
        <v>2013</v>
      </c>
      <c r="E11" s="121">
        <f>SUM(C24:C26)</f>
        <v>29204</v>
      </c>
      <c r="F11" s="121">
        <f>SUM(C30:C32)</f>
        <v>0</v>
      </c>
      <c r="G11" s="121">
        <f>(SUM(C24:C26)+SUM(C30:C32))*0.63</f>
        <v>18398.52</v>
      </c>
      <c r="H11" s="121">
        <f>SUM(C45:C49)+SUM(C53:C58)</f>
        <v>0</v>
      </c>
      <c r="I11" s="122">
        <f>SUM(C61:C65)</f>
        <v>488</v>
      </c>
      <c r="J11" s="121">
        <f>SUM(C69:C77)</f>
        <v>50050</v>
      </c>
      <c r="K11" s="121">
        <f>SUM(C80:C86)</f>
        <v>200</v>
      </c>
      <c r="L11" s="121">
        <f>SUM(C89:C94)</f>
        <v>150</v>
      </c>
      <c r="M11" s="123"/>
      <c r="N11" s="124">
        <f>SUM(E11:M11)</f>
        <v>98490.52</v>
      </c>
      <c r="O11" s="30">
        <f>(N11-N10)/N10</f>
        <v>0.16209725767025573</v>
      </c>
    </row>
    <row r="12" spans="1:15" s="19" customFormat="1" ht="13.8" thickBot="1" x14ac:dyDescent="0.3">
      <c r="A12" s="71"/>
      <c r="D12" s="126" t="s">
        <v>23</v>
      </c>
      <c r="E12" s="127">
        <f>SUM(E10:E11)</f>
        <v>57557</v>
      </c>
      <c r="F12" s="127">
        <f t="shared" ref="F12:M12" si="0">SUM(F10:F11)</f>
        <v>0</v>
      </c>
      <c r="G12" s="127">
        <f t="shared" si="0"/>
        <v>36260.910000000003</v>
      </c>
      <c r="H12" s="127">
        <f t="shared" si="0"/>
        <v>0</v>
      </c>
      <c r="I12" s="127">
        <f t="shared" si="0"/>
        <v>975</v>
      </c>
      <c r="J12" s="127">
        <f t="shared" si="0"/>
        <v>87750</v>
      </c>
      <c r="K12" s="127">
        <f t="shared" si="0"/>
        <v>400</v>
      </c>
      <c r="L12" s="127">
        <f t="shared" si="0"/>
        <v>300</v>
      </c>
      <c r="M12" s="128">
        <f t="shared" si="0"/>
        <v>0</v>
      </c>
      <c r="N12" s="129">
        <f>SUM(N10:N11)</f>
        <v>183242.91</v>
      </c>
    </row>
    <row r="13" spans="1:15" ht="18" customHeight="1" x14ac:dyDescent="0.25">
      <c r="A13" s="71"/>
      <c r="D13" s="2"/>
      <c r="E13" s="3"/>
      <c r="M13" s="71" t="s">
        <v>24</v>
      </c>
    </row>
    <row r="14" spans="1:15" x14ac:dyDescent="0.25">
      <c r="A14" s="71"/>
      <c r="D14" s="2"/>
      <c r="E14" s="3"/>
      <c r="M14" s="71" t="s">
        <v>25</v>
      </c>
    </row>
    <row r="15" spans="1:15" ht="15.6" x14ac:dyDescent="0.3">
      <c r="A15" s="71"/>
      <c r="B15" s="4781" t="s">
        <v>26</v>
      </c>
      <c r="C15" s="4783"/>
      <c r="D15" s="4783"/>
      <c r="E15" s="4782"/>
      <c r="F15" s="3839"/>
      <c r="G15" s="3839"/>
    </row>
    <row r="16" spans="1:15" s="55" customFormat="1" ht="15.6" x14ac:dyDescent="0.3">
      <c r="A16" s="112"/>
      <c r="B16" s="173"/>
      <c r="C16" s="132"/>
      <c r="D16" s="132"/>
      <c r="E16" s="132"/>
      <c r="F16" s="132"/>
      <c r="G16" s="132"/>
    </row>
    <row r="17" spans="1:7" s="55" customFormat="1" ht="15.6" x14ac:dyDescent="0.3">
      <c r="A17" s="112"/>
      <c r="B17" s="132"/>
      <c r="C17" s="132"/>
      <c r="D17" s="132"/>
      <c r="E17" s="132"/>
      <c r="F17" s="132"/>
      <c r="G17" s="132"/>
    </row>
    <row r="18" spans="1:7" ht="15.6" x14ac:dyDescent="0.3">
      <c r="A18" s="71"/>
      <c r="B18" s="4779" t="s">
        <v>27</v>
      </c>
      <c r="C18" s="4779"/>
      <c r="D18" s="45" t="s">
        <v>28</v>
      </c>
      <c r="E18" s="46" t="s">
        <v>29</v>
      </c>
    </row>
    <row r="19" spans="1:7" ht="15.6" x14ac:dyDescent="0.3">
      <c r="A19" s="71"/>
      <c r="B19" s="4780" t="s">
        <v>30</v>
      </c>
      <c r="C19" s="4780"/>
      <c r="D19" s="45"/>
      <c r="E19" s="46"/>
    </row>
    <row r="20" spans="1:7" ht="46.8" x14ac:dyDescent="0.3">
      <c r="A20" s="71"/>
      <c r="B20" s="174">
        <v>2012</v>
      </c>
      <c r="C20" s="174">
        <v>2013</v>
      </c>
      <c r="D20" s="71" t="s">
        <v>89</v>
      </c>
      <c r="E20" s="134" t="s">
        <v>32</v>
      </c>
    </row>
    <row r="21" spans="1:7" x14ac:dyDescent="0.25">
      <c r="A21" s="71"/>
      <c r="B21" s="178" t="s">
        <v>9</v>
      </c>
      <c r="C21" s="178" t="s">
        <v>9</v>
      </c>
      <c r="D21" s="141"/>
      <c r="E21" s="142">
        <f>SUM(B24:B26)+SUM(C24:C26)</f>
        <v>57557</v>
      </c>
    </row>
    <row r="22" spans="1:7" ht="7.5" customHeight="1" x14ac:dyDescent="0.25">
      <c r="A22" s="71"/>
      <c r="B22" s="179"/>
      <c r="C22" s="179"/>
      <c r="D22" s="2"/>
      <c r="E22" s="54"/>
    </row>
    <row r="23" spans="1:7" x14ac:dyDescent="0.25">
      <c r="A23" s="71"/>
      <c r="B23" s="180" t="s">
        <v>33</v>
      </c>
      <c r="C23" s="180" t="s">
        <v>33</v>
      </c>
      <c r="D23" s="146" t="s">
        <v>7</v>
      </c>
      <c r="E23" s="54"/>
      <c r="F23" s="147" t="s">
        <v>7</v>
      </c>
    </row>
    <row r="24" spans="1:7" x14ac:dyDescent="0.25">
      <c r="A24" s="71"/>
      <c r="B24" s="181">
        <v>28353</v>
      </c>
      <c r="C24" s="182">
        <v>29204</v>
      </c>
      <c r="D24" s="3" t="s">
        <v>93</v>
      </c>
      <c r="E24" s="54"/>
      <c r="F24" s="149"/>
    </row>
    <row r="25" spans="1:7" x14ac:dyDescent="0.25">
      <c r="A25" s="71"/>
      <c r="B25" s="183"/>
      <c r="C25" s="183"/>
      <c r="D25" s="2"/>
      <c r="E25" s="54"/>
    </row>
    <row r="26" spans="1:7" x14ac:dyDescent="0.25">
      <c r="A26" s="71"/>
      <c r="B26" s="183"/>
      <c r="C26" s="183"/>
      <c r="D26" s="2"/>
      <c r="E26" s="54"/>
    </row>
    <row r="27" spans="1:7" s="55" customFormat="1" ht="21" customHeight="1" x14ac:dyDescent="0.25">
      <c r="A27" s="112"/>
      <c r="B27" s="178" t="s">
        <v>10</v>
      </c>
      <c r="C27" s="178" t="s">
        <v>10</v>
      </c>
      <c r="D27" s="141"/>
      <c r="E27" s="142">
        <f>SUM(B30:B33)+SUM(C30:C33)</f>
        <v>0</v>
      </c>
    </row>
    <row r="28" spans="1:7" ht="8.25" customHeight="1" x14ac:dyDescent="0.25">
      <c r="A28" s="71"/>
      <c r="B28" s="184"/>
      <c r="C28" s="184"/>
      <c r="D28" s="155"/>
      <c r="E28" s="54"/>
    </row>
    <row r="29" spans="1:7" s="55" customFormat="1" ht="13.5" customHeight="1" x14ac:dyDescent="0.25">
      <c r="A29" s="112"/>
      <c r="B29" s="180" t="s">
        <v>33</v>
      </c>
      <c r="C29" s="180" t="s">
        <v>33</v>
      </c>
      <c r="D29" s="155"/>
      <c r="E29" s="54"/>
    </row>
    <row r="30" spans="1:7" x14ac:dyDescent="0.25">
      <c r="A30" s="71"/>
      <c r="B30" s="88"/>
      <c r="C30" s="185"/>
      <c r="D30" s="153"/>
      <c r="E30" s="54"/>
    </row>
    <row r="31" spans="1:7" x14ac:dyDescent="0.25">
      <c r="A31" s="71"/>
      <c r="B31" s="185"/>
      <c r="C31" s="185"/>
      <c r="D31" s="153"/>
      <c r="E31" s="54"/>
    </row>
    <row r="32" spans="1:7" x14ac:dyDescent="0.25">
      <c r="A32" s="71"/>
      <c r="B32" s="19"/>
      <c r="C32" s="19"/>
      <c r="D32" s="153"/>
      <c r="E32" s="54"/>
    </row>
    <row r="33" spans="1:6" x14ac:dyDescent="0.25">
      <c r="A33" s="71"/>
      <c r="B33" s="19"/>
      <c r="C33" s="19"/>
      <c r="D33" s="153"/>
      <c r="E33" s="54"/>
    </row>
    <row r="34" spans="1:6" x14ac:dyDescent="0.25">
      <c r="A34" s="71"/>
      <c r="B34" s="178" t="s">
        <v>11</v>
      </c>
      <c r="C34" s="178" t="s">
        <v>11</v>
      </c>
      <c r="D34" s="141"/>
      <c r="E34" s="142">
        <f>E21*0.63</f>
        <v>36260.910000000003</v>
      </c>
    </row>
    <row r="35" spans="1:6" ht="7.5" customHeight="1" x14ac:dyDescent="0.25">
      <c r="A35" s="71"/>
      <c r="B35" s="179"/>
      <c r="C35" s="179"/>
      <c r="D35" s="2"/>
      <c r="E35" s="70"/>
    </row>
    <row r="36" spans="1:6" x14ac:dyDescent="0.25">
      <c r="A36" s="191"/>
      <c r="B36" s="186" t="s">
        <v>38</v>
      </c>
      <c r="C36" s="186" t="s">
        <v>38</v>
      </c>
      <c r="D36" s="146" t="s">
        <v>7</v>
      </c>
      <c r="E36" s="54"/>
      <c r="F36" s="161"/>
    </row>
    <row r="37" spans="1:6" x14ac:dyDescent="0.25">
      <c r="A37" s="71"/>
      <c r="B37" s="19"/>
      <c r="C37" s="19"/>
      <c r="D37" s="153" t="s">
        <v>7</v>
      </c>
      <c r="E37" s="54"/>
    </row>
    <row r="38" spans="1:6" s="55" customFormat="1" x14ac:dyDescent="0.25">
      <c r="A38" s="112"/>
      <c r="B38" s="178" t="s">
        <v>39</v>
      </c>
      <c r="C38" s="178" t="s">
        <v>39</v>
      </c>
      <c r="D38" s="141"/>
      <c r="E38" s="142">
        <f>SUM(B40:B42)+SUM(C40:C42)</f>
        <v>0</v>
      </c>
    </row>
    <row r="39" spans="1:6" ht="7.5" customHeight="1" x14ac:dyDescent="0.25">
      <c r="A39" s="71"/>
      <c r="B39" s="184"/>
      <c r="C39" s="184"/>
      <c r="D39" s="155"/>
      <c r="E39" s="54"/>
    </row>
    <row r="40" spans="1:6" x14ac:dyDescent="0.25">
      <c r="A40" s="71"/>
      <c r="C40" s="185"/>
      <c r="D40" s="153"/>
      <c r="E40" s="54"/>
    </row>
    <row r="41" spans="1:6" ht="26.25" customHeight="1" x14ac:dyDescent="0.25">
      <c r="A41" s="71"/>
      <c r="B41" s="19"/>
      <c r="C41" s="19"/>
      <c r="D41" s="153"/>
      <c r="E41" s="54"/>
    </row>
    <row r="42" spans="1:6" ht="26.25" customHeight="1" x14ac:dyDescent="0.25">
      <c r="A42" s="71"/>
      <c r="B42" s="19"/>
      <c r="C42" s="19"/>
      <c r="D42" s="153"/>
      <c r="E42" s="54"/>
    </row>
    <row r="43" spans="1:6" x14ac:dyDescent="0.25">
      <c r="A43" s="71"/>
      <c r="B43" s="178" t="s">
        <v>12</v>
      </c>
      <c r="C43" s="178" t="s">
        <v>12</v>
      </c>
      <c r="D43" s="141"/>
      <c r="E43" s="142">
        <f>SUM(B45:B50)+SUM(C45:C50)</f>
        <v>0</v>
      </c>
    </row>
    <row r="44" spans="1:6" ht="6.75" customHeight="1" x14ac:dyDescent="0.25">
      <c r="A44" s="71"/>
      <c r="B44" s="187"/>
      <c r="C44" s="187"/>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x14ac:dyDescent="0.25">
      <c r="A48" s="71"/>
      <c r="B48" s="19"/>
      <c r="C48" s="19"/>
      <c r="D48" s="153"/>
      <c r="E48" s="54"/>
    </row>
    <row r="49" spans="1:5" ht="27.75" customHeight="1" x14ac:dyDescent="0.25">
      <c r="A49" s="71"/>
      <c r="B49" s="19"/>
      <c r="C49" s="19"/>
      <c r="D49" s="153"/>
      <c r="E49" s="54"/>
    </row>
    <row r="50" spans="1:5" ht="27.75" customHeight="1" x14ac:dyDescent="0.25">
      <c r="A50" s="71"/>
      <c r="B50" s="19"/>
      <c r="C50" s="19"/>
      <c r="D50" s="153"/>
      <c r="E50" s="54"/>
    </row>
    <row r="51" spans="1:5" x14ac:dyDescent="0.25">
      <c r="A51" s="71"/>
      <c r="B51" s="178" t="s">
        <v>40</v>
      </c>
      <c r="C51" s="178" t="s">
        <v>40</v>
      </c>
      <c r="D51" s="141"/>
      <c r="E51" s="142">
        <f>SUM(B53:B58)+SUM(C53:C58)</f>
        <v>0</v>
      </c>
    </row>
    <row r="52" spans="1:5" ht="6.75" customHeight="1" x14ac:dyDescent="0.25">
      <c r="A52" s="71"/>
      <c r="B52" s="184"/>
      <c r="C52" s="184"/>
      <c r="E52" s="75"/>
    </row>
    <row r="53" spans="1:5" x14ac:dyDescent="0.25">
      <c r="A53" s="71"/>
      <c r="B53" s="188"/>
      <c r="C53" s="188"/>
      <c r="E53" s="75"/>
    </row>
    <row r="54" spans="1:5" ht="12.75" customHeight="1" x14ac:dyDescent="0.25">
      <c r="A54" s="71"/>
      <c r="B54" s="188"/>
      <c r="C54" s="188"/>
      <c r="E54" s="75"/>
    </row>
    <row r="55" spans="1:5" x14ac:dyDescent="0.25">
      <c r="A55" s="71"/>
      <c r="B55" s="188"/>
      <c r="C55" s="188"/>
      <c r="E55" s="75"/>
    </row>
    <row r="56" spans="1:5" x14ac:dyDescent="0.25">
      <c r="A56" s="71"/>
      <c r="B56" s="188"/>
      <c r="C56" s="188"/>
      <c r="E56" s="75"/>
    </row>
    <row r="57" spans="1:5" x14ac:dyDescent="0.25">
      <c r="A57" s="71"/>
      <c r="E57" s="75"/>
    </row>
    <row r="58" spans="1:5" x14ac:dyDescent="0.25">
      <c r="A58" s="71"/>
      <c r="D58" s="2"/>
      <c r="E58" s="54"/>
    </row>
    <row r="59" spans="1:5" x14ac:dyDescent="0.25">
      <c r="A59" s="71"/>
      <c r="B59" s="178" t="s">
        <v>13</v>
      </c>
      <c r="C59" s="178" t="s">
        <v>13</v>
      </c>
      <c r="D59" s="141"/>
      <c r="E59" s="142">
        <f>SUM(B61:B66)+SUM(C61:C66)</f>
        <v>975</v>
      </c>
    </row>
    <row r="60" spans="1:5" ht="6.75" customHeight="1" x14ac:dyDescent="0.25">
      <c r="A60" s="71"/>
      <c r="B60" s="179"/>
      <c r="C60" s="179"/>
      <c r="D60" s="2"/>
      <c r="E60" s="54"/>
    </row>
    <row r="61" spans="1:5" x14ac:dyDescent="0.25">
      <c r="A61" s="71"/>
      <c r="B61" s="3916">
        <v>200</v>
      </c>
      <c r="C61" s="3916">
        <v>200</v>
      </c>
      <c r="D61" s="164" t="s">
        <v>72</v>
      </c>
      <c r="E61" s="54"/>
    </row>
    <row r="62" spans="1:5" x14ac:dyDescent="0.25">
      <c r="A62" s="71"/>
      <c r="B62" s="3916">
        <v>200</v>
      </c>
      <c r="C62" s="3916">
        <v>200</v>
      </c>
      <c r="D62" s="164" t="s">
        <v>42</v>
      </c>
      <c r="E62" s="54"/>
    </row>
    <row r="63" spans="1:5" x14ac:dyDescent="0.25">
      <c r="A63" s="71"/>
      <c r="B63" s="3916">
        <v>37</v>
      </c>
      <c r="C63" s="3916">
        <v>38</v>
      </c>
      <c r="D63" s="164" t="s">
        <v>43</v>
      </c>
      <c r="E63" s="54"/>
    </row>
    <row r="64" spans="1:5" x14ac:dyDescent="0.25">
      <c r="A64" s="71"/>
      <c r="B64" s="3916">
        <v>50</v>
      </c>
      <c r="C64" s="3916">
        <v>50</v>
      </c>
      <c r="D64" s="164" t="s">
        <v>62</v>
      </c>
      <c r="E64" s="54"/>
    </row>
    <row r="65" spans="1:5" x14ac:dyDescent="0.25">
      <c r="A65" s="71"/>
      <c r="B65" s="189"/>
      <c r="C65" s="189"/>
      <c r="D65" s="164" t="s">
        <v>45</v>
      </c>
      <c r="E65" s="54"/>
    </row>
    <row r="66" spans="1:5" x14ac:dyDescent="0.25">
      <c r="A66" s="71"/>
      <c r="B66" s="189"/>
      <c r="C66" s="189"/>
      <c r="D66" s="164"/>
      <c r="E66" s="54"/>
    </row>
    <row r="67" spans="1:5" x14ac:dyDescent="0.25">
      <c r="A67" s="71"/>
      <c r="B67" s="178" t="s">
        <v>14</v>
      </c>
      <c r="C67" s="178" t="s">
        <v>14</v>
      </c>
      <c r="D67" s="141"/>
      <c r="E67" s="142">
        <f>SUM(B69:B77)+SUM(C69:C77)</f>
        <v>87750</v>
      </c>
    </row>
    <row r="68" spans="1:5" ht="6" customHeight="1" x14ac:dyDescent="0.25">
      <c r="A68" s="166"/>
      <c r="B68" s="179"/>
      <c r="C68" s="179"/>
      <c r="D68" s="2"/>
      <c r="E68" s="54"/>
    </row>
    <row r="69" spans="1:5" x14ac:dyDescent="0.25">
      <c r="A69" s="71"/>
      <c r="B69" s="3917">
        <v>5200</v>
      </c>
      <c r="C69" s="3917">
        <v>11050</v>
      </c>
      <c r="D69" s="2" t="s">
        <v>94</v>
      </c>
      <c r="E69" s="54"/>
    </row>
    <row r="70" spans="1:5" x14ac:dyDescent="0.25">
      <c r="A70" s="71"/>
      <c r="B70" s="3917">
        <v>7800</v>
      </c>
      <c r="C70" s="3917">
        <v>7800</v>
      </c>
      <c r="D70" s="2" t="s">
        <v>95</v>
      </c>
      <c r="E70" s="54"/>
    </row>
    <row r="71" spans="1:5" x14ac:dyDescent="0.25">
      <c r="A71" s="71"/>
      <c r="B71" s="3917">
        <v>6500</v>
      </c>
      <c r="C71" s="3917">
        <v>13000</v>
      </c>
      <c r="D71" s="2" t="s">
        <v>96</v>
      </c>
      <c r="E71" s="54"/>
    </row>
    <row r="72" spans="1:5" ht="26.4" x14ac:dyDescent="0.25">
      <c r="A72" s="71"/>
      <c r="B72" s="3917">
        <v>5200</v>
      </c>
      <c r="C72" s="3917">
        <v>5200</v>
      </c>
      <c r="D72" s="2" t="s">
        <v>97</v>
      </c>
      <c r="E72" s="54"/>
    </row>
    <row r="73" spans="1:5" ht="26.4" x14ac:dyDescent="0.25">
      <c r="A73" s="71"/>
      <c r="B73" s="3917">
        <v>1950</v>
      </c>
      <c r="C73" s="3917">
        <v>1950</v>
      </c>
      <c r="D73" s="2" t="s">
        <v>98</v>
      </c>
      <c r="E73" s="54"/>
    </row>
    <row r="74" spans="1:5" x14ac:dyDescent="0.25">
      <c r="A74" s="71"/>
      <c r="B74" s="3917">
        <v>6500</v>
      </c>
      <c r="C74" s="3917">
        <v>6500</v>
      </c>
      <c r="D74" s="2" t="s">
        <v>99</v>
      </c>
      <c r="E74" s="54"/>
    </row>
    <row r="75" spans="1:5" ht="26.4" x14ac:dyDescent="0.25">
      <c r="A75" s="71"/>
      <c r="B75" s="3917">
        <v>1300</v>
      </c>
      <c r="C75" s="3917">
        <v>1300</v>
      </c>
      <c r="D75" s="2" t="s">
        <v>100</v>
      </c>
      <c r="E75" s="54"/>
    </row>
    <row r="76" spans="1:5" ht="26.4" x14ac:dyDescent="0.25">
      <c r="A76" s="71"/>
      <c r="B76" s="3917">
        <v>3250</v>
      </c>
      <c r="C76" s="3917">
        <v>3250</v>
      </c>
      <c r="D76" s="2" t="s">
        <v>101</v>
      </c>
      <c r="E76" s="54"/>
    </row>
    <row r="77" spans="1:5" x14ac:dyDescent="0.25">
      <c r="A77" s="71"/>
      <c r="B77" s="86"/>
      <c r="C77" s="86"/>
      <c r="D77" s="3"/>
      <c r="E77" s="54"/>
    </row>
    <row r="78" spans="1:5" x14ac:dyDescent="0.25">
      <c r="A78" s="71"/>
      <c r="B78" s="178" t="s">
        <v>15</v>
      </c>
      <c r="C78" s="178" t="s">
        <v>15</v>
      </c>
      <c r="D78" s="141"/>
      <c r="E78" s="142">
        <f>SUM(B80:B86)+SUM(C80:C86)</f>
        <v>400</v>
      </c>
    </row>
    <row r="79" spans="1:5" ht="6.75" customHeight="1" x14ac:dyDescent="0.25">
      <c r="A79" s="71"/>
      <c r="B79" s="184"/>
      <c r="C79" s="184"/>
      <c r="D79" s="2"/>
      <c r="E79" s="54"/>
    </row>
    <row r="80" spans="1:5" s="55" customFormat="1" ht="26.4" x14ac:dyDescent="0.25">
      <c r="A80" s="112"/>
      <c r="B80" s="193">
        <v>200</v>
      </c>
      <c r="C80" s="193">
        <v>200</v>
      </c>
      <c r="D80" s="169" t="s">
        <v>102</v>
      </c>
      <c r="E80" s="54"/>
    </row>
    <row r="81" spans="1:5" s="55" customFormat="1" ht="12.75" customHeight="1" x14ac:dyDescent="0.25">
      <c r="A81" s="112"/>
      <c r="B81" s="194"/>
      <c r="C81" s="194"/>
      <c r="D81" s="167"/>
      <c r="E81" s="54"/>
    </row>
    <row r="82" spans="1:5" s="55" customFormat="1" ht="12.75" customHeight="1" x14ac:dyDescent="0.25">
      <c r="A82" s="112"/>
      <c r="B82" s="194"/>
      <c r="C82" s="194"/>
      <c r="D82" s="167"/>
      <c r="E82" s="54"/>
    </row>
    <row r="83" spans="1:5" s="55" customFormat="1" ht="12.75" customHeight="1" x14ac:dyDescent="0.25">
      <c r="A83" s="112"/>
      <c r="B83" s="194"/>
      <c r="C83" s="194"/>
      <c r="D83" s="167"/>
      <c r="E83" s="54"/>
    </row>
    <row r="84" spans="1:5" s="55" customFormat="1" ht="12.75" customHeight="1" x14ac:dyDescent="0.25">
      <c r="A84" s="112"/>
      <c r="B84" s="194"/>
      <c r="C84" s="194"/>
      <c r="D84" s="167"/>
      <c r="E84" s="54"/>
    </row>
    <row r="85" spans="1:5" x14ac:dyDescent="0.25">
      <c r="A85" s="71"/>
      <c r="B85" s="86"/>
      <c r="C85" s="86"/>
      <c r="D85" s="153"/>
      <c r="E85" s="54"/>
    </row>
    <row r="86" spans="1:5" x14ac:dyDescent="0.25">
      <c r="A86" s="71"/>
      <c r="B86" s="86"/>
      <c r="C86" s="86"/>
      <c r="D86" s="153"/>
      <c r="E86" s="54"/>
    </row>
    <row r="87" spans="1:5" x14ac:dyDescent="0.25">
      <c r="A87" s="71"/>
      <c r="B87" s="178" t="s">
        <v>16</v>
      </c>
      <c r="C87" s="178" t="s">
        <v>16</v>
      </c>
      <c r="D87" s="141"/>
      <c r="E87" s="142">
        <f>SUM(B89:B94)+SUM(C89:C94)</f>
        <v>300</v>
      </c>
    </row>
    <row r="88" spans="1:5" s="55" customFormat="1" ht="6.75" customHeight="1" x14ac:dyDescent="0.25">
      <c r="A88" s="112"/>
      <c r="B88" s="184"/>
      <c r="C88" s="184"/>
      <c r="D88" s="167"/>
      <c r="E88" s="54"/>
    </row>
    <row r="89" spans="1:5" s="55" customFormat="1" ht="26.4" x14ac:dyDescent="0.25">
      <c r="A89" s="112"/>
      <c r="B89" s="193">
        <v>150</v>
      </c>
      <c r="C89" s="193">
        <v>150</v>
      </c>
      <c r="D89" s="169" t="s">
        <v>103</v>
      </c>
      <c r="E89" s="54"/>
    </row>
    <row r="90" spans="1:5" s="55" customFormat="1" ht="12.75" customHeight="1" x14ac:dyDescent="0.25">
      <c r="A90" s="112"/>
      <c r="B90" s="194"/>
      <c r="C90" s="194"/>
      <c r="D90" s="167"/>
      <c r="E90" s="54"/>
    </row>
    <row r="91" spans="1:5" s="55" customFormat="1" ht="12.75" customHeight="1" x14ac:dyDescent="0.25">
      <c r="A91" s="112"/>
      <c r="B91" s="194"/>
      <c r="C91" s="194"/>
      <c r="D91" s="167"/>
      <c r="E91" s="54"/>
    </row>
    <row r="92" spans="1:5" s="55" customFormat="1" x14ac:dyDescent="0.25">
      <c r="A92" s="112"/>
      <c r="B92" s="194"/>
      <c r="C92" s="194"/>
      <c r="D92" s="167"/>
      <c r="E92" s="54"/>
    </row>
    <row r="93" spans="1:5" s="55" customFormat="1" x14ac:dyDescent="0.25">
      <c r="A93" s="112"/>
      <c r="B93" s="194"/>
      <c r="C93" s="194"/>
      <c r="D93" s="167"/>
      <c r="E93" s="54"/>
    </row>
    <row r="94" spans="1:5" x14ac:dyDescent="0.25">
      <c r="A94" s="71"/>
      <c r="B94" s="86"/>
      <c r="C94" s="86"/>
      <c r="D94" s="2"/>
      <c r="E94" s="54"/>
    </row>
    <row r="95" spans="1:5" ht="26.4" x14ac:dyDescent="0.25">
      <c r="A95" s="71"/>
      <c r="B95" s="178" t="s">
        <v>17</v>
      </c>
      <c r="C95" s="178" t="s">
        <v>17</v>
      </c>
      <c r="D95" s="2"/>
      <c r="E95" s="54"/>
    </row>
    <row r="96" spans="1:5" s="55" customFormat="1" ht="6.75" customHeight="1" x14ac:dyDescent="0.25">
      <c r="A96" s="112"/>
      <c r="B96" s="184"/>
      <c r="C96" s="184"/>
      <c r="D96" s="167"/>
      <c r="E96" s="54"/>
    </row>
    <row r="97" spans="1:5" s="55" customFormat="1" x14ac:dyDescent="0.25">
      <c r="A97" s="112"/>
      <c r="B97" s="188"/>
      <c r="C97" s="188"/>
      <c r="D97" s="167"/>
      <c r="E97" s="84"/>
    </row>
    <row r="98" spans="1:5" x14ac:dyDescent="0.25">
      <c r="A98" s="71"/>
      <c r="B98" s="88" t="s">
        <v>55</v>
      </c>
      <c r="D98" s="2"/>
      <c r="E98" s="3"/>
    </row>
    <row r="99" spans="1:5" x14ac:dyDescent="0.25">
      <c r="A99" s="71"/>
      <c r="B99" s="88" t="s">
        <v>56</v>
      </c>
      <c r="D99" s="2"/>
      <c r="E99" s="3"/>
    </row>
    <row r="100" spans="1:5" x14ac:dyDescent="0.25">
      <c r="A100" s="71"/>
      <c r="B100" s="88" t="s">
        <v>57</v>
      </c>
      <c r="D100" s="2"/>
      <c r="E100"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7" right="0.7" top="0.34" bottom="0.32" header="0.3" footer="0.3"/>
  <pageSetup paperSize="17" scale="51" orientation="landscape"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B17" sqref="B17:C17"/>
    </sheetView>
  </sheetViews>
  <sheetFormatPr defaultRowHeight="13.2" x14ac:dyDescent="0.25"/>
  <cols>
    <col min="1" max="1" width="16.109375" customWidth="1"/>
    <col min="2" max="3" width="22.109375" customWidth="1"/>
    <col min="4" max="4" width="24" customWidth="1"/>
    <col min="5" max="5" width="18.109375" customWidth="1"/>
    <col min="6" max="6" width="17.88671875" customWidth="1"/>
    <col min="7" max="7" width="20.44140625" customWidth="1"/>
    <col min="8" max="8" width="19.6640625" customWidth="1"/>
    <col min="9" max="9" width="18.109375" customWidth="1"/>
    <col min="10" max="11" width="23.6640625" customWidth="1"/>
    <col min="12" max="12" width="18" customWidth="1"/>
    <col min="13" max="13" width="23.6640625" customWidth="1"/>
    <col min="14" max="14" width="19.44140625" customWidth="1"/>
    <col min="15" max="15" width="15.88671875" customWidth="1"/>
  </cols>
  <sheetData>
    <row r="1" spans="1:15" ht="42.75" customHeight="1" x14ac:dyDescent="0.25"/>
    <row r="2" spans="1:15" ht="18" thickBot="1" x14ac:dyDescent="0.35">
      <c r="B2" s="1" t="s">
        <v>85</v>
      </c>
      <c r="C2" s="170"/>
      <c r="D2" s="2"/>
      <c r="E2" s="3"/>
    </row>
    <row r="3" spans="1:15" ht="15.6" thickBot="1" x14ac:dyDescent="0.3">
      <c r="B3" s="5" t="s">
        <v>5</v>
      </c>
      <c r="C3" s="171"/>
      <c r="D3" s="6" t="s">
        <v>78</v>
      </c>
      <c r="E3" s="104">
        <v>18230809</v>
      </c>
    </row>
    <row r="4" spans="1:15" x14ac:dyDescent="0.25">
      <c r="B4" s="19"/>
    </row>
    <row r="5" spans="1:15" ht="13.8" thickBot="1" x14ac:dyDescent="0.3">
      <c r="A5" s="71"/>
      <c r="D5" s="2"/>
      <c r="E5" s="107" t="s">
        <v>1286</v>
      </c>
    </row>
    <row r="6" spans="1:15" ht="39.6" x14ac:dyDescent="0.3">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418800</v>
      </c>
      <c r="O7" s="26" t="s">
        <v>21</v>
      </c>
    </row>
    <row r="8" spans="1:15" s="55" customFormat="1" x14ac:dyDescent="0.25">
      <c r="A8" s="112"/>
      <c r="D8" s="114" t="s">
        <v>22</v>
      </c>
      <c r="E8" s="28">
        <v>112800</v>
      </c>
      <c r="F8" s="28">
        <v>0</v>
      </c>
      <c r="G8" s="28">
        <v>71064</v>
      </c>
      <c r="H8" s="28">
        <v>0</v>
      </c>
      <c r="I8" s="28">
        <v>1600</v>
      </c>
      <c r="J8" s="28">
        <v>128000</v>
      </c>
      <c r="K8" s="28">
        <v>1600</v>
      </c>
      <c r="L8" s="28">
        <v>0</v>
      </c>
      <c r="M8" s="172">
        <v>0</v>
      </c>
      <c r="N8" s="89">
        <v>315064</v>
      </c>
      <c r="O8" s="30">
        <f>(N8-N7)/N7</f>
        <v>-0.24769818529130849</v>
      </c>
    </row>
    <row r="9" spans="1:15" s="55" customFormat="1" x14ac:dyDescent="0.25">
      <c r="A9" s="112"/>
      <c r="D9" s="55">
        <v>2012</v>
      </c>
      <c r="E9" s="121">
        <f>SUM(B24:B26)</f>
        <v>111800</v>
      </c>
      <c r="F9" s="121">
        <f>SUM(B30:B32)</f>
        <v>0</v>
      </c>
      <c r="G9" s="121">
        <f>(SUM(B24:B26)+SUM(B30:B32))*0.63</f>
        <v>70434</v>
      </c>
      <c r="H9" s="121">
        <f>SUM(B45:B49)+SUM(B53:B58)</f>
        <v>0</v>
      </c>
      <c r="I9" s="122">
        <f>SUM(B61:B65)</f>
        <v>2175</v>
      </c>
      <c r="J9" s="121">
        <f>SUM(B69:B74)</f>
        <v>239250</v>
      </c>
      <c r="K9" s="121">
        <f>SUM(B77:B83)</f>
        <v>0</v>
      </c>
      <c r="L9" s="121">
        <f>SUM(B86:B91)</f>
        <v>0</v>
      </c>
      <c r="M9" s="123"/>
      <c r="N9" s="124">
        <f>SUM(E9:M9)</f>
        <v>423659</v>
      </c>
      <c r="O9" s="30">
        <f>(N9-N8)/N8</f>
        <v>0.34467600233603329</v>
      </c>
    </row>
    <row r="10" spans="1:15" s="55" customFormat="1" x14ac:dyDescent="0.25">
      <c r="A10" s="112"/>
      <c r="D10" s="55">
        <v>2013</v>
      </c>
      <c r="E10" s="121">
        <f>SUM(C24:C26)</f>
        <v>115154</v>
      </c>
      <c r="F10" s="121">
        <f>SUM(C30:C32)</f>
        <v>0</v>
      </c>
      <c r="G10" s="121">
        <f>(SUM(C24:C26)+SUM(C30:C32))*0.63</f>
        <v>72547.02</v>
      </c>
      <c r="H10" s="121">
        <f>SUM(C45:C49)+SUM(C53:C58)</f>
        <v>0</v>
      </c>
      <c r="I10" s="122">
        <f>SUM(C61:C65)</f>
        <v>2175</v>
      </c>
      <c r="J10" s="121">
        <f>SUM(C69:C74)</f>
        <v>56550</v>
      </c>
      <c r="K10" s="121">
        <f>SUM(C77:C83)</f>
        <v>0</v>
      </c>
      <c r="L10" s="121">
        <f>SUM(C86:C91)</f>
        <v>0</v>
      </c>
      <c r="M10" s="123"/>
      <c r="N10" s="124">
        <f>SUM(E10:M10)</f>
        <v>246426.02000000002</v>
      </c>
      <c r="O10" s="30">
        <f>(N10-N9)/N9</f>
        <v>-0.41833875829381645</v>
      </c>
    </row>
    <row r="11" spans="1:15" s="19" customFormat="1" ht="13.8" thickBot="1" x14ac:dyDescent="0.3">
      <c r="A11" s="71"/>
      <c r="D11" s="126" t="s">
        <v>23</v>
      </c>
      <c r="E11" s="127">
        <f>SUM(E9:E10)</f>
        <v>226954</v>
      </c>
      <c r="F11" s="127">
        <f t="shared" ref="F11:M11" si="0">SUM(F9:F10)</f>
        <v>0</v>
      </c>
      <c r="G11" s="127">
        <f t="shared" si="0"/>
        <v>142981.02000000002</v>
      </c>
      <c r="H11" s="127">
        <f t="shared" si="0"/>
        <v>0</v>
      </c>
      <c r="I11" s="127">
        <f t="shared" si="0"/>
        <v>4350</v>
      </c>
      <c r="J11" s="127">
        <f t="shared" si="0"/>
        <v>295800</v>
      </c>
      <c r="K11" s="127">
        <f t="shared" si="0"/>
        <v>0</v>
      </c>
      <c r="L11" s="127">
        <f t="shared" si="0"/>
        <v>0</v>
      </c>
      <c r="M11" s="128">
        <f t="shared" si="0"/>
        <v>0</v>
      </c>
      <c r="N11" s="129">
        <f>SUM(N9:N10)</f>
        <v>670085.02</v>
      </c>
    </row>
    <row r="12" spans="1:15" ht="18" customHeight="1" x14ac:dyDescent="0.25">
      <c r="A12" s="71"/>
      <c r="D12" s="2"/>
      <c r="E12" s="3"/>
      <c r="M12" s="71" t="s">
        <v>24</v>
      </c>
    </row>
    <row r="13" spans="1:15" x14ac:dyDescent="0.25">
      <c r="A13" s="71"/>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175" t="s">
        <v>31</v>
      </c>
      <c r="E19" s="176" t="s">
        <v>32</v>
      </c>
    </row>
    <row r="20" spans="1:6" ht="10.5" customHeight="1" x14ac:dyDescent="0.3">
      <c r="A20" s="71"/>
      <c r="B20" s="174"/>
      <c r="C20" s="174"/>
      <c r="D20" s="175"/>
      <c r="E20" s="177"/>
    </row>
    <row r="21" spans="1:6" ht="16.5" customHeight="1" x14ac:dyDescent="0.25">
      <c r="A21" s="71"/>
      <c r="B21" s="178" t="s">
        <v>9</v>
      </c>
      <c r="C21" s="178" t="s">
        <v>9</v>
      </c>
      <c r="D21" s="141"/>
      <c r="E21" s="142">
        <f>SUM(B24:B26)+SUM(C24:C26)</f>
        <v>226954</v>
      </c>
    </row>
    <row r="22" spans="1:6" ht="7.5" customHeight="1" x14ac:dyDescent="0.25">
      <c r="A22" s="71"/>
      <c r="B22" s="179"/>
      <c r="C22" s="179"/>
      <c r="D22" s="2"/>
      <c r="E22" s="54"/>
    </row>
    <row r="23" spans="1:6" x14ac:dyDescent="0.25">
      <c r="A23" s="71"/>
      <c r="B23" s="180" t="s">
        <v>33</v>
      </c>
      <c r="C23" s="180" t="s">
        <v>33</v>
      </c>
      <c r="D23" s="146" t="s">
        <v>7</v>
      </c>
      <c r="E23" s="54"/>
      <c r="F23" s="147" t="s">
        <v>7</v>
      </c>
    </row>
    <row r="24" spans="1:6" x14ac:dyDescent="0.25">
      <c r="A24" s="71"/>
      <c r="B24" s="181">
        <v>111800</v>
      </c>
      <c r="C24" s="182">
        <v>115154</v>
      </c>
      <c r="D24" s="3" t="s">
        <v>86</v>
      </c>
      <c r="E24" s="54"/>
      <c r="F24" s="149"/>
    </row>
    <row r="25" spans="1:6" x14ac:dyDescent="0.25">
      <c r="A25" s="71"/>
      <c r="B25" s="183"/>
      <c r="C25" s="183"/>
      <c r="D25" s="2"/>
      <c r="E25" s="54"/>
    </row>
    <row r="26" spans="1:6" x14ac:dyDescent="0.25">
      <c r="A26" s="71"/>
      <c r="B26" s="183"/>
      <c r="C26" s="183"/>
      <c r="D26" s="2"/>
      <c r="E26" s="54"/>
    </row>
    <row r="27" spans="1:6" s="55" customFormat="1" ht="21" customHeight="1" x14ac:dyDescent="0.25">
      <c r="A27" s="112"/>
      <c r="B27" s="178" t="s">
        <v>10</v>
      </c>
      <c r="C27" s="178" t="s">
        <v>10</v>
      </c>
      <c r="D27" s="141"/>
      <c r="E27" s="142">
        <f>SUM(B30:B33)+SUM(C30:C33)</f>
        <v>0</v>
      </c>
    </row>
    <row r="28" spans="1:6" ht="8.25" customHeight="1" x14ac:dyDescent="0.25">
      <c r="A28" s="71"/>
      <c r="B28" s="184"/>
      <c r="C28" s="184"/>
      <c r="D28" s="155"/>
      <c r="E28" s="54"/>
    </row>
    <row r="29" spans="1:6" s="55" customFormat="1" ht="13.5" customHeight="1" x14ac:dyDescent="0.25">
      <c r="A29" s="112"/>
      <c r="B29" s="180" t="s">
        <v>33</v>
      </c>
      <c r="C29" s="180" t="s">
        <v>33</v>
      </c>
      <c r="D29" s="155"/>
      <c r="E29" s="54"/>
    </row>
    <row r="30" spans="1:6" x14ac:dyDescent="0.25">
      <c r="A30" s="71"/>
      <c r="B30" s="88"/>
      <c r="C30" s="185"/>
      <c r="D30" s="153"/>
      <c r="E30" s="54"/>
    </row>
    <row r="31" spans="1:6" x14ac:dyDescent="0.25">
      <c r="A31" s="71"/>
      <c r="B31" s="185"/>
      <c r="C31" s="185"/>
      <c r="D31" s="153"/>
      <c r="E31" s="54"/>
    </row>
    <row r="32" spans="1:6" x14ac:dyDescent="0.25">
      <c r="A32" s="71"/>
      <c r="B32" s="19"/>
      <c r="C32" s="19"/>
      <c r="D32" s="153"/>
      <c r="E32" s="54"/>
    </row>
    <row r="33" spans="1:6" x14ac:dyDescent="0.25">
      <c r="A33" s="71"/>
      <c r="B33" s="19"/>
      <c r="C33" s="19"/>
      <c r="D33" s="153"/>
      <c r="E33" s="54"/>
    </row>
    <row r="34" spans="1:6" x14ac:dyDescent="0.25">
      <c r="A34" s="71"/>
      <c r="B34" s="178" t="s">
        <v>11</v>
      </c>
      <c r="C34" s="178" t="s">
        <v>11</v>
      </c>
      <c r="D34" s="141"/>
      <c r="E34" s="142">
        <f>E21*0.63</f>
        <v>142981.01999999999</v>
      </c>
    </row>
    <row r="35" spans="1:6" ht="7.5" customHeight="1" x14ac:dyDescent="0.25">
      <c r="A35" s="71"/>
      <c r="B35" s="179"/>
      <c r="C35" s="179"/>
      <c r="D35" s="2"/>
      <c r="E35" s="70"/>
    </row>
    <row r="36" spans="1:6" x14ac:dyDescent="0.25">
      <c r="A36" s="71"/>
      <c r="B36" s="186" t="s">
        <v>38</v>
      </c>
      <c r="C36" s="186" t="s">
        <v>38</v>
      </c>
      <c r="D36" s="146" t="s">
        <v>7</v>
      </c>
      <c r="E36" s="54"/>
      <c r="F36" s="161"/>
    </row>
    <row r="37" spans="1:6" x14ac:dyDescent="0.25">
      <c r="A37" s="71"/>
      <c r="B37" s="19"/>
      <c r="C37" s="19"/>
      <c r="D37" s="153" t="s">
        <v>7</v>
      </c>
      <c r="E37" s="54"/>
    </row>
    <row r="38" spans="1:6" s="55" customFormat="1" x14ac:dyDescent="0.25">
      <c r="A38" s="112"/>
      <c r="B38" s="178" t="s">
        <v>39</v>
      </c>
      <c r="C38" s="178" t="s">
        <v>39</v>
      </c>
      <c r="D38" s="141"/>
      <c r="E38" s="142">
        <f>SUM(B40:B42)+SUM(C40:C42)</f>
        <v>0</v>
      </c>
    </row>
    <row r="39" spans="1:6" ht="7.5" customHeight="1" x14ac:dyDescent="0.25">
      <c r="A39" s="71"/>
      <c r="B39" s="184"/>
      <c r="C39" s="184"/>
      <c r="D39" s="155"/>
      <c r="E39" s="54"/>
    </row>
    <row r="40" spans="1:6" x14ac:dyDescent="0.25">
      <c r="A40" s="71"/>
      <c r="C40" s="185"/>
      <c r="D40" s="153"/>
      <c r="E40" s="54"/>
    </row>
    <row r="41" spans="1:6" ht="26.25" customHeight="1" x14ac:dyDescent="0.25">
      <c r="A41" s="71"/>
      <c r="B41" s="19"/>
      <c r="C41" s="19"/>
      <c r="D41" s="153"/>
      <c r="E41" s="54"/>
    </row>
    <row r="42" spans="1:6" ht="26.25" customHeight="1" x14ac:dyDescent="0.25">
      <c r="A42" s="71"/>
      <c r="B42" s="19"/>
      <c r="C42" s="19"/>
      <c r="D42" s="153"/>
      <c r="E42" s="54"/>
    </row>
    <row r="43" spans="1:6" x14ac:dyDescent="0.25">
      <c r="A43" s="71"/>
      <c r="B43" s="178" t="s">
        <v>12</v>
      </c>
      <c r="C43" s="178" t="s">
        <v>12</v>
      </c>
      <c r="D43" s="141"/>
      <c r="E43" s="142">
        <f>SUM(B45:B50)+SUM(C45:C50)</f>
        <v>0</v>
      </c>
    </row>
    <row r="44" spans="1:6" ht="6.75" customHeight="1" x14ac:dyDescent="0.25">
      <c r="A44" s="71"/>
      <c r="B44" s="187"/>
      <c r="C44" s="187"/>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x14ac:dyDescent="0.25">
      <c r="A48" s="71"/>
      <c r="B48" s="19"/>
      <c r="C48" s="19"/>
      <c r="D48" s="153"/>
      <c r="E48" s="54"/>
    </row>
    <row r="49" spans="1:5" ht="27.75" customHeight="1" x14ac:dyDescent="0.25">
      <c r="A49" s="71"/>
      <c r="B49" s="19"/>
      <c r="C49" s="19"/>
      <c r="D49" s="153"/>
      <c r="E49" s="54"/>
    </row>
    <row r="50" spans="1:5" ht="27.75" customHeight="1" x14ac:dyDescent="0.25">
      <c r="A50" s="71"/>
      <c r="B50" s="19"/>
      <c r="C50" s="19"/>
      <c r="D50" s="153"/>
      <c r="E50" s="54"/>
    </row>
    <row r="51" spans="1:5" x14ac:dyDescent="0.25">
      <c r="A51" s="71"/>
      <c r="B51" s="178" t="s">
        <v>40</v>
      </c>
      <c r="C51" s="178" t="s">
        <v>40</v>
      </c>
      <c r="D51" s="141"/>
      <c r="E51" s="142">
        <f>SUM(B53:B58)+SUM(C53:C58)</f>
        <v>0</v>
      </c>
    </row>
    <row r="52" spans="1:5" ht="6.75" customHeight="1" x14ac:dyDescent="0.25">
      <c r="A52" s="71"/>
      <c r="B52" s="184"/>
      <c r="C52" s="184"/>
      <c r="E52" s="75"/>
    </row>
    <row r="53" spans="1:5" x14ac:dyDescent="0.25">
      <c r="A53" s="71"/>
      <c r="B53" s="188"/>
      <c r="C53" s="188"/>
      <c r="E53" s="75"/>
    </row>
    <row r="54" spans="1:5" ht="12.75" customHeight="1" x14ac:dyDescent="0.25">
      <c r="A54" s="71"/>
      <c r="B54" s="188"/>
      <c r="C54" s="188"/>
      <c r="E54" s="75"/>
    </row>
    <row r="55" spans="1:5" x14ac:dyDescent="0.25">
      <c r="A55" s="71"/>
      <c r="B55" s="188"/>
      <c r="C55" s="188"/>
      <c r="E55" s="75"/>
    </row>
    <row r="56" spans="1:5" x14ac:dyDescent="0.25">
      <c r="A56" s="71"/>
      <c r="B56" s="188"/>
      <c r="C56" s="188"/>
      <c r="E56" s="75"/>
    </row>
    <row r="57" spans="1:5" x14ac:dyDescent="0.25">
      <c r="A57" s="71"/>
      <c r="E57" s="75"/>
    </row>
    <row r="58" spans="1:5" x14ac:dyDescent="0.25">
      <c r="A58" s="71"/>
      <c r="D58" s="2"/>
      <c r="E58" s="54"/>
    </row>
    <row r="59" spans="1:5" x14ac:dyDescent="0.25">
      <c r="A59" s="71"/>
      <c r="B59" s="178" t="s">
        <v>13</v>
      </c>
      <c r="C59" s="178" t="s">
        <v>13</v>
      </c>
      <c r="D59" s="141"/>
      <c r="E59" s="142">
        <f>SUM(B61:B66)+SUM(C61:C66)</f>
        <v>4350</v>
      </c>
    </row>
    <row r="60" spans="1:5" ht="6.75" customHeight="1" x14ac:dyDescent="0.25">
      <c r="A60" s="71"/>
      <c r="B60" s="179"/>
      <c r="C60" s="179"/>
      <c r="D60" s="2"/>
      <c r="E60" s="54"/>
    </row>
    <row r="61" spans="1:5" x14ac:dyDescent="0.25">
      <c r="A61" s="71"/>
      <c r="B61" s="86">
        <v>1150</v>
      </c>
      <c r="C61" s="86">
        <v>1150</v>
      </c>
      <c r="D61" s="164" t="s">
        <v>72</v>
      </c>
      <c r="E61" s="54"/>
    </row>
    <row r="62" spans="1:5" x14ac:dyDescent="0.25">
      <c r="A62" s="71"/>
      <c r="B62" s="86">
        <v>1025</v>
      </c>
      <c r="C62" s="86">
        <v>1025</v>
      </c>
      <c r="D62" s="164" t="s">
        <v>42</v>
      </c>
      <c r="E62" s="54"/>
    </row>
    <row r="63" spans="1:5" x14ac:dyDescent="0.25">
      <c r="A63" s="71"/>
      <c r="B63" s="86"/>
      <c r="C63" s="86"/>
      <c r="D63" s="164" t="s">
        <v>43</v>
      </c>
      <c r="E63" s="54"/>
    </row>
    <row r="64" spans="1:5" x14ac:dyDescent="0.25">
      <c r="A64" s="71"/>
      <c r="B64" s="86"/>
      <c r="C64" s="86"/>
      <c r="D64" s="164" t="s">
        <v>62</v>
      </c>
      <c r="E64" s="54"/>
    </row>
    <row r="65" spans="1:5" x14ac:dyDescent="0.25">
      <c r="A65" s="71"/>
      <c r="B65" s="189"/>
      <c r="C65" s="189"/>
      <c r="D65" s="164" t="s">
        <v>45</v>
      </c>
      <c r="E65" s="54"/>
    </row>
    <row r="66" spans="1:5" x14ac:dyDescent="0.25">
      <c r="A66" s="71"/>
      <c r="B66" s="189"/>
      <c r="C66" s="189"/>
      <c r="D66" s="164"/>
      <c r="E66" s="54"/>
    </row>
    <row r="67" spans="1:5" x14ac:dyDescent="0.25">
      <c r="A67" s="71"/>
      <c r="B67" s="178" t="s">
        <v>14</v>
      </c>
      <c r="C67" s="178" t="s">
        <v>14</v>
      </c>
      <c r="D67" s="141"/>
      <c r="E67" s="142">
        <f>SUM(B69:B74)+SUM(C69:C74)</f>
        <v>295800</v>
      </c>
    </row>
    <row r="68" spans="1:5" ht="6" customHeight="1" x14ac:dyDescent="0.25">
      <c r="A68" s="166"/>
      <c r="B68" s="179"/>
      <c r="C68" s="179"/>
      <c r="D68" s="2"/>
      <c r="E68" s="54"/>
    </row>
    <row r="69" spans="1:5" ht="26.4" x14ac:dyDescent="0.25">
      <c r="A69" s="71"/>
      <c r="B69" s="86">
        <v>239250</v>
      </c>
      <c r="C69" s="86">
        <v>56550</v>
      </c>
      <c r="D69" s="2" t="s">
        <v>87</v>
      </c>
      <c r="E69" s="54"/>
    </row>
    <row r="70" spans="1:5" x14ac:dyDescent="0.25">
      <c r="A70" s="71"/>
      <c r="B70" s="86"/>
      <c r="C70" s="86"/>
      <c r="D70" s="2"/>
      <c r="E70" s="54"/>
    </row>
    <row r="71" spans="1:5" x14ac:dyDescent="0.25">
      <c r="A71" s="71"/>
      <c r="B71" s="86"/>
      <c r="C71" s="86"/>
      <c r="D71" s="2"/>
      <c r="E71" s="54"/>
    </row>
    <row r="72" spans="1:5" x14ac:dyDescent="0.25">
      <c r="A72" s="71"/>
      <c r="B72" s="86"/>
      <c r="C72" s="86"/>
      <c r="D72" s="2"/>
      <c r="E72" s="54"/>
    </row>
    <row r="73" spans="1:5" x14ac:dyDescent="0.25">
      <c r="A73" s="71"/>
      <c r="B73" s="86"/>
      <c r="C73" s="86"/>
      <c r="D73" s="2"/>
      <c r="E73" s="54"/>
    </row>
    <row r="74" spans="1:5" x14ac:dyDescent="0.25">
      <c r="A74" s="71"/>
      <c r="B74" s="86" t="s">
        <v>7</v>
      </c>
      <c r="C74" s="86"/>
      <c r="D74" s="2"/>
      <c r="E74" s="54"/>
    </row>
    <row r="75" spans="1:5" x14ac:dyDescent="0.25">
      <c r="A75" s="71"/>
      <c r="B75" s="178" t="s">
        <v>15</v>
      </c>
      <c r="C75" s="178" t="s">
        <v>15</v>
      </c>
      <c r="D75" s="141"/>
      <c r="E75" s="142">
        <f>SUM(B77:B83)+SUM(C77:C83)</f>
        <v>0</v>
      </c>
    </row>
    <row r="76" spans="1:5" ht="6.75" customHeight="1" x14ac:dyDescent="0.25">
      <c r="A76" s="71"/>
      <c r="B76" s="184"/>
      <c r="C76" s="184"/>
      <c r="D76" s="2"/>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s="55" customFormat="1" ht="12.75" customHeight="1" x14ac:dyDescent="0.25">
      <c r="A81" s="112"/>
      <c r="B81" s="188"/>
      <c r="C81" s="188"/>
      <c r="D81" s="167"/>
      <c r="E81" s="54"/>
    </row>
    <row r="82" spans="1:5" x14ac:dyDescent="0.25">
      <c r="A82" s="71"/>
      <c r="D82" s="153"/>
      <c r="E82" s="54"/>
    </row>
    <row r="83" spans="1:5" x14ac:dyDescent="0.25">
      <c r="A83" s="71"/>
      <c r="D83" s="153"/>
      <c r="E83" s="54"/>
    </row>
    <row r="84" spans="1:5" x14ac:dyDescent="0.25">
      <c r="A84" s="71"/>
      <c r="B84" s="178" t="s">
        <v>16</v>
      </c>
      <c r="C84" s="178" t="s">
        <v>16</v>
      </c>
      <c r="D84" s="141"/>
      <c r="E84" s="142">
        <f>SUM(B86:B91)+SUM(C86:C91)</f>
        <v>0</v>
      </c>
    </row>
    <row r="85" spans="1:5" s="55" customFormat="1" ht="6.75" customHeight="1" x14ac:dyDescent="0.25">
      <c r="A85" s="112"/>
      <c r="B85" s="184"/>
      <c r="C85" s="184"/>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ht="12.75" customHeight="1" x14ac:dyDescent="0.25">
      <c r="A88" s="112"/>
      <c r="B88" s="188"/>
      <c r="C88" s="188"/>
      <c r="D88" s="167"/>
      <c r="E88" s="54"/>
    </row>
    <row r="89" spans="1:5" s="55" customFormat="1" x14ac:dyDescent="0.25">
      <c r="A89" s="112"/>
      <c r="B89" s="188"/>
      <c r="C89" s="188"/>
      <c r="D89" s="167"/>
      <c r="E89" s="54"/>
    </row>
    <row r="90" spans="1:5" s="55" customFormat="1" x14ac:dyDescent="0.25">
      <c r="A90" s="112"/>
      <c r="B90" s="188"/>
      <c r="C90" s="188"/>
      <c r="D90" s="167"/>
      <c r="E90" s="54"/>
    </row>
    <row r="91" spans="1:5" x14ac:dyDescent="0.25">
      <c r="A91" s="71"/>
      <c r="D91" s="2"/>
      <c r="E91" s="54"/>
    </row>
    <row r="92" spans="1:5" ht="26.4" x14ac:dyDescent="0.25">
      <c r="A92" s="71"/>
      <c r="B92" s="178" t="s">
        <v>17</v>
      </c>
      <c r="C92" s="178" t="s">
        <v>17</v>
      </c>
      <c r="D92" s="2"/>
      <c r="E92" s="54"/>
    </row>
    <row r="93" spans="1:5" s="55" customFormat="1" ht="6.75" customHeight="1" x14ac:dyDescent="0.25">
      <c r="A93" s="112"/>
      <c r="B93" s="184"/>
      <c r="C93" s="184"/>
      <c r="D93" s="167"/>
      <c r="E93" s="54"/>
    </row>
    <row r="94" spans="1:5" s="55" customFormat="1" x14ac:dyDescent="0.25">
      <c r="A94" s="112"/>
      <c r="B94" s="188"/>
      <c r="C94" s="188"/>
      <c r="D94" s="167"/>
      <c r="E94" s="84"/>
    </row>
    <row r="95" spans="1:5" x14ac:dyDescent="0.25">
      <c r="A95" s="71"/>
      <c r="B95" s="88" t="s">
        <v>55</v>
      </c>
      <c r="D95" s="2"/>
      <c r="E95" s="3"/>
    </row>
    <row r="96" spans="1:5" x14ac:dyDescent="0.25">
      <c r="A96" s="71"/>
      <c r="B96" s="88" t="s">
        <v>56</v>
      </c>
      <c r="D96" s="2"/>
      <c r="E96" s="3"/>
    </row>
    <row r="97" spans="1:5" x14ac:dyDescent="0.25">
      <c r="A97" s="71"/>
      <c r="B97" s="88" t="s">
        <v>57</v>
      </c>
      <c r="D97" s="2"/>
      <c r="E97"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17" right="0.7" top="0.41" bottom="0.4" header="0.3" footer="0.3"/>
  <pageSetup paperSize="17" scale="54" orientation="landscape"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4"/>
  <sheetViews>
    <sheetView workbookViewId="0">
      <pane xSplit="1" ySplit="1" topLeftCell="B2" activePane="bottomRight" state="frozen"/>
      <selection pane="topRight" activeCell="B1" sqref="B1"/>
      <selection pane="bottomLeft" activeCell="A2" sqref="A2"/>
      <selection pane="bottomRight" activeCell="C9" sqref="C9"/>
    </sheetView>
  </sheetViews>
  <sheetFormatPr defaultRowHeight="13.2" x14ac:dyDescent="0.25"/>
  <cols>
    <col min="1" max="1" width="16" customWidth="1"/>
    <col min="2" max="2" width="23.109375" customWidth="1"/>
    <col min="3" max="3" width="21" style="2" customWidth="1"/>
    <col min="4" max="4" width="21" style="3" customWidth="1"/>
    <col min="5" max="9" width="18.88671875" customWidth="1"/>
    <col min="10" max="10" width="17.5546875" customWidth="1"/>
    <col min="11" max="12" width="24.44140625" customWidth="1"/>
    <col min="13" max="13" width="19.44140625" customWidth="1"/>
    <col min="14" max="14" width="13.33203125" customWidth="1"/>
    <col min="15" max="15" width="17.109375" customWidth="1"/>
  </cols>
  <sheetData>
    <row r="1" spans="1:15" ht="40.5" customHeight="1" x14ac:dyDescent="0.25"/>
    <row r="2" spans="1:15" ht="18" thickBot="1" x14ac:dyDescent="0.35">
      <c r="B2" s="1" t="s">
        <v>104</v>
      </c>
      <c r="C2" s="170"/>
      <c r="D2" s="2"/>
      <c r="E2" s="3"/>
    </row>
    <row r="3" spans="1:15" ht="15.6" thickBot="1" x14ac:dyDescent="0.3">
      <c r="B3" s="5" t="s">
        <v>5</v>
      </c>
      <c r="C3" s="171"/>
      <c r="D3" s="6" t="s">
        <v>78</v>
      </c>
      <c r="E3" s="104">
        <v>18230437</v>
      </c>
    </row>
    <row r="5" spans="1:15" ht="13.8" thickBot="1" x14ac:dyDescent="0.3">
      <c r="A5" s="71"/>
      <c r="C5"/>
      <c r="D5" s="2"/>
      <c r="E5" s="107" t="s">
        <v>1286</v>
      </c>
    </row>
    <row r="6" spans="1:15" ht="39.6" x14ac:dyDescent="0.3">
      <c r="B6" s="3882"/>
      <c r="C6"/>
      <c r="D6"/>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869866</v>
      </c>
      <c r="O7" s="26" t="s">
        <v>21</v>
      </c>
    </row>
    <row r="8" spans="1:15" s="55" customFormat="1" x14ac:dyDescent="0.25">
      <c r="A8" s="112"/>
      <c r="D8" s="114" t="s">
        <v>22</v>
      </c>
      <c r="E8" s="28">
        <v>263200</v>
      </c>
      <c r="F8" s="28">
        <v>0</v>
      </c>
      <c r="G8" s="28">
        <v>165816</v>
      </c>
      <c r="H8" s="28">
        <v>0</v>
      </c>
      <c r="I8" s="28">
        <v>3200</v>
      </c>
      <c r="J8" s="28">
        <v>508000</v>
      </c>
      <c r="K8" s="28">
        <v>3200</v>
      </c>
      <c r="L8" s="28">
        <v>1600</v>
      </c>
      <c r="M8" s="28">
        <v>0</v>
      </c>
      <c r="N8" s="89">
        <v>945016</v>
      </c>
      <c r="O8" s="30">
        <f>(N8-N7)/N7</f>
        <v>8.6392616793851004E-2</v>
      </c>
    </row>
    <row r="9" spans="1:15" s="55" customFormat="1" x14ac:dyDescent="0.25">
      <c r="A9" s="112"/>
      <c r="D9" s="55">
        <v>2012</v>
      </c>
      <c r="E9" s="121">
        <f>SUM(B23:B25)</f>
        <v>142312</v>
      </c>
      <c r="F9" s="121">
        <f>SUM(B29:B31)</f>
        <v>0</v>
      </c>
      <c r="G9" s="121">
        <f>(SUM(B23:B25)+SUM(B29:B31))*0.63</f>
        <v>89656.56</v>
      </c>
      <c r="H9" s="121">
        <f>SUM(B44:B48)+SUM(B52:B57)</f>
        <v>0</v>
      </c>
      <c r="I9" s="122">
        <f>SUM(B60:B64)</f>
        <v>3045</v>
      </c>
      <c r="J9" s="121">
        <f>SUM(B68:B71)</f>
        <v>113100</v>
      </c>
      <c r="K9" s="121">
        <f>SUM(B74:B80)</f>
        <v>1305</v>
      </c>
      <c r="L9" s="121">
        <f>SUM(B83:B88)</f>
        <v>870</v>
      </c>
      <c r="M9" s="123"/>
      <c r="N9" s="124">
        <f>SUM(E9:M9)</f>
        <v>350288.56</v>
      </c>
      <c r="O9" s="30">
        <f>(N9-N8)/N8</f>
        <v>-0.62933055101712554</v>
      </c>
    </row>
    <row r="10" spans="1:15" s="55" customFormat="1" x14ac:dyDescent="0.25">
      <c r="A10" s="112"/>
      <c r="D10" s="55">
        <v>2013</v>
      </c>
      <c r="E10" s="121">
        <f>SUM(C23:C25)</f>
        <v>146581</v>
      </c>
      <c r="F10" s="121">
        <f>SUM(C29:C31)</f>
        <v>0</v>
      </c>
      <c r="G10" s="121">
        <f>(SUM(C23:C25)+SUM(C29:C31))*0.63</f>
        <v>92346.03</v>
      </c>
      <c r="H10" s="121">
        <f>SUM(C44:C48)+SUM(C52:C57)</f>
        <v>0</v>
      </c>
      <c r="I10" s="122">
        <f>SUM(C60:C64)</f>
        <v>3045</v>
      </c>
      <c r="J10" s="121">
        <f>SUM(C68:C71)</f>
        <v>0</v>
      </c>
      <c r="K10" s="121">
        <f>SUM(C74:C80)</f>
        <v>1305</v>
      </c>
      <c r="L10" s="121">
        <f>SUM(C83:C88)</f>
        <v>870</v>
      </c>
      <c r="M10" s="123"/>
      <c r="N10" s="124">
        <f>SUM(E10:M10)</f>
        <v>244147.03</v>
      </c>
      <c r="O10" s="30">
        <f>(N10-N9)/N9</f>
        <v>-0.30301169413011947</v>
      </c>
    </row>
    <row r="11" spans="1:15" s="19" customFormat="1" ht="13.8" thickBot="1" x14ac:dyDescent="0.3">
      <c r="A11" s="71"/>
      <c r="D11" s="126" t="s">
        <v>23</v>
      </c>
      <c r="E11" s="127">
        <f>SUM(E9:E10)</f>
        <v>288893</v>
      </c>
      <c r="F11" s="127">
        <f t="shared" ref="F11:M11" si="0">SUM(F9:F10)</f>
        <v>0</v>
      </c>
      <c r="G11" s="127">
        <f t="shared" si="0"/>
        <v>182002.59</v>
      </c>
      <c r="H11" s="127">
        <f t="shared" si="0"/>
        <v>0</v>
      </c>
      <c r="I11" s="127">
        <f t="shared" si="0"/>
        <v>6090</v>
      </c>
      <c r="J11" s="127">
        <f t="shared" si="0"/>
        <v>113100</v>
      </c>
      <c r="K11" s="127">
        <f t="shared" si="0"/>
        <v>2610</v>
      </c>
      <c r="L11" s="127">
        <f t="shared" si="0"/>
        <v>1740</v>
      </c>
      <c r="M11" s="128">
        <f t="shared" si="0"/>
        <v>0</v>
      </c>
      <c r="N11" s="129">
        <f>SUM(N9:N10)</f>
        <v>594435.59</v>
      </c>
    </row>
    <row r="12" spans="1:15" ht="18" customHeight="1" x14ac:dyDescent="0.25">
      <c r="A12" s="71"/>
      <c r="C12"/>
      <c r="D12" s="2"/>
      <c r="E12" s="3"/>
      <c r="M12" s="71" t="s">
        <v>24</v>
      </c>
    </row>
    <row r="13" spans="1:15" x14ac:dyDescent="0.25">
      <c r="A13" s="71"/>
      <c r="C13"/>
      <c r="D13" s="2"/>
      <c r="E13" s="3"/>
      <c r="M13" s="71" t="s">
        <v>25</v>
      </c>
    </row>
    <row r="14" spans="1:15" ht="15.6" x14ac:dyDescent="0.3">
      <c r="A14" s="71"/>
      <c r="B14" s="4781" t="s">
        <v>26</v>
      </c>
      <c r="C14" s="4783"/>
      <c r="D14" s="4783"/>
      <c r="E14" s="4782"/>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174" t="s">
        <v>27</v>
      </c>
      <c r="C17"/>
      <c r="D17" s="45" t="s">
        <v>28</v>
      </c>
      <c r="E17" s="46" t="s">
        <v>29</v>
      </c>
    </row>
    <row r="18" spans="1:6" ht="27" x14ac:dyDescent="0.3">
      <c r="A18" s="71"/>
      <c r="B18" s="133" t="s">
        <v>30</v>
      </c>
      <c r="C18"/>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288893</v>
      </c>
    </row>
    <row r="21" spans="1:6" x14ac:dyDescent="0.25">
      <c r="A21" s="71"/>
      <c r="B21" s="179"/>
      <c r="C21" s="179"/>
      <c r="D21" s="2"/>
      <c r="E21" s="54"/>
    </row>
    <row r="22" spans="1:6" x14ac:dyDescent="0.25">
      <c r="A22" s="71"/>
      <c r="B22" s="180" t="s">
        <v>33</v>
      </c>
      <c r="C22" s="180" t="s">
        <v>33</v>
      </c>
      <c r="D22" s="146" t="s">
        <v>7</v>
      </c>
      <c r="E22" s="54"/>
      <c r="F22" s="147" t="s">
        <v>7</v>
      </c>
    </row>
    <row r="23" spans="1:6" x14ac:dyDescent="0.25">
      <c r="A23" s="71"/>
      <c r="B23" s="181">
        <v>142312</v>
      </c>
      <c r="C23" s="182">
        <v>146581</v>
      </c>
      <c r="D23" s="3" t="s">
        <v>106</v>
      </c>
      <c r="E23" s="54"/>
      <c r="F23" s="149"/>
    </row>
    <row r="24" spans="1:6" x14ac:dyDescent="0.25">
      <c r="A24" s="71"/>
      <c r="B24" s="183"/>
      <c r="C24" s="183"/>
      <c r="D24" s="2"/>
      <c r="E24" s="54"/>
    </row>
    <row r="25" spans="1:6" x14ac:dyDescent="0.25">
      <c r="A25" s="71"/>
      <c r="B25" s="183"/>
      <c r="C25" s="183"/>
      <c r="D25" s="2"/>
      <c r="E25" s="54"/>
    </row>
    <row r="26" spans="1:6" s="55" customFormat="1" x14ac:dyDescent="0.25">
      <c r="A26" s="112"/>
      <c r="B26" s="178" t="s">
        <v>10</v>
      </c>
      <c r="C26" s="178" t="s">
        <v>10</v>
      </c>
      <c r="D26" s="141"/>
      <c r="E26" s="142">
        <f>SUM(B29:B32)+SUM(C29:C32)</f>
        <v>0</v>
      </c>
    </row>
    <row r="27" spans="1:6" x14ac:dyDescent="0.25">
      <c r="A27" s="71"/>
      <c r="B27" s="184"/>
      <c r="C27" s="184"/>
      <c r="D27" s="155"/>
      <c r="E27" s="54"/>
    </row>
    <row r="28" spans="1:6" s="55" customForma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182002.59</v>
      </c>
    </row>
    <row r="34" spans="1:6"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x14ac:dyDescent="0.25">
      <c r="A38" s="71"/>
      <c r="B38" s="184"/>
      <c r="C38" s="184"/>
      <c r="D38" s="155"/>
      <c r="E38" s="54"/>
    </row>
    <row r="39" spans="1:6" x14ac:dyDescent="0.25">
      <c r="A39" s="71"/>
      <c r="C39" s="185"/>
      <c r="D39" s="153"/>
      <c r="E39" s="54"/>
    </row>
    <row r="40" spans="1:6" x14ac:dyDescent="0.25">
      <c r="A40" s="71"/>
      <c r="B40" s="19"/>
      <c r="C40" s="19"/>
      <c r="D40" s="153"/>
      <c r="E40" s="54"/>
    </row>
    <row r="41" spans="1:6" x14ac:dyDescent="0.25">
      <c r="A41" s="71"/>
      <c r="B41" s="19"/>
      <c r="C41" s="19"/>
      <c r="D41" s="153"/>
      <c r="E41" s="54"/>
    </row>
    <row r="42" spans="1:6" x14ac:dyDescent="0.25">
      <c r="A42" s="71"/>
      <c r="B42" s="178" t="s">
        <v>12</v>
      </c>
      <c r="C42" s="178" t="s">
        <v>12</v>
      </c>
      <c r="D42" s="141"/>
      <c r="E42" s="142">
        <f>SUM(B44:B49)+SUM(C44:C49)</f>
        <v>0</v>
      </c>
    </row>
    <row r="43" spans="1:6"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x14ac:dyDescent="0.25">
      <c r="A48" s="71"/>
      <c r="B48" s="19"/>
      <c r="C48" s="19"/>
      <c r="D48" s="153"/>
      <c r="E48" s="54"/>
    </row>
    <row r="49" spans="1:5" x14ac:dyDescent="0.25">
      <c r="A49" s="71"/>
      <c r="B49" s="19"/>
      <c r="C49" s="19"/>
      <c r="D49" s="153"/>
      <c r="E49" s="54"/>
    </row>
    <row r="50" spans="1:5" x14ac:dyDescent="0.25">
      <c r="A50" s="71"/>
      <c r="B50" s="178" t="s">
        <v>40</v>
      </c>
      <c r="C50" s="178" t="s">
        <v>40</v>
      </c>
      <c r="D50" s="141"/>
      <c r="E50" s="142">
        <f>SUM(B52:B57)+SUM(C52:C57)</f>
        <v>0</v>
      </c>
    </row>
    <row r="51" spans="1:5" x14ac:dyDescent="0.25">
      <c r="A51" s="71"/>
      <c r="B51" s="184"/>
      <c r="C51" s="184"/>
      <c r="D51"/>
      <c r="E51" s="75"/>
    </row>
    <row r="52" spans="1:5" x14ac:dyDescent="0.25">
      <c r="A52" s="71"/>
      <c r="B52" s="188"/>
      <c r="C52" s="188"/>
      <c r="D52"/>
      <c r="E52" s="75"/>
    </row>
    <row r="53" spans="1:5" x14ac:dyDescent="0.25">
      <c r="A53" s="71"/>
      <c r="B53" s="188"/>
      <c r="C53" s="188"/>
      <c r="D53"/>
      <c r="E53" s="75"/>
    </row>
    <row r="54" spans="1:5" x14ac:dyDescent="0.25">
      <c r="A54" s="71"/>
      <c r="B54" s="188"/>
      <c r="C54" s="188"/>
      <c r="D54"/>
      <c r="E54" s="75"/>
    </row>
    <row r="55" spans="1:5" x14ac:dyDescent="0.25">
      <c r="A55" s="71"/>
      <c r="B55" s="188"/>
      <c r="C55" s="188"/>
      <c r="D55"/>
      <c r="E55" s="75"/>
    </row>
    <row r="56" spans="1:5" x14ac:dyDescent="0.25">
      <c r="A56" s="71"/>
      <c r="C56"/>
      <c r="D56"/>
      <c r="E56" s="75"/>
    </row>
    <row r="57" spans="1:5" x14ac:dyDescent="0.25">
      <c r="A57" s="71"/>
      <c r="C57"/>
      <c r="D57" s="2"/>
      <c r="E57" s="54"/>
    </row>
    <row r="58" spans="1:5" x14ac:dyDescent="0.25">
      <c r="A58" s="71"/>
      <c r="B58" s="178" t="s">
        <v>13</v>
      </c>
      <c r="C58" s="178" t="s">
        <v>13</v>
      </c>
      <c r="D58" s="141"/>
      <c r="E58" s="142">
        <f>SUM(B60:B65)+SUM(C60:C65)</f>
        <v>6090</v>
      </c>
    </row>
    <row r="59" spans="1:5" x14ac:dyDescent="0.25">
      <c r="A59" s="71"/>
      <c r="B59" s="179"/>
      <c r="C59" s="179"/>
      <c r="D59" s="2"/>
      <c r="E59" s="54"/>
    </row>
    <row r="60" spans="1:5" x14ac:dyDescent="0.25">
      <c r="A60" s="71"/>
      <c r="B60" s="3915">
        <v>1100</v>
      </c>
      <c r="C60" s="3915">
        <v>1100</v>
      </c>
      <c r="D60" s="164" t="s">
        <v>72</v>
      </c>
      <c r="E60" s="54"/>
    </row>
    <row r="61" spans="1:5" x14ac:dyDescent="0.25">
      <c r="A61" s="71"/>
      <c r="B61" s="3915">
        <v>1100</v>
      </c>
      <c r="C61" s="3915">
        <v>1100</v>
      </c>
      <c r="D61" s="164" t="s">
        <v>42</v>
      </c>
      <c r="E61" s="54"/>
    </row>
    <row r="62" spans="1:5" x14ac:dyDescent="0.25">
      <c r="A62" s="71"/>
      <c r="B62" s="3915">
        <v>295</v>
      </c>
      <c r="C62" s="3915">
        <v>295</v>
      </c>
      <c r="D62" s="164" t="s">
        <v>43</v>
      </c>
      <c r="E62" s="54"/>
    </row>
    <row r="63" spans="1:5" x14ac:dyDescent="0.25">
      <c r="A63" s="71"/>
      <c r="B63" s="3915">
        <v>550</v>
      </c>
      <c r="C63" s="3915">
        <v>550</v>
      </c>
      <c r="D63" s="164" t="s">
        <v>62</v>
      </c>
      <c r="E63" s="54"/>
    </row>
    <row r="64" spans="1:5" x14ac:dyDescent="0.25">
      <c r="A64" s="71"/>
      <c r="B64" s="189"/>
      <c r="C64" s="189"/>
      <c r="D64" s="164" t="s">
        <v>45</v>
      </c>
      <c r="E64" s="54"/>
    </row>
    <row r="65" spans="1:5" x14ac:dyDescent="0.25">
      <c r="A65" s="71"/>
      <c r="B65" s="189"/>
      <c r="C65" s="189"/>
      <c r="D65" s="164"/>
      <c r="E65" s="54"/>
    </row>
    <row r="66" spans="1:5" x14ac:dyDescent="0.25">
      <c r="A66" s="71"/>
      <c r="B66" s="178" t="s">
        <v>14</v>
      </c>
      <c r="C66" s="178" t="s">
        <v>14</v>
      </c>
      <c r="D66" s="141"/>
      <c r="E66" s="142">
        <f>SUM(B68:B71)+SUM(C68:C71)</f>
        <v>113100</v>
      </c>
    </row>
    <row r="67" spans="1:5" x14ac:dyDescent="0.25">
      <c r="A67" s="166"/>
      <c r="B67" s="179"/>
      <c r="C67" s="179"/>
      <c r="D67" s="2"/>
      <c r="E67" s="54"/>
    </row>
    <row r="68" spans="1:5" x14ac:dyDescent="0.25">
      <c r="A68" s="71"/>
      <c r="B68" s="86">
        <v>87000</v>
      </c>
      <c r="C68" s="86">
        <v>0</v>
      </c>
      <c r="D68" s="2" t="s">
        <v>107</v>
      </c>
      <c r="E68" s="54"/>
    </row>
    <row r="69" spans="1:5" x14ac:dyDescent="0.25">
      <c r="A69" s="71"/>
      <c r="B69" s="86">
        <v>26100</v>
      </c>
      <c r="C69" s="86">
        <v>0</v>
      </c>
      <c r="D69" s="2" t="s">
        <v>108</v>
      </c>
      <c r="E69" s="54"/>
    </row>
    <row r="70" spans="1:5" x14ac:dyDescent="0.25">
      <c r="A70" s="71"/>
      <c r="E70" s="54"/>
    </row>
    <row r="71" spans="1:5" x14ac:dyDescent="0.25">
      <c r="A71" s="71"/>
      <c r="B71" s="86"/>
      <c r="C71" s="86"/>
      <c r="D71" s="2"/>
      <c r="E71" s="54"/>
    </row>
    <row r="72" spans="1:5" x14ac:dyDescent="0.25">
      <c r="A72" s="71"/>
      <c r="B72" s="178" t="s">
        <v>15</v>
      </c>
      <c r="C72" s="178" t="s">
        <v>15</v>
      </c>
      <c r="D72" s="141"/>
      <c r="E72" s="142">
        <f>SUM(B74:B80)+SUM(C74:C80)</f>
        <v>2610</v>
      </c>
    </row>
    <row r="73" spans="1:5" x14ac:dyDescent="0.25">
      <c r="A73" s="71"/>
      <c r="B73" s="184"/>
      <c r="C73" s="184"/>
      <c r="D73" s="2"/>
      <c r="E73" s="54"/>
    </row>
    <row r="74" spans="1:5" s="55" customFormat="1" ht="26.4" x14ac:dyDescent="0.25">
      <c r="A74" s="112"/>
      <c r="B74" s="193">
        <v>1305</v>
      </c>
      <c r="C74" s="193">
        <v>1305</v>
      </c>
      <c r="D74" s="169" t="s">
        <v>102</v>
      </c>
      <c r="E74" s="54"/>
    </row>
    <row r="75" spans="1:5" s="55" customFormat="1" x14ac:dyDescent="0.25">
      <c r="A75" s="112"/>
      <c r="B75" s="194"/>
      <c r="C75" s="194"/>
      <c r="D75" s="167"/>
      <c r="E75" s="54"/>
    </row>
    <row r="76" spans="1:5" s="55" customFormat="1" x14ac:dyDescent="0.25">
      <c r="A76" s="112"/>
      <c r="B76" s="194"/>
      <c r="C76" s="194"/>
      <c r="D76" s="167"/>
      <c r="E76" s="54"/>
    </row>
    <row r="77" spans="1:5" s="55" customFormat="1" x14ac:dyDescent="0.25">
      <c r="A77" s="112"/>
      <c r="B77" s="194"/>
      <c r="C77" s="194"/>
      <c r="D77" s="167"/>
      <c r="E77" s="54"/>
    </row>
    <row r="78" spans="1:5" s="55" customFormat="1" x14ac:dyDescent="0.25">
      <c r="A78" s="112"/>
      <c r="B78" s="194"/>
      <c r="C78" s="194"/>
      <c r="D78" s="167"/>
      <c r="E78" s="54"/>
    </row>
    <row r="79" spans="1:5" x14ac:dyDescent="0.25">
      <c r="A79" s="71"/>
      <c r="B79" s="86"/>
      <c r="C79" s="86"/>
      <c r="D79" s="153"/>
      <c r="E79" s="54"/>
    </row>
    <row r="80" spans="1:5" x14ac:dyDescent="0.25">
      <c r="A80" s="71"/>
      <c r="B80" s="86"/>
      <c r="C80" s="86"/>
      <c r="D80" s="153"/>
      <c r="E80" s="54"/>
    </row>
    <row r="81" spans="1:5" x14ac:dyDescent="0.25">
      <c r="A81" s="71"/>
      <c r="B81" s="178" t="s">
        <v>16</v>
      </c>
      <c r="C81" s="178" t="s">
        <v>16</v>
      </c>
      <c r="D81" s="141"/>
      <c r="E81" s="142">
        <f>SUM(B83:B88)+SUM(C83:C88)</f>
        <v>1740</v>
      </c>
    </row>
    <row r="82" spans="1:5" s="55" customFormat="1" x14ac:dyDescent="0.25">
      <c r="A82" s="112"/>
      <c r="B82" s="184"/>
      <c r="C82" s="184"/>
      <c r="D82" s="167"/>
      <c r="E82" s="54"/>
    </row>
    <row r="83" spans="1:5" s="55" customFormat="1" ht="26.4" x14ac:dyDescent="0.25">
      <c r="A83" s="112"/>
      <c r="B83" s="193">
        <v>870</v>
      </c>
      <c r="C83" s="193">
        <v>870</v>
      </c>
      <c r="D83" s="169" t="s">
        <v>103</v>
      </c>
      <c r="E83" s="54"/>
    </row>
    <row r="84" spans="1:5" s="55" customFormat="1" x14ac:dyDescent="0.25">
      <c r="A84" s="112"/>
      <c r="B84" s="194"/>
      <c r="C84" s="194"/>
      <c r="D84" s="167"/>
      <c r="E84" s="54"/>
    </row>
    <row r="85" spans="1:5" s="55" customFormat="1" x14ac:dyDescent="0.25">
      <c r="A85" s="112"/>
      <c r="B85" s="194"/>
      <c r="C85" s="194"/>
      <c r="D85" s="167"/>
      <c r="E85" s="54"/>
    </row>
    <row r="86" spans="1:5" s="55" customFormat="1" x14ac:dyDescent="0.25">
      <c r="A86" s="112"/>
      <c r="B86" s="194"/>
      <c r="C86" s="194"/>
      <c r="D86" s="167"/>
      <c r="E86" s="54"/>
    </row>
    <row r="87" spans="1:5" s="55" customFormat="1" x14ac:dyDescent="0.25">
      <c r="A87" s="112"/>
      <c r="B87" s="194"/>
      <c r="C87" s="194"/>
      <c r="D87" s="167"/>
      <c r="E87" s="54"/>
    </row>
    <row r="88" spans="1:5" x14ac:dyDescent="0.25">
      <c r="A88" s="71"/>
      <c r="B88" s="86"/>
      <c r="C88" s="86"/>
      <c r="D88" s="2"/>
      <c r="E88" s="54"/>
    </row>
    <row r="89" spans="1:5" ht="26.4" x14ac:dyDescent="0.25">
      <c r="A89" s="71"/>
      <c r="B89" s="178" t="s">
        <v>17</v>
      </c>
      <c r="C89" s="178" t="s">
        <v>17</v>
      </c>
      <c r="D89" s="2"/>
      <c r="E89" s="54"/>
    </row>
    <row r="90" spans="1:5" s="55" customFormat="1" x14ac:dyDescent="0.25">
      <c r="A90" s="112"/>
      <c r="B90" s="184"/>
      <c r="C90" s="184"/>
      <c r="D90" s="167"/>
      <c r="E90" s="54"/>
    </row>
    <row r="91" spans="1:5" s="55" customFormat="1" x14ac:dyDescent="0.25">
      <c r="A91" s="112"/>
      <c r="B91" s="188"/>
      <c r="C91" s="188"/>
      <c r="D91" s="167"/>
      <c r="E91" s="84"/>
    </row>
    <row r="92" spans="1:5" x14ac:dyDescent="0.25">
      <c r="A92" s="71"/>
      <c r="B92" s="88" t="s">
        <v>55</v>
      </c>
      <c r="C92"/>
      <c r="D92" s="2"/>
      <c r="E92" s="3"/>
    </row>
    <row r="93" spans="1:5" x14ac:dyDescent="0.25">
      <c r="A93" s="71"/>
      <c r="B93" s="88" t="s">
        <v>56</v>
      </c>
      <c r="C93"/>
      <c r="D93" s="2"/>
      <c r="E93" s="3"/>
    </row>
    <row r="94" spans="1:5" x14ac:dyDescent="0.25">
      <c r="A94" s="71"/>
      <c r="B94" s="88" t="s">
        <v>57</v>
      </c>
      <c r="C94"/>
      <c r="D94" s="2"/>
      <c r="E94"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1">
    <mergeCell ref="B14:E14"/>
  </mergeCells>
  <pageMargins left="0.17" right="0.37" top="0.38" bottom="0.37" header="0.3" footer="0.3"/>
  <pageSetup paperSize="17" scale="54" orientation="landscape"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sheetView>
  </sheetViews>
  <sheetFormatPr defaultRowHeight="13.2" x14ac:dyDescent="0.25"/>
  <cols>
    <col min="1" max="1" width="16.109375" customWidth="1"/>
    <col min="2" max="3" width="23.6640625" customWidth="1"/>
    <col min="4" max="4" width="28.33203125" customWidth="1"/>
    <col min="5" max="5" width="20.33203125" customWidth="1"/>
    <col min="6" max="6" width="18.5546875" customWidth="1"/>
    <col min="7" max="8" width="23.6640625" customWidth="1"/>
    <col min="9" max="9" width="18.109375" customWidth="1"/>
    <col min="10" max="11" width="23.6640625" customWidth="1"/>
    <col min="12" max="12" width="18" customWidth="1"/>
    <col min="13" max="13" width="23.6640625" customWidth="1"/>
    <col min="14" max="14" width="15" customWidth="1"/>
    <col min="15" max="15" width="17.88671875" customWidth="1"/>
  </cols>
  <sheetData>
    <row r="1" spans="1:15" ht="44.25" customHeight="1" x14ac:dyDescent="0.25"/>
    <row r="2" spans="1:15" ht="18" thickBot="1" x14ac:dyDescent="0.35">
      <c r="B2" s="1" t="s">
        <v>88</v>
      </c>
      <c r="C2" s="170"/>
      <c r="D2" s="2"/>
      <c r="E2" s="3"/>
    </row>
    <row r="3" spans="1:15" ht="15.6" thickBot="1" x14ac:dyDescent="0.3">
      <c r="B3" s="5" t="s">
        <v>5</v>
      </c>
      <c r="C3" s="171"/>
      <c r="D3" s="6" t="s">
        <v>78</v>
      </c>
      <c r="E3" s="104">
        <v>18230802</v>
      </c>
    </row>
    <row r="5" spans="1:15" ht="13.8" thickBot="1" x14ac:dyDescent="0.3">
      <c r="A5" s="71"/>
      <c r="D5" s="2"/>
      <c r="E5" s="107" t="s">
        <v>1286</v>
      </c>
    </row>
    <row r="6" spans="1:15" ht="39.6" x14ac:dyDescent="0.3">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729403</v>
      </c>
      <c r="O7" s="26" t="s">
        <v>21</v>
      </c>
    </row>
    <row r="8" spans="1:15" s="55" customFormat="1" x14ac:dyDescent="0.25">
      <c r="A8" s="112"/>
      <c r="D8" s="114" t="s">
        <v>22</v>
      </c>
      <c r="E8" s="28">
        <v>166750</v>
      </c>
      <c r="F8" s="28">
        <v>0</v>
      </c>
      <c r="G8" s="28">
        <v>105052.5</v>
      </c>
      <c r="H8" s="28">
        <v>0</v>
      </c>
      <c r="I8" s="28">
        <v>14000</v>
      </c>
      <c r="J8" s="28">
        <v>1282000</v>
      </c>
      <c r="K8" s="28">
        <v>3500</v>
      </c>
      <c r="L8" s="28">
        <v>260000</v>
      </c>
      <c r="M8" s="172">
        <v>0</v>
      </c>
      <c r="N8" s="29">
        <v>1831302.5</v>
      </c>
      <c r="O8" s="30">
        <f>(N8-N7)/N7</f>
        <v>1.5106868219626188</v>
      </c>
    </row>
    <row r="9" spans="1:15" s="55" customFormat="1" x14ac:dyDescent="0.25">
      <c r="A9" s="112"/>
      <c r="D9" s="55">
        <v>2012</v>
      </c>
      <c r="E9" s="121">
        <f>SUM(B23:B25)</f>
        <v>224250</v>
      </c>
      <c r="F9" s="121">
        <f>SUM(B29:B31)</f>
        <v>0</v>
      </c>
      <c r="G9" s="121">
        <f>(SUM(B23:B25)+SUM(B29:B31))*0.63</f>
        <v>141277.5</v>
      </c>
      <c r="H9" s="121">
        <f>SUM(B44:B48)+SUM(B52:B57)</f>
        <v>0</v>
      </c>
      <c r="I9" s="122">
        <f>SUM(B60:B64)</f>
        <v>15500</v>
      </c>
      <c r="J9" s="121">
        <f>SUM(B68:B73)</f>
        <v>1380000</v>
      </c>
      <c r="K9" s="121">
        <f>SUM(B76:B82)</f>
        <v>0</v>
      </c>
      <c r="L9" s="121">
        <f>SUM(B85:B90)</f>
        <v>260000</v>
      </c>
      <c r="M9" s="123"/>
      <c r="N9" s="190">
        <f>SUM(E9:M9)</f>
        <v>2021027.5</v>
      </c>
      <c r="O9" s="30">
        <f>(N9-N8)/N8</f>
        <v>0.10360112542848601</v>
      </c>
    </row>
    <row r="10" spans="1:15" s="55" customFormat="1" x14ac:dyDescent="0.25">
      <c r="A10" s="112"/>
      <c r="D10" s="55">
        <v>2013</v>
      </c>
      <c r="E10" s="121">
        <f>SUM(C23:C25)</f>
        <v>231000</v>
      </c>
      <c r="F10" s="121">
        <f>SUM(C29:C31)</f>
        <v>0</v>
      </c>
      <c r="G10" s="121">
        <f>(SUM(C23:C25)+SUM(C29:C31))*0.63</f>
        <v>145530</v>
      </c>
      <c r="H10" s="121">
        <f>SUM(C44:C48)+SUM(C52:C57)</f>
        <v>0</v>
      </c>
      <c r="I10" s="122">
        <f>SUM(C60:C64)</f>
        <v>18200</v>
      </c>
      <c r="J10" s="121">
        <f>SUM(C68:C73)</f>
        <v>1100000</v>
      </c>
      <c r="K10" s="121">
        <f>SUM(C76:C82)</f>
        <v>0</v>
      </c>
      <c r="L10" s="121">
        <f>SUM(C85:C90)</f>
        <v>260000</v>
      </c>
      <c r="M10" s="123"/>
      <c r="N10" s="124">
        <f>SUM(E10:M10)</f>
        <v>1754730</v>
      </c>
      <c r="O10" s="30">
        <f>(N10-N9)/N9</f>
        <v>-0.13176342231859783</v>
      </c>
    </row>
    <row r="11" spans="1:15" s="19" customFormat="1" ht="13.8" thickBot="1" x14ac:dyDescent="0.3">
      <c r="A11" s="71"/>
      <c r="D11" s="126" t="s">
        <v>23</v>
      </c>
      <c r="E11" s="127">
        <f>SUM(E9:E10)</f>
        <v>455250</v>
      </c>
      <c r="F11" s="127">
        <f t="shared" ref="F11:M11" si="0">SUM(F9:F10)</f>
        <v>0</v>
      </c>
      <c r="G11" s="127">
        <f t="shared" si="0"/>
        <v>286807.5</v>
      </c>
      <c r="H11" s="127">
        <f t="shared" si="0"/>
        <v>0</v>
      </c>
      <c r="I11" s="127">
        <f t="shared" si="0"/>
        <v>33700</v>
      </c>
      <c r="J11" s="127">
        <f t="shared" si="0"/>
        <v>2480000</v>
      </c>
      <c r="K11" s="127">
        <f t="shared" si="0"/>
        <v>0</v>
      </c>
      <c r="L11" s="127">
        <f t="shared" si="0"/>
        <v>520000</v>
      </c>
      <c r="M11" s="128">
        <f t="shared" si="0"/>
        <v>0</v>
      </c>
      <c r="N11" s="129">
        <f>SUM(N9:N10)</f>
        <v>3775757.5</v>
      </c>
    </row>
    <row r="12" spans="1:15" ht="18" customHeight="1" x14ac:dyDescent="0.25">
      <c r="A12" s="71"/>
      <c r="D12" s="2"/>
      <c r="E12" s="3"/>
      <c r="M12" s="71" t="s">
        <v>24</v>
      </c>
    </row>
    <row r="13" spans="1:15" x14ac:dyDescent="0.25">
      <c r="A13" s="71"/>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455250</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3918"/>
      <c r="C23" s="3932"/>
      <c r="D23" s="3"/>
      <c r="E23" s="54"/>
      <c r="F23" s="149"/>
    </row>
    <row r="24" spans="1:6" x14ac:dyDescent="0.25">
      <c r="A24" s="71"/>
      <c r="B24" s="3919">
        <v>224250</v>
      </c>
      <c r="C24" s="3919">
        <v>231000</v>
      </c>
      <c r="D24" s="2"/>
      <c r="E24" s="54"/>
    </row>
    <row r="25" spans="1:6" x14ac:dyDescent="0.25">
      <c r="A25" s="71"/>
      <c r="B25" s="3919"/>
      <c r="C25" s="3919"/>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286807.5</v>
      </c>
    </row>
    <row r="34" spans="1:6" ht="7.5" customHeight="1" x14ac:dyDescent="0.25">
      <c r="A34" s="71"/>
      <c r="B34" s="179"/>
      <c r="C34" s="179"/>
      <c r="D34" s="2"/>
      <c r="E34" s="70"/>
    </row>
    <row r="35" spans="1:6" x14ac:dyDescent="0.25">
      <c r="A35" s="191"/>
      <c r="B35" s="186" t="s">
        <v>38</v>
      </c>
      <c r="C35" s="186" t="s">
        <v>38</v>
      </c>
      <c r="D35" s="146" t="s">
        <v>7</v>
      </c>
      <c r="E35" s="54"/>
      <c r="F35" s="161"/>
    </row>
    <row r="36" spans="1:6" ht="9.75" customHeight="1"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15.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E51" s="75"/>
    </row>
    <row r="52" spans="1:5" x14ac:dyDescent="0.25">
      <c r="A52" s="71"/>
      <c r="B52" s="188"/>
      <c r="C52" s="188"/>
      <c r="E52" s="75"/>
    </row>
    <row r="53" spans="1:5" ht="12.75" customHeight="1"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E56" s="75"/>
    </row>
    <row r="57" spans="1:5" x14ac:dyDescent="0.25">
      <c r="A57" s="71"/>
      <c r="D57" s="2"/>
      <c r="E57" s="54"/>
    </row>
    <row r="58" spans="1:5" x14ac:dyDescent="0.25">
      <c r="A58" s="71"/>
      <c r="B58" s="178" t="s">
        <v>13</v>
      </c>
      <c r="C58" s="178" t="s">
        <v>13</v>
      </c>
      <c r="D58" s="141"/>
      <c r="E58" s="142">
        <f>SUM(B60:B65)+SUM(C60:C65)</f>
        <v>33700</v>
      </c>
    </row>
    <row r="59" spans="1:5" ht="6.75" customHeight="1" x14ac:dyDescent="0.25">
      <c r="A59" s="71"/>
      <c r="B59" s="179"/>
      <c r="C59" s="179"/>
      <c r="D59" s="2"/>
      <c r="E59" s="54"/>
    </row>
    <row r="60" spans="1:5" x14ac:dyDescent="0.25">
      <c r="A60" s="71"/>
      <c r="B60" s="3919">
        <v>10000</v>
      </c>
      <c r="C60" s="3919">
        <v>11000</v>
      </c>
      <c r="D60" s="164" t="s">
        <v>72</v>
      </c>
      <c r="E60" s="54"/>
    </row>
    <row r="61" spans="1:5" x14ac:dyDescent="0.25">
      <c r="A61" s="71"/>
      <c r="B61" s="3919">
        <v>1000</v>
      </c>
      <c r="C61" s="3919">
        <v>1200</v>
      </c>
      <c r="D61" s="164" t="s">
        <v>42</v>
      </c>
      <c r="E61" s="54"/>
    </row>
    <row r="62" spans="1:5" x14ac:dyDescent="0.25">
      <c r="A62" s="71"/>
      <c r="B62" s="3919">
        <v>1500</v>
      </c>
      <c r="C62" s="3919">
        <v>2000</v>
      </c>
      <c r="D62" s="164" t="s">
        <v>43</v>
      </c>
      <c r="E62" s="54"/>
    </row>
    <row r="63" spans="1:5" x14ac:dyDescent="0.25">
      <c r="A63" s="71"/>
      <c r="B63" s="3919">
        <v>3000</v>
      </c>
      <c r="C63" s="3919">
        <v>4000</v>
      </c>
      <c r="D63" s="164" t="s">
        <v>62</v>
      </c>
      <c r="E63" s="54"/>
    </row>
    <row r="64" spans="1:5" x14ac:dyDescent="0.25">
      <c r="A64" s="71"/>
      <c r="B64" s="3929"/>
      <c r="C64" s="3929"/>
      <c r="D64" s="164" t="s">
        <v>45</v>
      </c>
      <c r="E64" s="54"/>
    </row>
    <row r="65" spans="1:5" x14ac:dyDescent="0.25">
      <c r="A65" s="71"/>
      <c r="B65" s="3929"/>
      <c r="C65" s="3929"/>
      <c r="D65" s="164"/>
      <c r="E65" s="54"/>
    </row>
    <row r="66" spans="1:5" x14ac:dyDescent="0.25">
      <c r="A66" s="71"/>
      <c r="B66" s="178" t="s">
        <v>14</v>
      </c>
      <c r="C66" s="178" t="s">
        <v>14</v>
      </c>
      <c r="D66" s="141"/>
      <c r="E66" s="142">
        <f>SUM(B68:B73)+SUM(C68:C73)</f>
        <v>2480000</v>
      </c>
    </row>
    <row r="67" spans="1:5" ht="6" customHeight="1" x14ac:dyDescent="0.25">
      <c r="A67" s="166"/>
      <c r="B67" s="179"/>
      <c r="C67" s="179"/>
      <c r="D67" s="2"/>
      <c r="E67" s="54"/>
    </row>
    <row r="68" spans="1:5" x14ac:dyDescent="0.25">
      <c r="A68" s="71"/>
      <c r="B68" s="3919" t="s">
        <v>7</v>
      </c>
      <c r="C68" s="3919"/>
      <c r="D68" s="2"/>
      <c r="E68" s="54"/>
    </row>
    <row r="69" spans="1:5" x14ac:dyDescent="0.25">
      <c r="A69" s="71"/>
      <c r="B69" s="3919">
        <v>1380000</v>
      </c>
      <c r="C69" s="3919">
        <v>1100000</v>
      </c>
      <c r="D69" s="4513" t="s">
        <v>1292</v>
      </c>
      <c r="E69" s="54"/>
    </row>
    <row r="70" spans="1:5" x14ac:dyDescent="0.25">
      <c r="A70" s="71"/>
      <c r="B70" s="3919"/>
      <c r="C70" s="3919"/>
      <c r="D70" s="2"/>
      <c r="E70" s="54"/>
    </row>
    <row r="71" spans="1:5" x14ac:dyDescent="0.25">
      <c r="A71" s="71"/>
      <c r="B71" s="3919"/>
      <c r="C71" s="3919"/>
      <c r="D71" s="2"/>
      <c r="E71" s="54"/>
    </row>
    <row r="72" spans="1:5" x14ac:dyDescent="0.25">
      <c r="A72" s="71"/>
      <c r="B72" s="3919"/>
      <c r="C72" s="3919"/>
      <c r="D72" s="2"/>
      <c r="E72" s="54"/>
    </row>
    <row r="73" spans="1:5" x14ac:dyDescent="0.25">
      <c r="A73" s="71"/>
      <c r="B73" s="3919" t="s">
        <v>7</v>
      </c>
      <c r="C73" s="3919"/>
      <c r="D73" s="2"/>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D81" s="153"/>
      <c r="E81" s="54"/>
    </row>
    <row r="82" spans="1:5" x14ac:dyDescent="0.25">
      <c r="A82" s="71"/>
      <c r="D82" s="153"/>
      <c r="E82" s="54"/>
    </row>
    <row r="83" spans="1:5" x14ac:dyDescent="0.25">
      <c r="A83" s="71"/>
      <c r="B83" s="178" t="s">
        <v>16</v>
      </c>
      <c r="C83" s="178" t="s">
        <v>16</v>
      </c>
      <c r="D83" s="141"/>
      <c r="E83" s="142">
        <f>SUM(B85:B90)+SUM(C85:C90)</f>
        <v>520000</v>
      </c>
    </row>
    <row r="84" spans="1:5" s="55" customFormat="1" ht="6.75" customHeight="1" x14ac:dyDescent="0.25">
      <c r="A84" s="112"/>
      <c r="B84" s="184"/>
      <c r="C84" s="184"/>
      <c r="D84" s="167"/>
      <c r="E84" s="54"/>
    </row>
    <row r="85" spans="1:5" s="55" customFormat="1" ht="12.75" customHeight="1" x14ac:dyDescent="0.25">
      <c r="A85" s="112"/>
      <c r="B85" s="3930"/>
      <c r="C85" s="3930"/>
      <c r="D85" s="167"/>
      <c r="E85" s="54"/>
    </row>
    <row r="86" spans="1:5" s="55" customFormat="1" ht="12.75" customHeight="1" x14ac:dyDescent="0.25">
      <c r="A86" s="112"/>
      <c r="B86" s="3931">
        <v>260000</v>
      </c>
      <c r="C86" s="3931">
        <v>260000</v>
      </c>
      <c r="D86" s="167" t="s">
        <v>90</v>
      </c>
      <c r="E86" s="54"/>
    </row>
    <row r="87" spans="1:5" s="55" customFormat="1" ht="12.75" customHeight="1" x14ac:dyDescent="0.25">
      <c r="A87" s="112"/>
      <c r="B87" s="3930"/>
      <c r="C87" s="3930"/>
      <c r="D87" s="167"/>
      <c r="E87" s="54"/>
    </row>
    <row r="88" spans="1:5" s="55" customFormat="1" x14ac:dyDescent="0.25">
      <c r="A88" s="112"/>
      <c r="B88" s="3930"/>
      <c r="C88" s="3930"/>
      <c r="D88" s="167"/>
      <c r="E88" s="54"/>
    </row>
    <row r="89" spans="1:5" s="55" customFormat="1" x14ac:dyDescent="0.25">
      <c r="A89" s="112"/>
      <c r="B89" s="3930"/>
      <c r="C89" s="3930"/>
      <c r="D89" s="167"/>
      <c r="E89" s="54"/>
    </row>
    <row r="90" spans="1:5" x14ac:dyDescent="0.25">
      <c r="A90" s="71"/>
      <c r="B90" s="3919"/>
      <c r="C90" s="3919"/>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D94" s="2"/>
      <c r="E94" s="3"/>
    </row>
    <row r="95" spans="1:5" x14ac:dyDescent="0.25">
      <c r="A95" s="71"/>
      <c r="B95" s="88" t="s">
        <v>56</v>
      </c>
      <c r="D95" s="2"/>
      <c r="E95" s="3"/>
    </row>
    <row r="96" spans="1:5" x14ac:dyDescent="0.25">
      <c r="A96" s="71"/>
      <c r="B96" s="88" t="s">
        <v>57</v>
      </c>
      <c r="D96" s="2"/>
      <c r="E96" s="3"/>
    </row>
  </sheetData>
  <customSheetViews>
    <customSheetView guid="{074EB09C-6289-46D7-9513-012B68BCA7BF}" showPageBreaks="1">
      <pageMargins left="0.7" right="0.7" top="0.75" bottom="0.75" header="0.3" footer="0.3"/>
      <pageSetup orientation="portrait" r:id="rId1"/>
    </customSheetView>
  </customSheetViews>
  <mergeCells count="3">
    <mergeCell ref="B17:C17"/>
    <mergeCell ref="B18:C18"/>
    <mergeCell ref="B14:E14"/>
  </mergeCells>
  <pageMargins left="0.24" right="0.37" top="0.38" bottom="0.35" header="0.3" footer="0.3"/>
  <pageSetup paperSize="17" scale="56" orientation="landscape"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C9" sqref="C9"/>
    </sheetView>
  </sheetViews>
  <sheetFormatPr defaultRowHeight="13.2" x14ac:dyDescent="0.25"/>
  <cols>
    <col min="1" max="1" width="16.109375" style="2410" customWidth="1"/>
    <col min="2" max="3" width="22.44140625" style="2410" customWidth="1"/>
    <col min="4" max="4" width="23.33203125" style="2410" customWidth="1"/>
    <col min="5" max="10" width="23.6640625" style="2410" customWidth="1"/>
    <col min="11" max="11" width="19.109375" style="2410" customWidth="1"/>
    <col min="12" max="12" width="14.33203125" style="2410" customWidth="1"/>
    <col min="13" max="13" width="23.6640625" style="2410" customWidth="1"/>
    <col min="14" max="14" width="12.33203125" style="2410" customWidth="1"/>
    <col min="15" max="15" width="18.33203125" style="2410" customWidth="1"/>
    <col min="16" max="256" width="9.109375" style="2410"/>
    <col min="257" max="257" width="36.6640625" style="2410" customWidth="1"/>
    <col min="258" max="259" width="23.6640625" style="2410" customWidth="1"/>
    <col min="260" max="260" width="34.109375" style="2410" customWidth="1"/>
    <col min="261" max="266" width="23.6640625" style="2410" customWidth="1"/>
    <col min="267" max="267" width="19.109375" style="2410" customWidth="1"/>
    <col min="268" max="268" width="14.33203125" style="2410" customWidth="1"/>
    <col min="269" max="269" width="23.6640625" style="2410" customWidth="1"/>
    <col min="270" max="270" width="12.33203125" style="2410" customWidth="1"/>
    <col min="271" max="271" width="18.33203125" style="2410" customWidth="1"/>
    <col min="272" max="512" width="9.109375" style="2410"/>
    <col min="513" max="513" width="36.6640625" style="2410" customWidth="1"/>
    <col min="514" max="515" width="23.6640625" style="2410" customWidth="1"/>
    <col min="516" max="516" width="34.109375" style="2410" customWidth="1"/>
    <col min="517" max="522" width="23.6640625" style="2410" customWidth="1"/>
    <col min="523" max="523" width="19.109375" style="2410" customWidth="1"/>
    <col min="524" max="524" width="14.33203125" style="2410" customWidth="1"/>
    <col min="525" max="525" width="23.6640625" style="2410" customWidth="1"/>
    <col min="526" max="526" width="12.33203125" style="2410" customWidth="1"/>
    <col min="527" max="527" width="18.33203125" style="2410" customWidth="1"/>
    <col min="528" max="768" width="9.109375" style="2410"/>
    <col min="769" max="769" width="36.6640625" style="2410" customWidth="1"/>
    <col min="770" max="771" width="23.6640625" style="2410" customWidth="1"/>
    <col min="772" max="772" width="34.109375" style="2410" customWidth="1"/>
    <col min="773" max="778" width="23.6640625" style="2410" customWidth="1"/>
    <col min="779" max="779" width="19.109375" style="2410" customWidth="1"/>
    <col min="780" max="780" width="14.33203125" style="2410" customWidth="1"/>
    <col min="781" max="781" width="23.6640625" style="2410" customWidth="1"/>
    <col min="782" max="782" width="12.33203125" style="2410" customWidth="1"/>
    <col min="783" max="783" width="18.33203125" style="2410" customWidth="1"/>
    <col min="784" max="1024" width="9.109375" style="2410"/>
    <col min="1025" max="1025" width="36.6640625" style="2410" customWidth="1"/>
    <col min="1026" max="1027" width="23.6640625" style="2410" customWidth="1"/>
    <col min="1028" max="1028" width="34.109375" style="2410" customWidth="1"/>
    <col min="1029" max="1034" width="23.6640625" style="2410" customWidth="1"/>
    <col min="1035" max="1035" width="19.109375" style="2410" customWidth="1"/>
    <col min="1036" max="1036" width="14.33203125" style="2410" customWidth="1"/>
    <col min="1037" max="1037" width="23.6640625" style="2410" customWidth="1"/>
    <col min="1038" max="1038" width="12.33203125" style="2410" customWidth="1"/>
    <col min="1039" max="1039" width="18.33203125" style="2410" customWidth="1"/>
    <col min="1040" max="1280" width="9.109375" style="2410"/>
    <col min="1281" max="1281" width="36.6640625" style="2410" customWidth="1"/>
    <col min="1282" max="1283" width="23.6640625" style="2410" customWidth="1"/>
    <col min="1284" max="1284" width="34.109375" style="2410" customWidth="1"/>
    <col min="1285" max="1290" width="23.6640625" style="2410" customWidth="1"/>
    <col min="1291" max="1291" width="19.109375" style="2410" customWidth="1"/>
    <col min="1292" max="1292" width="14.33203125" style="2410" customWidth="1"/>
    <col min="1293" max="1293" width="23.6640625" style="2410" customWidth="1"/>
    <col min="1294" max="1294" width="12.33203125" style="2410" customWidth="1"/>
    <col min="1295" max="1295" width="18.33203125" style="2410" customWidth="1"/>
    <col min="1296" max="1536" width="9.109375" style="2410"/>
    <col min="1537" max="1537" width="36.6640625" style="2410" customWidth="1"/>
    <col min="1538" max="1539" width="23.6640625" style="2410" customWidth="1"/>
    <col min="1540" max="1540" width="34.109375" style="2410" customWidth="1"/>
    <col min="1541" max="1546" width="23.6640625" style="2410" customWidth="1"/>
    <col min="1547" max="1547" width="19.109375" style="2410" customWidth="1"/>
    <col min="1548" max="1548" width="14.33203125" style="2410" customWidth="1"/>
    <col min="1549" max="1549" width="23.6640625" style="2410" customWidth="1"/>
    <col min="1550" max="1550" width="12.33203125" style="2410" customWidth="1"/>
    <col min="1551" max="1551" width="18.33203125" style="2410" customWidth="1"/>
    <col min="1552" max="1792" width="9.109375" style="2410"/>
    <col min="1793" max="1793" width="36.6640625" style="2410" customWidth="1"/>
    <col min="1794" max="1795" width="23.6640625" style="2410" customWidth="1"/>
    <col min="1796" max="1796" width="34.109375" style="2410" customWidth="1"/>
    <col min="1797" max="1802" width="23.6640625" style="2410" customWidth="1"/>
    <col min="1803" max="1803" width="19.109375" style="2410" customWidth="1"/>
    <col min="1804" max="1804" width="14.33203125" style="2410" customWidth="1"/>
    <col min="1805" max="1805" width="23.6640625" style="2410" customWidth="1"/>
    <col min="1806" max="1806" width="12.33203125" style="2410" customWidth="1"/>
    <col min="1807" max="1807" width="18.33203125" style="2410" customWidth="1"/>
    <col min="1808" max="2048" width="9.109375" style="2410"/>
    <col min="2049" max="2049" width="36.6640625" style="2410" customWidth="1"/>
    <col min="2050" max="2051" width="23.6640625" style="2410" customWidth="1"/>
    <col min="2052" max="2052" width="34.109375" style="2410" customWidth="1"/>
    <col min="2053" max="2058" width="23.6640625" style="2410" customWidth="1"/>
    <col min="2059" max="2059" width="19.109375" style="2410" customWidth="1"/>
    <col min="2060" max="2060" width="14.33203125" style="2410" customWidth="1"/>
    <col min="2061" max="2061" width="23.6640625" style="2410" customWidth="1"/>
    <col min="2062" max="2062" width="12.33203125" style="2410" customWidth="1"/>
    <col min="2063" max="2063" width="18.33203125" style="2410" customWidth="1"/>
    <col min="2064" max="2304" width="9.109375" style="2410"/>
    <col min="2305" max="2305" width="36.6640625" style="2410" customWidth="1"/>
    <col min="2306" max="2307" width="23.6640625" style="2410" customWidth="1"/>
    <col min="2308" max="2308" width="34.109375" style="2410" customWidth="1"/>
    <col min="2309" max="2314" width="23.6640625" style="2410" customWidth="1"/>
    <col min="2315" max="2315" width="19.109375" style="2410" customWidth="1"/>
    <col min="2316" max="2316" width="14.33203125" style="2410" customWidth="1"/>
    <col min="2317" max="2317" width="23.6640625" style="2410" customWidth="1"/>
    <col min="2318" max="2318" width="12.33203125" style="2410" customWidth="1"/>
    <col min="2319" max="2319" width="18.33203125" style="2410" customWidth="1"/>
    <col min="2320" max="2560" width="9.109375" style="2410"/>
    <col min="2561" max="2561" width="36.6640625" style="2410" customWidth="1"/>
    <col min="2562" max="2563" width="23.6640625" style="2410" customWidth="1"/>
    <col min="2564" max="2564" width="34.109375" style="2410" customWidth="1"/>
    <col min="2565" max="2570" width="23.6640625" style="2410" customWidth="1"/>
    <col min="2571" max="2571" width="19.109375" style="2410" customWidth="1"/>
    <col min="2572" max="2572" width="14.33203125" style="2410" customWidth="1"/>
    <col min="2573" max="2573" width="23.6640625" style="2410" customWidth="1"/>
    <col min="2574" max="2574" width="12.33203125" style="2410" customWidth="1"/>
    <col min="2575" max="2575" width="18.33203125" style="2410" customWidth="1"/>
    <col min="2576" max="2816" width="9.109375" style="2410"/>
    <col min="2817" max="2817" width="36.6640625" style="2410" customWidth="1"/>
    <col min="2818" max="2819" width="23.6640625" style="2410" customWidth="1"/>
    <col min="2820" max="2820" width="34.109375" style="2410" customWidth="1"/>
    <col min="2821" max="2826" width="23.6640625" style="2410" customWidth="1"/>
    <col min="2827" max="2827" width="19.109375" style="2410" customWidth="1"/>
    <col min="2828" max="2828" width="14.33203125" style="2410" customWidth="1"/>
    <col min="2829" max="2829" width="23.6640625" style="2410" customWidth="1"/>
    <col min="2830" max="2830" width="12.33203125" style="2410" customWidth="1"/>
    <col min="2831" max="2831" width="18.33203125" style="2410" customWidth="1"/>
    <col min="2832" max="3072" width="9.109375" style="2410"/>
    <col min="3073" max="3073" width="36.6640625" style="2410" customWidth="1"/>
    <col min="3074" max="3075" width="23.6640625" style="2410" customWidth="1"/>
    <col min="3076" max="3076" width="34.109375" style="2410" customWidth="1"/>
    <col min="3077" max="3082" width="23.6640625" style="2410" customWidth="1"/>
    <col min="3083" max="3083" width="19.109375" style="2410" customWidth="1"/>
    <col min="3084" max="3084" width="14.33203125" style="2410" customWidth="1"/>
    <col min="3085" max="3085" width="23.6640625" style="2410" customWidth="1"/>
    <col min="3086" max="3086" width="12.33203125" style="2410" customWidth="1"/>
    <col min="3087" max="3087" width="18.33203125" style="2410" customWidth="1"/>
    <col min="3088" max="3328" width="9.109375" style="2410"/>
    <col min="3329" max="3329" width="36.6640625" style="2410" customWidth="1"/>
    <col min="3330" max="3331" width="23.6640625" style="2410" customWidth="1"/>
    <col min="3332" max="3332" width="34.109375" style="2410" customWidth="1"/>
    <col min="3333" max="3338" width="23.6640625" style="2410" customWidth="1"/>
    <col min="3339" max="3339" width="19.109375" style="2410" customWidth="1"/>
    <col min="3340" max="3340" width="14.33203125" style="2410" customWidth="1"/>
    <col min="3341" max="3341" width="23.6640625" style="2410" customWidth="1"/>
    <col min="3342" max="3342" width="12.33203125" style="2410" customWidth="1"/>
    <col min="3343" max="3343" width="18.33203125" style="2410" customWidth="1"/>
    <col min="3344" max="3584" width="9.109375" style="2410"/>
    <col min="3585" max="3585" width="36.6640625" style="2410" customWidth="1"/>
    <col min="3586" max="3587" width="23.6640625" style="2410" customWidth="1"/>
    <col min="3588" max="3588" width="34.109375" style="2410" customWidth="1"/>
    <col min="3589" max="3594" width="23.6640625" style="2410" customWidth="1"/>
    <col min="3595" max="3595" width="19.109375" style="2410" customWidth="1"/>
    <col min="3596" max="3596" width="14.33203125" style="2410" customWidth="1"/>
    <col min="3597" max="3597" width="23.6640625" style="2410" customWidth="1"/>
    <col min="3598" max="3598" width="12.33203125" style="2410" customWidth="1"/>
    <col min="3599" max="3599" width="18.33203125" style="2410" customWidth="1"/>
    <col min="3600" max="3840" width="9.109375" style="2410"/>
    <col min="3841" max="3841" width="36.6640625" style="2410" customWidth="1"/>
    <col min="3842" max="3843" width="23.6640625" style="2410" customWidth="1"/>
    <col min="3844" max="3844" width="34.109375" style="2410" customWidth="1"/>
    <col min="3845" max="3850" width="23.6640625" style="2410" customWidth="1"/>
    <col min="3851" max="3851" width="19.109375" style="2410" customWidth="1"/>
    <col min="3852" max="3852" width="14.33203125" style="2410" customWidth="1"/>
    <col min="3853" max="3853" width="23.6640625" style="2410" customWidth="1"/>
    <col min="3854" max="3854" width="12.33203125" style="2410" customWidth="1"/>
    <col min="3855" max="3855" width="18.33203125" style="2410" customWidth="1"/>
    <col min="3856" max="4096" width="9.109375" style="2410"/>
    <col min="4097" max="4097" width="36.6640625" style="2410" customWidth="1"/>
    <col min="4098" max="4099" width="23.6640625" style="2410" customWidth="1"/>
    <col min="4100" max="4100" width="34.109375" style="2410" customWidth="1"/>
    <col min="4101" max="4106" width="23.6640625" style="2410" customWidth="1"/>
    <col min="4107" max="4107" width="19.109375" style="2410" customWidth="1"/>
    <col min="4108" max="4108" width="14.33203125" style="2410" customWidth="1"/>
    <col min="4109" max="4109" width="23.6640625" style="2410" customWidth="1"/>
    <col min="4110" max="4110" width="12.33203125" style="2410" customWidth="1"/>
    <col min="4111" max="4111" width="18.33203125" style="2410" customWidth="1"/>
    <col min="4112" max="4352" width="9.109375" style="2410"/>
    <col min="4353" max="4353" width="36.6640625" style="2410" customWidth="1"/>
    <col min="4354" max="4355" width="23.6640625" style="2410" customWidth="1"/>
    <col min="4356" max="4356" width="34.109375" style="2410" customWidth="1"/>
    <col min="4357" max="4362" width="23.6640625" style="2410" customWidth="1"/>
    <col min="4363" max="4363" width="19.109375" style="2410" customWidth="1"/>
    <col min="4364" max="4364" width="14.33203125" style="2410" customWidth="1"/>
    <col min="4365" max="4365" width="23.6640625" style="2410" customWidth="1"/>
    <col min="4366" max="4366" width="12.33203125" style="2410" customWidth="1"/>
    <col min="4367" max="4367" width="18.33203125" style="2410" customWidth="1"/>
    <col min="4368" max="4608" width="9.109375" style="2410"/>
    <col min="4609" max="4609" width="36.6640625" style="2410" customWidth="1"/>
    <col min="4610" max="4611" width="23.6640625" style="2410" customWidth="1"/>
    <col min="4612" max="4612" width="34.109375" style="2410" customWidth="1"/>
    <col min="4613" max="4618" width="23.6640625" style="2410" customWidth="1"/>
    <col min="4619" max="4619" width="19.109375" style="2410" customWidth="1"/>
    <col min="4620" max="4620" width="14.33203125" style="2410" customWidth="1"/>
    <col min="4621" max="4621" width="23.6640625" style="2410" customWidth="1"/>
    <col min="4622" max="4622" width="12.33203125" style="2410" customWidth="1"/>
    <col min="4623" max="4623" width="18.33203125" style="2410" customWidth="1"/>
    <col min="4624" max="4864" width="9.109375" style="2410"/>
    <col min="4865" max="4865" width="36.6640625" style="2410" customWidth="1"/>
    <col min="4866" max="4867" width="23.6640625" style="2410" customWidth="1"/>
    <col min="4868" max="4868" width="34.109375" style="2410" customWidth="1"/>
    <col min="4869" max="4874" width="23.6640625" style="2410" customWidth="1"/>
    <col min="4875" max="4875" width="19.109375" style="2410" customWidth="1"/>
    <col min="4876" max="4876" width="14.33203125" style="2410" customWidth="1"/>
    <col min="4877" max="4877" width="23.6640625" style="2410" customWidth="1"/>
    <col min="4878" max="4878" width="12.33203125" style="2410" customWidth="1"/>
    <col min="4879" max="4879" width="18.33203125" style="2410" customWidth="1"/>
    <col min="4880" max="5120" width="9.109375" style="2410"/>
    <col min="5121" max="5121" width="36.6640625" style="2410" customWidth="1"/>
    <col min="5122" max="5123" width="23.6640625" style="2410" customWidth="1"/>
    <col min="5124" max="5124" width="34.109375" style="2410" customWidth="1"/>
    <col min="5125" max="5130" width="23.6640625" style="2410" customWidth="1"/>
    <col min="5131" max="5131" width="19.109375" style="2410" customWidth="1"/>
    <col min="5132" max="5132" width="14.33203125" style="2410" customWidth="1"/>
    <col min="5133" max="5133" width="23.6640625" style="2410" customWidth="1"/>
    <col min="5134" max="5134" width="12.33203125" style="2410" customWidth="1"/>
    <col min="5135" max="5135" width="18.33203125" style="2410" customWidth="1"/>
    <col min="5136" max="5376" width="9.109375" style="2410"/>
    <col min="5377" max="5377" width="36.6640625" style="2410" customWidth="1"/>
    <col min="5378" max="5379" width="23.6640625" style="2410" customWidth="1"/>
    <col min="5380" max="5380" width="34.109375" style="2410" customWidth="1"/>
    <col min="5381" max="5386" width="23.6640625" style="2410" customWidth="1"/>
    <col min="5387" max="5387" width="19.109375" style="2410" customWidth="1"/>
    <col min="5388" max="5388" width="14.33203125" style="2410" customWidth="1"/>
    <col min="5389" max="5389" width="23.6640625" style="2410" customWidth="1"/>
    <col min="5390" max="5390" width="12.33203125" style="2410" customWidth="1"/>
    <col min="5391" max="5391" width="18.33203125" style="2410" customWidth="1"/>
    <col min="5392" max="5632" width="9.109375" style="2410"/>
    <col min="5633" max="5633" width="36.6640625" style="2410" customWidth="1"/>
    <col min="5634" max="5635" width="23.6640625" style="2410" customWidth="1"/>
    <col min="5636" max="5636" width="34.109375" style="2410" customWidth="1"/>
    <col min="5637" max="5642" width="23.6640625" style="2410" customWidth="1"/>
    <col min="5643" max="5643" width="19.109375" style="2410" customWidth="1"/>
    <col min="5644" max="5644" width="14.33203125" style="2410" customWidth="1"/>
    <col min="5645" max="5645" width="23.6640625" style="2410" customWidth="1"/>
    <col min="5646" max="5646" width="12.33203125" style="2410" customWidth="1"/>
    <col min="5647" max="5647" width="18.33203125" style="2410" customWidth="1"/>
    <col min="5648" max="5888" width="9.109375" style="2410"/>
    <col min="5889" max="5889" width="36.6640625" style="2410" customWidth="1"/>
    <col min="5890" max="5891" width="23.6640625" style="2410" customWidth="1"/>
    <col min="5892" max="5892" width="34.109375" style="2410" customWidth="1"/>
    <col min="5893" max="5898" width="23.6640625" style="2410" customWidth="1"/>
    <col min="5899" max="5899" width="19.109375" style="2410" customWidth="1"/>
    <col min="5900" max="5900" width="14.33203125" style="2410" customWidth="1"/>
    <col min="5901" max="5901" width="23.6640625" style="2410" customWidth="1"/>
    <col min="5902" max="5902" width="12.33203125" style="2410" customWidth="1"/>
    <col min="5903" max="5903" width="18.33203125" style="2410" customWidth="1"/>
    <col min="5904" max="6144" width="9.109375" style="2410"/>
    <col min="6145" max="6145" width="36.6640625" style="2410" customWidth="1"/>
    <col min="6146" max="6147" width="23.6640625" style="2410" customWidth="1"/>
    <col min="6148" max="6148" width="34.109375" style="2410" customWidth="1"/>
    <col min="6149" max="6154" width="23.6640625" style="2410" customWidth="1"/>
    <col min="6155" max="6155" width="19.109375" style="2410" customWidth="1"/>
    <col min="6156" max="6156" width="14.33203125" style="2410" customWidth="1"/>
    <col min="6157" max="6157" width="23.6640625" style="2410" customWidth="1"/>
    <col min="6158" max="6158" width="12.33203125" style="2410" customWidth="1"/>
    <col min="6159" max="6159" width="18.33203125" style="2410" customWidth="1"/>
    <col min="6160" max="6400" width="9.109375" style="2410"/>
    <col min="6401" max="6401" width="36.6640625" style="2410" customWidth="1"/>
    <col min="6402" max="6403" width="23.6640625" style="2410" customWidth="1"/>
    <col min="6404" max="6404" width="34.109375" style="2410" customWidth="1"/>
    <col min="6405" max="6410" width="23.6640625" style="2410" customWidth="1"/>
    <col min="6411" max="6411" width="19.109375" style="2410" customWidth="1"/>
    <col min="6412" max="6412" width="14.33203125" style="2410" customWidth="1"/>
    <col min="6413" max="6413" width="23.6640625" style="2410" customWidth="1"/>
    <col min="6414" max="6414" width="12.33203125" style="2410" customWidth="1"/>
    <col min="6415" max="6415" width="18.33203125" style="2410" customWidth="1"/>
    <col min="6416" max="6656" width="9.109375" style="2410"/>
    <col min="6657" max="6657" width="36.6640625" style="2410" customWidth="1"/>
    <col min="6658" max="6659" width="23.6640625" style="2410" customWidth="1"/>
    <col min="6660" max="6660" width="34.109375" style="2410" customWidth="1"/>
    <col min="6661" max="6666" width="23.6640625" style="2410" customWidth="1"/>
    <col min="6667" max="6667" width="19.109375" style="2410" customWidth="1"/>
    <col min="6668" max="6668" width="14.33203125" style="2410" customWidth="1"/>
    <col min="6669" max="6669" width="23.6640625" style="2410" customWidth="1"/>
    <col min="6670" max="6670" width="12.33203125" style="2410" customWidth="1"/>
    <col min="6671" max="6671" width="18.33203125" style="2410" customWidth="1"/>
    <col min="6672" max="6912" width="9.109375" style="2410"/>
    <col min="6913" max="6913" width="36.6640625" style="2410" customWidth="1"/>
    <col min="6914" max="6915" width="23.6640625" style="2410" customWidth="1"/>
    <col min="6916" max="6916" width="34.109375" style="2410" customWidth="1"/>
    <col min="6917" max="6922" width="23.6640625" style="2410" customWidth="1"/>
    <col min="6923" max="6923" width="19.109375" style="2410" customWidth="1"/>
    <col min="6924" max="6924" width="14.33203125" style="2410" customWidth="1"/>
    <col min="6925" max="6925" width="23.6640625" style="2410" customWidth="1"/>
    <col min="6926" max="6926" width="12.33203125" style="2410" customWidth="1"/>
    <col min="6927" max="6927" width="18.33203125" style="2410" customWidth="1"/>
    <col min="6928" max="7168" width="9.109375" style="2410"/>
    <col min="7169" max="7169" width="36.6640625" style="2410" customWidth="1"/>
    <col min="7170" max="7171" width="23.6640625" style="2410" customWidth="1"/>
    <col min="7172" max="7172" width="34.109375" style="2410" customWidth="1"/>
    <col min="7173" max="7178" width="23.6640625" style="2410" customWidth="1"/>
    <col min="7179" max="7179" width="19.109375" style="2410" customWidth="1"/>
    <col min="7180" max="7180" width="14.33203125" style="2410" customWidth="1"/>
    <col min="7181" max="7181" width="23.6640625" style="2410" customWidth="1"/>
    <col min="7182" max="7182" width="12.33203125" style="2410" customWidth="1"/>
    <col min="7183" max="7183" width="18.33203125" style="2410" customWidth="1"/>
    <col min="7184" max="7424" width="9.109375" style="2410"/>
    <col min="7425" max="7425" width="36.6640625" style="2410" customWidth="1"/>
    <col min="7426" max="7427" width="23.6640625" style="2410" customWidth="1"/>
    <col min="7428" max="7428" width="34.109375" style="2410" customWidth="1"/>
    <col min="7429" max="7434" width="23.6640625" style="2410" customWidth="1"/>
    <col min="7435" max="7435" width="19.109375" style="2410" customWidth="1"/>
    <col min="7436" max="7436" width="14.33203125" style="2410" customWidth="1"/>
    <col min="7437" max="7437" width="23.6640625" style="2410" customWidth="1"/>
    <col min="7438" max="7438" width="12.33203125" style="2410" customWidth="1"/>
    <col min="7439" max="7439" width="18.33203125" style="2410" customWidth="1"/>
    <col min="7440" max="7680" width="9.109375" style="2410"/>
    <col min="7681" max="7681" width="36.6640625" style="2410" customWidth="1"/>
    <col min="7682" max="7683" width="23.6640625" style="2410" customWidth="1"/>
    <col min="7684" max="7684" width="34.109375" style="2410" customWidth="1"/>
    <col min="7685" max="7690" width="23.6640625" style="2410" customWidth="1"/>
    <col min="7691" max="7691" width="19.109375" style="2410" customWidth="1"/>
    <col min="7692" max="7692" width="14.33203125" style="2410" customWidth="1"/>
    <col min="7693" max="7693" width="23.6640625" style="2410" customWidth="1"/>
    <col min="7694" max="7694" width="12.33203125" style="2410" customWidth="1"/>
    <col min="7695" max="7695" width="18.33203125" style="2410" customWidth="1"/>
    <col min="7696" max="7936" width="9.109375" style="2410"/>
    <col min="7937" max="7937" width="36.6640625" style="2410" customWidth="1"/>
    <col min="7938" max="7939" width="23.6640625" style="2410" customWidth="1"/>
    <col min="7940" max="7940" width="34.109375" style="2410" customWidth="1"/>
    <col min="7941" max="7946" width="23.6640625" style="2410" customWidth="1"/>
    <col min="7947" max="7947" width="19.109375" style="2410" customWidth="1"/>
    <col min="7948" max="7948" width="14.33203125" style="2410" customWidth="1"/>
    <col min="7949" max="7949" width="23.6640625" style="2410" customWidth="1"/>
    <col min="7950" max="7950" width="12.33203125" style="2410" customWidth="1"/>
    <col min="7951" max="7951" width="18.33203125" style="2410" customWidth="1"/>
    <col min="7952" max="8192" width="9.109375" style="2410"/>
    <col min="8193" max="8193" width="36.6640625" style="2410" customWidth="1"/>
    <col min="8194" max="8195" width="23.6640625" style="2410" customWidth="1"/>
    <col min="8196" max="8196" width="34.109375" style="2410" customWidth="1"/>
    <col min="8197" max="8202" width="23.6640625" style="2410" customWidth="1"/>
    <col min="8203" max="8203" width="19.109375" style="2410" customWidth="1"/>
    <col min="8204" max="8204" width="14.33203125" style="2410" customWidth="1"/>
    <col min="8205" max="8205" width="23.6640625" style="2410" customWidth="1"/>
    <col min="8206" max="8206" width="12.33203125" style="2410" customWidth="1"/>
    <col min="8207" max="8207" width="18.33203125" style="2410" customWidth="1"/>
    <col min="8208" max="8448" width="9.109375" style="2410"/>
    <col min="8449" max="8449" width="36.6640625" style="2410" customWidth="1"/>
    <col min="8450" max="8451" width="23.6640625" style="2410" customWidth="1"/>
    <col min="8452" max="8452" width="34.109375" style="2410" customWidth="1"/>
    <col min="8453" max="8458" width="23.6640625" style="2410" customWidth="1"/>
    <col min="8459" max="8459" width="19.109375" style="2410" customWidth="1"/>
    <col min="8460" max="8460" width="14.33203125" style="2410" customWidth="1"/>
    <col min="8461" max="8461" width="23.6640625" style="2410" customWidth="1"/>
    <col min="8462" max="8462" width="12.33203125" style="2410" customWidth="1"/>
    <col min="8463" max="8463" width="18.33203125" style="2410" customWidth="1"/>
    <col min="8464" max="8704" width="9.109375" style="2410"/>
    <col min="8705" max="8705" width="36.6640625" style="2410" customWidth="1"/>
    <col min="8706" max="8707" width="23.6640625" style="2410" customWidth="1"/>
    <col min="8708" max="8708" width="34.109375" style="2410" customWidth="1"/>
    <col min="8709" max="8714" width="23.6640625" style="2410" customWidth="1"/>
    <col min="8715" max="8715" width="19.109375" style="2410" customWidth="1"/>
    <col min="8716" max="8716" width="14.33203125" style="2410" customWidth="1"/>
    <col min="8717" max="8717" width="23.6640625" style="2410" customWidth="1"/>
    <col min="8718" max="8718" width="12.33203125" style="2410" customWidth="1"/>
    <col min="8719" max="8719" width="18.33203125" style="2410" customWidth="1"/>
    <col min="8720" max="8960" width="9.109375" style="2410"/>
    <col min="8961" max="8961" width="36.6640625" style="2410" customWidth="1"/>
    <col min="8962" max="8963" width="23.6640625" style="2410" customWidth="1"/>
    <col min="8964" max="8964" width="34.109375" style="2410" customWidth="1"/>
    <col min="8965" max="8970" width="23.6640625" style="2410" customWidth="1"/>
    <col min="8971" max="8971" width="19.109375" style="2410" customWidth="1"/>
    <col min="8972" max="8972" width="14.33203125" style="2410" customWidth="1"/>
    <col min="8973" max="8973" width="23.6640625" style="2410" customWidth="1"/>
    <col min="8974" max="8974" width="12.33203125" style="2410" customWidth="1"/>
    <col min="8975" max="8975" width="18.33203125" style="2410" customWidth="1"/>
    <col min="8976" max="9216" width="9.109375" style="2410"/>
    <col min="9217" max="9217" width="36.6640625" style="2410" customWidth="1"/>
    <col min="9218" max="9219" width="23.6640625" style="2410" customWidth="1"/>
    <col min="9220" max="9220" width="34.109375" style="2410" customWidth="1"/>
    <col min="9221" max="9226" width="23.6640625" style="2410" customWidth="1"/>
    <col min="9227" max="9227" width="19.109375" style="2410" customWidth="1"/>
    <col min="9228" max="9228" width="14.33203125" style="2410" customWidth="1"/>
    <col min="9229" max="9229" width="23.6640625" style="2410" customWidth="1"/>
    <col min="9230" max="9230" width="12.33203125" style="2410" customWidth="1"/>
    <col min="9231" max="9231" width="18.33203125" style="2410" customWidth="1"/>
    <col min="9232" max="9472" width="9.109375" style="2410"/>
    <col min="9473" max="9473" width="36.6640625" style="2410" customWidth="1"/>
    <col min="9474" max="9475" width="23.6640625" style="2410" customWidth="1"/>
    <col min="9476" max="9476" width="34.109375" style="2410" customWidth="1"/>
    <col min="9477" max="9482" width="23.6640625" style="2410" customWidth="1"/>
    <col min="9483" max="9483" width="19.109375" style="2410" customWidth="1"/>
    <col min="9484" max="9484" width="14.33203125" style="2410" customWidth="1"/>
    <col min="9485" max="9485" width="23.6640625" style="2410" customWidth="1"/>
    <col min="9486" max="9486" width="12.33203125" style="2410" customWidth="1"/>
    <col min="9487" max="9487" width="18.33203125" style="2410" customWidth="1"/>
    <col min="9488" max="9728" width="9.109375" style="2410"/>
    <col min="9729" max="9729" width="36.6640625" style="2410" customWidth="1"/>
    <col min="9730" max="9731" width="23.6640625" style="2410" customWidth="1"/>
    <col min="9732" max="9732" width="34.109375" style="2410" customWidth="1"/>
    <col min="9733" max="9738" width="23.6640625" style="2410" customWidth="1"/>
    <col min="9739" max="9739" width="19.109375" style="2410" customWidth="1"/>
    <col min="9740" max="9740" width="14.33203125" style="2410" customWidth="1"/>
    <col min="9741" max="9741" width="23.6640625" style="2410" customWidth="1"/>
    <col min="9742" max="9742" width="12.33203125" style="2410" customWidth="1"/>
    <col min="9743" max="9743" width="18.33203125" style="2410" customWidth="1"/>
    <col min="9744" max="9984" width="9.109375" style="2410"/>
    <col min="9985" max="9985" width="36.6640625" style="2410" customWidth="1"/>
    <col min="9986" max="9987" width="23.6640625" style="2410" customWidth="1"/>
    <col min="9988" max="9988" width="34.109375" style="2410" customWidth="1"/>
    <col min="9989" max="9994" width="23.6640625" style="2410" customWidth="1"/>
    <col min="9995" max="9995" width="19.109375" style="2410" customWidth="1"/>
    <col min="9996" max="9996" width="14.33203125" style="2410" customWidth="1"/>
    <col min="9997" max="9997" width="23.6640625" style="2410" customWidth="1"/>
    <col min="9998" max="9998" width="12.33203125" style="2410" customWidth="1"/>
    <col min="9999" max="9999" width="18.33203125" style="2410" customWidth="1"/>
    <col min="10000" max="10240" width="9.109375" style="2410"/>
    <col min="10241" max="10241" width="36.6640625" style="2410" customWidth="1"/>
    <col min="10242" max="10243" width="23.6640625" style="2410" customWidth="1"/>
    <col min="10244" max="10244" width="34.109375" style="2410" customWidth="1"/>
    <col min="10245" max="10250" width="23.6640625" style="2410" customWidth="1"/>
    <col min="10251" max="10251" width="19.109375" style="2410" customWidth="1"/>
    <col min="10252" max="10252" width="14.33203125" style="2410" customWidth="1"/>
    <col min="10253" max="10253" width="23.6640625" style="2410" customWidth="1"/>
    <col min="10254" max="10254" width="12.33203125" style="2410" customWidth="1"/>
    <col min="10255" max="10255" width="18.33203125" style="2410" customWidth="1"/>
    <col min="10256" max="10496" width="9.109375" style="2410"/>
    <col min="10497" max="10497" width="36.6640625" style="2410" customWidth="1"/>
    <col min="10498" max="10499" width="23.6640625" style="2410" customWidth="1"/>
    <col min="10500" max="10500" width="34.109375" style="2410" customWidth="1"/>
    <col min="10501" max="10506" width="23.6640625" style="2410" customWidth="1"/>
    <col min="10507" max="10507" width="19.109375" style="2410" customWidth="1"/>
    <col min="10508" max="10508" width="14.33203125" style="2410" customWidth="1"/>
    <col min="10509" max="10509" width="23.6640625" style="2410" customWidth="1"/>
    <col min="10510" max="10510" width="12.33203125" style="2410" customWidth="1"/>
    <col min="10511" max="10511" width="18.33203125" style="2410" customWidth="1"/>
    <col min="10512" max="10752" width="9.109375" style="2410"/>
    <col min="10753" max="10753" width="36.6640625" style="2410" customWidth="1"/>
    <col min="10754" max="10755" width="23.6640625" style="2410" customWidth="1"/>
    <col min="10756" max="10756" width="34.109375" style="2410" customWidth="1"/>
    <col min="10757" max="10762" width="23.6640625" style="2410" customWidth="1"/>
    <col min="10763" max="10763" width="19.109375" style="2410" customWidth="1"/>
    <col min="10764" max="10764" width="14.33203125" style="2410" customWidth="1"/>
    <col min="10765" max="10765" width="23.6640625" style="2410" customWidth="1"/>
    <col min="10766" max="10766" width="12.33203125" style="2410" customWidth="1"/>
    <col min="10767" max="10767" width="18.33203125" style="2410" customWidth="1"/>
    <col min="10768" max="11008" width="9.109375" style="2410"/>
    <col min="11009" max="11009" width="36.6640625" style="2410" customWidth="1"/>
    <col min="11010" max="11011" width="23.6640625" style="2410" customWidth="1"/>
    <col min="11012" max="11012" width="34.109375" style="2410" customWidth="1"/>
    <col min="11013" max="11018" width="23.6640625" style="2410" customWidth="1"/>
    <col min="11019" max="11019" width="19.109375" style="2410" customWidth="1"/>
    <col min="11020" max="11020" width="14.33203125" style="2410" customWidth="1"/>
    <col min="11021" max="11021" width="23.6640625" style="2410" customWidth="1"/>
    <col min="11022" max="11022" width="12.33203125" style="2410" customWidth="1"/>
    <col min="11023" max="11023" width="18.33203125" style="2410" customWidth="1"/>
    <col min="11024" max="11264" width="9.109375" style="2410"/>
    <col min="11265" max="11265" width="36.6640625" style="2410" customWidth="1"/>
    <col min="11266" max="11267" width="23.6640625" style="2410" customWidth="1"/>
    <col min="11268" max="11268" width="34.109375" style="2410" customWidth="1"/>
    <col min="11269" max="11274" width="23.6640625" style="2410" customWidth="1"/>
    <col min="11275" max="11275" width="19.109375" style="2410" customWidth="1"/>
    <col min="11276" max="11276" width="14.33203125" style="2410" customWidth="1"/>
    <col min="11277" max="11277" width="23.6640625" style="2410" customWidth="1"/>
    <col min="11278" max="11278" width="12.33203125" style="2410" customWidth="1"/>
    <col min="11279" max="11279" width="18.33203125" style="2410" customWidth="1"/>
    <col min="11280" max="11520" width="9.109375" style="2410"/>
    <col min="11521" max="11521" width="36.6640625" style="2410" customWidth="1"/>
    <col min="11522" max="11523" width="23.6640625" style="2410" customWidth="1"/>
    <col min="11524" max="11524" width="34.109375" style="2410" customWidth="1"/>
    <col min="11525" max="11530" width="23.6640625" style="2410" customWidth="1"/>
    <col min="11531" max="11531" width="19.109375" style="2410" customWidth="1"/>
    <col min="11532" max="11532" width="14.33203125" style="2410" customWidth="1"/>
    <col min="11533" max="11533" width="23.6640625" style="2410" customWidth="1"/>
    <col min="11534" max="11534" width="12.33203125" style="2410" customWidth="1"/>
    <col min="11535" max="11535" width="18.33203125" style="2410" customWidth="1"/>
    <col min="11536" max="11776" width="9.109375" style="2410"/>
    <col min="11777" max="11777" width="36.6640625" style="2410" customWidth="1"/>
    <col min="11778" max="11779" width="23.6640625" style="2410" customWidth="1"/>
    <col min="11780" max="11780" width="34.109375" style="2410" customWidth="1"/>
    <col min="11781" max="11786" width="23.6640625" style="2410" customWidth="1"/>
    <col min="11787" max="11787" width="19.109375" style="2410" customWidth="1"/>
    <col min="11788" max="11788" width="14.33203125" style="2410" customWidth="1"/>
    <col min="11789" max="11789" width="23.6640625" style="2410" customWidth="1"/>
    <col min="11790" max="11790" width="12.33203125" style="2410" customWidth="1"/>
    <col min="11791" max="11791" width="18.33203125" style="2410" customWidth="1"/>
    <col min="11792" max="12032" width="9.109375" style="2410"/>
    <col min="12033" max="12033" width="36.6640625" style="2410" customWidth="1"/>
    <col min="12034" max="12035" width="23.6640625" style="2410" customWidth="1"/>
    <col min="12036" max="12036" width="34.109375" style="2410" customWidth="1"/>
    <col min="12037" max="12042" width="23.6640625" style="2410" customWidth="1"/>
    <col min="12043" max="12043" width="19.109375" style="2410" customWidth="1"/>
    <col min="12044" max="12044" width="14.33203125" style="2410" customWidth="1"/>
    <col min="12045" max="12045" width="23.6640625" style="2410" customWidth="1"/>
    <col min="12046" max="12046" width="12.33203125" style="2410" customWidth="1"/>
    <col min="12047" max="12047" width="18.33203125" style="2410" customWidth="1"/>
    <col min="12048" max="12288" width="9.109375" style="2410"/>
    <col min="12289" max="12289" width="36.6640625" style="2410" customWidth="1"/>
    <col min="12290" max="12291" width="23.6640625" style="2410" customWidth="1"/>
    <col min="12292" max="12292" width="34.109375" style="2410" customWidth="1"/>
    <col min="12293" max="12298" width="23.6640625" style="2410" customWidth="1"/>
    <col min="12299" max="12299" width="19.109375" style="2410" customWidth="1"/>
    <col min="12300" max="12300" width="14.33203125" style="2410" customWidth="1"/>
    <col min="12301" max="12301" width="23.6640625" style="2410" customWidth="1"/>
    <col min="12302" max="12302" width="12.33203125" style="2410" customWidth="1"/>
    <col min="12303" max="12303" width="18.33203125" style="2410" customWidth="1"/>
    <col min="12304" max="12544" width="9.109375" style="2410"/>
    <col min="12545" max="12545" width="36.6640625" style="2410" customWidth="1"/>
    <col min="12546" max="12547" width="23.6640625" style="2410" customWidth="1"/>
    <col min="12548" max="12548" width="34.109375" style="2410" customWidth="1"/>
    <col min="12549" max="12554" width="23.6640625" style="2410" customWidth="1"/>
    <col min="12555" max="12555" width="19.109375" style="2410" customWidth="1"/>
    <col min="12556" max="12556" width="14.33203125" style="2410" customWidth="1"/>
    <col min="12557" max="12557" width="23.6640625" style="2410" customWidth="1"/>
    <col min="12558" max="12558" width="12.33203125" style="2410" customWidth="1"/>
    <col min="12559" max="12559" width="18.33203125" style="2410" customWidth="1"/>
    <col min="12560" max="12800" width="9.109375" style="2410"/>
    <col min="12801" max="12801" width="36.6640625" style="2410" customWidth="1"/>
    <col min="12802" max="12803" width="23.6640625" style="2410" customWidth="1"/>
    <col min="12804" max="12804" width="34.109375" style="2410" customWidth="1"/>
    <col min="12805" max="12810" width="23.6640625" style="2410" customWidth="1"/>
    <col min="12811" max="12811" width="19.109375" style="2410" customWidth="1"/>
    <col min="12812" max="12812" width="14.33203125" style="2410" customWidth="1"/>
    <col min="12813" max="12813" width="23.6640625" style="2410" customWidth="1"/>
    <col min="12814" max="12814" width="12.33203125" style="2410" customWidth="1"/>
    <col min="12815" max="12815" width="18.33203125" style="2410" customWidth="1"/>
    <col min="12816" max="13056" width="9.109375" style="2410"/>
    <col min="13057" max="13057" width="36.6640625" style="2410" customWidth="1"/>
    <col min="13058" max="13059" width="23.6640625" style="2410" customWidth="1"/>
    <col min="13060" max="13060" width="34.109375" style="2410" customWidth="1"/>
    <col min="13061" max="13066" width="23.6640625" style="2410" customWidth="1"/>
    <col min="13067" max="13067" width="19.109375" style="2410" customWidth="1"/>
    <col min="13068" max="13068" width="14.33203125" style="2410" customWidth="1"/>
    <col min="13069" max="13069" width="23.6640625" style="2410" customWidth="1"/>
    <col min="13070" max="13070" width="12.33203125" style="2410" customWidth="1"/>
    <col min="13071" max="13071" width="18.33203125" style="2410" customWidth="1"/>
    <col min="13072" max="13312" width="9.109375" style="2410"/>
    <col min="13313" max="13313" width="36.6640625" style="2410" customWidth="1"/>
    <col min="13314" max="13315" width="23.6640625" style="2410" customWidth="1"/>
    <col min="13316" max="13316" width="34.109375" style="2410" customWidth="1"/>
    <col min="13317" max="13322" width="23.6640625" style="2410" customWidth="1"/>
    <col min="13323" max="13323" width="19.109375" style="2410" customWidth="1"/>
    <col min="13324" max="13324" width="14.33203125" style="2410" customWidth="1"/>
    <col min="13325" max="13325" width="23.6640625" style="2410" customWidth="1"/>
    <col min="13326" max="13326" width="12.33203125" style="2410" customWidth="1"/>
    <col min="13327" max="13327" width="18.33203125" style="2410" customWidth="1"/>
    <col min="13328" max="13568" width="9.109375" style="2410"/>
    <col min="13569" max="13569" width="36.6640625" style="2410" customWidth="1"/>
    <col min="13570" max="13571" width="23.6640625" style="2410" customWidth="1"/>
    <col min="13572" max="13572" width="34.109375" style="2410" customWidth="1"/>
    <col min="13573" max="13578" width="23.6640625" style="2410" customWidth="1"/>
    <col min="13579" max="13579" width="19.109375" style="2410" customWidth="1"/>
    <col min="13580" max="13580" width="14.33203125" style="2410" customWidth="1"/>
    <col min="13581" max="13581" width="23.6640625" style="2410" customWidth="1"/>
    <col min="13582" max="13582" width="12.33203125" style="2410" customWidth="1"/>
    <col min="13583" max="13583" width="18.33203125" style="2410" customWidth="1"/>
    <col min="13584" max="13824" width="9.109375" style="2410"/>
    <col min="13825" max="13825" width="36.6640625" style="2410" customWidth="1"/>
    <col min="13826" max="13827" width="23.6640625" style="2410" customWidth="1"/>
    <col min="13828" max="13828" width="34.109375" style="2410" customWidth="1"/>
    <col min="13829" max="13834" width="23.6640625" style="2410" customWidth="1"/>
    <col min="13835" max="13835" width="19.109375" style="2410" customWidth="1"/>
    <col min="13836" max="13836" width="14.33203125" style="2410" customWidth="1"/>
    <col min="13837" max="13837" width="23.6640625" style="2410" customWidth="1"/>
    <col min="13838" max="13838" width="12.33203125" style="2410" customWidth="1"/>
    <col min="13839" max="13839" width="18.33203125" style="2410" customWidth="1"/>
    <col min="13840" max="14080" width="9.109375" style="2410"/>
    <col min="14081" max="14081" width="36.6640625" style="2410" customWidth="1"/>
    <col min="14082" max="14083" width="23.6640625" style="2410" customWidth="1"/>
    <col min="14084" max="14084" width="34.109375" style="2410" customWidth="1"/>
    <col min="14085" max="14090" width="23.6640625" style="2410" customWidth="1"/>
    <col min="14091" max="14091" width="19.109375" style="2410" customWidth="1"/>
    <col min="14092" max="14092" width="14.33203125" style="2410" customWidth="1"/>
    <col min="14093" max="14093" width="23.6640625" style="2410" customWidth="1"/>
    <col min="14094" max="14094" width="12.33203125" style="2410" customWidth="1"/>
    <col min="14095" max="14095" width="18.33203125" style="2410" customWidth="1"/>
    <col min="14096" max="14336" width="9.109375" style="2410"/>
    <col min="14337" max="14337" width="36.6640625" style="2410" customWidth="1"/>
    <col min="14338" max="14339" width="23.6640625" style="2410" customWidth="1"/>
    <col min="14340" max="14340" width="34.109375" style="2410" customWidth="1"/>
    <col min="14341" max="14346" width="23.6640625" style="2410" customWidth="1"/>
    <col min="14347" max="14347" width="19.109375" style="2410" customWidth="1"/>
    <col min="14348" max="14348" width="14.33203125" style="2410" customWidth="1"/>
    <col min="14349" max="14349" width="23.6640625" style="2410" customWidth="1"/>
    <col min="14350" max="14350" width="12.33203125" style="2410" customWidth="1"/>
    <col min="14351" max="14351" width="18.33203125" style="2410" customWidth="1"/>
    <col min="14352" max="14592" width="9.109375" style="2410"/>
    <col min="14593" max="14593" width="36.6640625" style="2410" customWidth="1"/>
    <col min="14594" max="14595" width="23.6640625" style="2410" customWidth="1"/>
    <col min="14596" max="14596" width="34.109375" style="2410" customWidth="1"/>
    <col min="14597" max="14602" width="23.6640625" style="2410" customWidth="1"/>
    <col min="14603" max="14603" width="19.109375" style="2410" customWidth="1"/>
    <col min="14604" max="14604" width="14.33203125" style="2410" customWidth="1"/>
    <col min="14605" max="14605" width="23.6640625" style="2410" customWidth="1"/>
    <col min="14606" max="14606" width="12.33203125" style="2410" customWidth="1"/>
    <col min="14607" max="14607" width="18.33203125" style="2410" customWidth="1"/>
    <col min="14608" max="14848" width="9.109375" style="2410"/>
    <col min="14849" max="14849" width="36.6640625" style="2410" customWidth="1"/>
    <col min="14850" max="14851" width="23.6640625" style="2410" customWidth="1"/>
    <col min="14852" max="14852" width="34.109375" style="2410" customWidth="1"/>
    <col min="14853" max="14858" width="23.6640625" style="2410" customWidth="1"/>
    <col min="14859" max="14859" width="19.109375" style="2410" customWidth="1"/>
    <col min="14860" max="14860" width="14.33203125" style="2410" customWidth="1"/>
    <col min="14861" max="14861" width="23.6640625" style="2410" customWidth="1"/>
    <col min="14862" max="14862" width="12.33203125" style="2410" customWidth="1"/>
    <col min="14863" max="14863" width="18.33203125" style="2410" customWidth="1"/>
    <col min="14864" max="15104" width="9.109375" style="2410"/>
    <col min="15105" max="15105" width="36.6640625" style="2410" customWidth="1"/>
    <col min="15106" max="15107" width="23.6640625" style="2410" customWidth="1"/>
    <col min="15108" max="15108" width="34.109375" style="2410" customWidth="1"/>
    <col min="15109" max="15114" width="23.6640625" style="2410" customWidth="1"/>
    <col min="15115" max="15115" width="19.109375" style="2410" customWidth="1"/>
    <col min="15116" max="15116" width="14.33203125" style="2410" customWidth="1"/>
    <col min="15117" max="15117" width="23.6640625" style="2410" customWidth="1"/>
    <col min="15118" max="15118" width="12.33203125" style="2410" customWidth="1"/>
    <col min="15119" max="15119" width="18.33203125" style="2410" customWidth="1"/>
    <col min="15120" max="15360" width="9.109375" style="2410"/>
    <col min="15361" max="15361" width="36.6640625" style="2410" customWidth="1"/>
    <col min="15362" max="15363" width="23.6640625" style="2410" customWidth="1"/>
    <col min="15364" max="15364" width="34.109375" style="2410" customWidth="1"/>
    <col min="15365" max="15370" width="23.6640625" style="2410" customWidth="1"/>
    <col min="15371" max="15371" width="19.109375" style="2410" customWidth="1"/>
    <col min="15372" max="15372" width="14.33203125" style="2410" customWidth="1"/>
    <col min="15373" max="15373" width="23.6640625" style="2410" customWidth="1"/>
    <col min="15374" max="15374" width="12.33203125" style="2410" customWidth="1"/>
    <col min="15375" max="15375" width="18.33203125" style="2410" customWidth="1"/>
    <col min="15376" max="15616" width="9.109375" style="2410"/>
    <col min="15617" max="15617" width="36.6640625" style="2410" customWidth="1"/>
    <col min="15618" max="15619" width="23.6640625" style="2410" customWidth="1"/>
    <col min="15620" max="15620" width="34.109375" style="2410" customWidth="1"/>
    <col min="15621" max="15626" width="23.6640625" style="2410" customWidth="1"/>
    <col min="15627" max="15627" width="19.109375" style="2410" customWidth="1"/>
    <col min="15628" max="15628" width="14.33203125" style="2410" customWidth="1"/>
    <col min="15629" max="15629" width="23.6640625" style="2410" customWidth="1"/>
    <col min="15630" max="15630" width="12.33203125" style="2410" customWidth="1"/>
    <col min="15631" max="15631" width="18.33203125" style="2410" customWidth="1"/>
    <col min="15632" max="15872" width="9.109375" style="2410"/>
    <col min="15873" max="15873" width="36.6640625" style="2410" customWidth="1"/>
    <col min="15874" max="15875" width="23.6640625" style="2410" customWidth="1"/>
    <col min="15876" max="15876" width="34.109375" style="2410" customWidth="1"/>
    <col min="15877" max="15882" width="23.6640625" style="2410" customWidth="1"/>
    <col min="15883" max="15883" width="19.109375" style="2410" customWidth="1"/>
    <col min="15884" max="15884" width="14.33203125" style="2410" customWidth="1"/>
    <col min="15885" max="15885" width="23.6640625" style="2410" customWidth="1"/>
    <col min="15886" max="15886" width="12.33203125" style="2410" customWidth="1"/>
    <col min="15887" max="15887" width="18.33203125" style="2410" customWidth="1"/>
    <col min="15888" max="16128" width="9.109375" style="2410"/>
    <col min="16129" max="16129" width="36.6640625" style="2410" customWidth="1"/>
    <col min="16130" max="16131" width="23.6640625" style="2410" customWidth="1"/>
    <col min="16132" max="16132" width="34.109375" style="2410" customWidth="1"/>
    <col min="16133" max="16138" width="23.6640625" style="2410" customWidth="1"/>
    <col min="16139" max="16139" width="19.109375" style="2410" customWidth="1"/>
    <col min="16140" max="16140" width="14.33203125" style="2410" customWidth="1"/>
    <col min="16141" max="16141" width="23.6640625" style="2410" customWidth="1"/>
    <col min="16142" max="16142" width="12.33203125" style="2410" customWidth="1"/>
    <col min="16143" max="16143" width="18.33203125" style="2410" customWidth="1"/>
    <col min="16144" max="16384" width="9.109375" style="2410"/>
  </cols>
  <sheetData>
    <row r="1" spans="1:15" ht="42.75" customHeight="1" x14ac:dyDescent="0.25"/>
    <row r="2" spans="1:15" ht="18" thickBot="1" x14ac:dyDescent="0.35">
      <c r="B2" s="1" t="s">
        <v>861</v>
      </c>
      <c r="C2" s="2296"/>
      <c r="D2" s="2411"/>
      <c r="E2" s="3"/>
    </row>
    <row r="3" spans="1:15" ht="15.6" thickBot="1" x14ac:dyDescent="0.3">
      <c r="B3" s="5" t="s">
        <v>5</v>
      </c>
      <c r="C3" s="171"/>
      <c r="D3" s="6" t="s">
        <v>1049</v>
      </c>
      <c r="E3" s="104">
        <v>18230810</v>
      </c>
    </row>
    <row r="5" spans="1:15" ht="13.8" thickBot="1" x14ac:dyDescent="0.3">
      <c r="A5" s="71"/>
      <c r="D5" s="2411"/>
      <c r="E5" s="107" t="s">
        <v>1286</v>
      </c>
    </row>
    <row r="6" spans="1:15" ht="39.6" x14ac:dyDescent="0.3">
      <c r="A6" s="71"/>
      <c r="B6" s="3881"/>
      <c r="E6" s="108" t="s">
        <v>9</v>
      </c>
      <c r="F6" s="108" t="s">
        <v>10</v>
      </c>
      <c r="G6" s="108" t="s">
        <v>11</v>
      </c>
      <c r="H6" s="109" t="s">
        <v>12</v>
      </c>
      <c r="I6" s="110" t="s">
        <v>13</v>
      </c>
      <c r="J6" s="108" t="s">
        <v>14</v>
      </c>
      <c r="K6" s="108" t="s">
        <v>15</v>
      </c>
      <c r="L6" s="108" t="s">
        <v>16</v>
      </c>
      <c r="M6" s="108" t="s">
        <v>17</v>
      </c>
      <c r="N6" s="111" t="s">
        <v>18</v>
      </c>
      <c r="O6" s="2428" t="s">
        <v>19</v>
      </c>
    </row>
    <row r="7" spans="1:15" s="55" customFormat="1" x14ac:dyDescent="0.25">
      <c r="A7" s="112"/>
      <c r="D7" s="114" t="s">
        <v>20</v>
      </c>
      <c r="E7" s="115"/>
      <c r="F7" s="115"/>
      <c r="G7" s="115"/>
      <c r="H7" s="116"/>
      <c r="I7" s="117"/>
      <c r="J7" s="115"/>
      <c r="K7" s="115"/>
      <c r="L7" s="115"/>
      <c r="M7" s="115"/>
      <c r="N7" s="1408">
        <v>304503</v>
      </c>
      <c r="O7" s="1475" t="s">
        <v>21</v>
      </c>
    </row>
    <row r="8" spans="1:15" s="55" customFormat="1" x14ac:dyDescent="0.25">
      <c r="A8" s="112"/>
      <c r="D8" s="114" t="s">
        <v>22</v>
      </c>
      <c r="E8" s="119">
        <v>213900</v>
      </c>
      <c r="F8" s="119">
        <v>0</v>
      </c>
      <c r="G8" s="119">
        <v>134757</v>
      </c>
      <c r="H8" s="119">
        <v>0</v>
      </c>
      <c r="I8" s="119">
        <v>4200</v>
      </c>
      <c r="J8" s="119">
        <v>50000</v>
      </c>
      <c r="K8" s="119">
        <v>4200</v>
      </c>
      <c r="L8" s="119">
        <v>10200</v>
      </c>
      <c r="M8" s="2606"/>
      <c r="N8" s="2607">
        <v>417257</v>
      </c>
      <c r="O8" s="1476">
        <f>(N8-N7)/N7</f>
        <v>0.37028863426632908</v>
      </c>
    </row>
    <row r="9" spans="1:15" s="55" customFormat="1" x14ac:dyDescent="0.25">
      <c r="A9" s="112"/>
      <c r="D9" s="55">
        <v>2012</v>
      </c>
      <c r="E9" s="1467">
        <f>SUM(B23:B25)</f>
        <v>219000</v>
      </c>
      <c r="F9" s="1467">
        <f>SUM(B29:B31)</f>
        <v>0</v>
      </c>
      <c r="G9" s="1467">
        <f>(SUM(B23:B25)+SUM(B29:B31))*0.63</f>
        <v>137970</v>
      </c>
      <c r="H9" s="1467">
        <f>SUM(B44:B48)+SUM(B52:B57)</f>
        <v>0</v>
      </c>
      <c r="I9" s="1470">
        <f>SUM(B60:B64)</f>
        <v>5000</v>
      </c>
      <c r="J9" s="1467">
        <f>SUM(B68:B73)</f>
        <v>15000</v>
      </c>
      <c r="K9" s="1467">
        <f>SUM(B76:B82)</f>
        <v>0</v>
      </c>
      <c r="L9" s="1467">
        <f>SUM(B85:B90)</f>
        <v>0</v>
      </c>
      <c r="M9" s="1473"/>
      <c r="N9" s="1477">
        <f>SUM(E9:M9)</f>
        <v>376970</v>
      </c>
      <c r="O9" s="1476">
        <f>(N9-N8)/N8</f>
        <v>-9.6552005119147188E-2</v>
      </c>
    </row>
    <row r="10" spans="1:15" s="55" customFormat="1" x14ac:dyDescent="0.25">
      <c r="A10" s="112"/>
      <c r="D10" s="55">
        <v>2013</v>
      </c>
      <c r="E10" s="1467">
        <f>SUM(C23:C25)</f>
        <v>225000</v>
      </c>
      <c r="F10" s="1467">
        <f>SUM(C29:C31)</f>
        <v>0</v>
      </c>
      <c r="G10" s="1467">
        <f>(SUM(C23:C25)+SUM(C29:C31))*0.63</f>
        <v>141750</v>
      </c>
      <c r="H10" s="1467">
        <f>SUM(C44:C48)+SUM(C52:C57)</f>
        <v>0</v>
      </c>
      <c r="I10" s="1470">
        <f>SUM(C60:C64)</f>
        <v>5000</v>
      </c>
      <c r="J10" s="1467">
        <f>SUM(C68:C73)</f>
        <v>15000</v>
      </c>
      <c r="K10" s="1467">
        <f>SUM(C76:C82)</f>
        <v>0</v>
      </c>
      <c r="L10" s="1467">
        <f>SUM(C85:C90)</f>
        <v>0</v>
      </c>
      <c r="M10" s="1473"/>
      <c r="N10" s="1477">
        <f>SUM(E10:M10)</f>
        <v>386750</v>
      </c>
      <c r="O10" s="1476">
        <f>(N10-N9)/N9</f>
        <v>2.5943709048465394E-2</v>
      </c>
    </row>
    <row r="11" spans="1:15" s="19" customFormat="1" ht="13.8" thickBot="1" x14ac:dyDescent="0.3">
      <c r="A11" s="71"/>
      <c r="D11" s="126" t="s">
        <v>23</v>
      </c>
      <c r="E11" s="1469">
        <f>SUM(E9:E10)</f>
        <v>444000</v>
      </c>
      <c r="F11" s="1469">
        <f t="shared" ref="F11:M11" si="0">SUM(F9:F10)</f>
        <v>0</v>
      </c>
      <c r="G11" s="1469">
        <f t="shared" si="0"/>
        <v>279720</v>
      </c>
      <c r="H11" s="1469">
        <f t="shared" si="0"/>
        <v>0</v>
      </c>
      <c r="I11" s="1469">
        <f t="shared" si="0"/>
        <v>10000</v>
      </c>
      <c r="J11" s="1469">
        <f t="shared" si="0"/>
        <v>30000</v>
      </c>
      <c r="K11" s="1469">
        <f t="shared" si="0"/>
        <v>0</v>
      </c>
      <c r="L11" s="1469">
        <f t="shared" si="0"/>
        <v>0</v>
      </c>
      <c r="M11" s="1474">
        <f t="shared" si="0"/>
        <v>0</v>
      </c>
      <c r="N11" s="1478">
        <f>SUM(N9:N10)</f>
        <v>763720</v>
      </c>
    </row>
    <row r="12" spans="1:15" ht="18" customHeight="1" x14ac:dyDescent="0.25">
      <c r="A12" s="71"/>
      <c r="D12" s="2411"/>
      <c r="E12" s="3"/>
      <c r="M12" s="71" t="s">
        <v>24</v>
      </c>
    </row>
    <row r="13" spans="1:15" x14ac:dyDescent="0.25">
      <c r="A13" s="71"/>
      <c r="D13" s="2411"/>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5" customHeight="1" x14ac:dyDescent="0.3">
      <c r="A19" s="71"/>
      <c r="B19" s="2605">
        <v>2012</v>
      </c>
      <c r="C19" s="2605">
        <v>2013</v>
      </c>
      <c r="D19" s="175" t="s">
        <v>31</v>
      </c>
      <c r="E19" s="176" t="s">
        <v>32</v>
      </c>
    </row>
    <row r="20" spans="1:6" ht="17.25" customHeight="1" x14ac:dyDescent="0.25">
      <c r="A20" s="71"/>
      <c r="B20" s="178" t="s">
        <v>9</v>
      </c>
      <c r="C20" s="178" t="s">
        <v>9</v>
      </c>
      <c r="D20" s="141"/>
      <c r="E20" s="142">
        <f>SUM(B23:B25)+SUM(C23:C25)</f>
        <v>444000</v>
      </c>
    </row>
    <row r="21" spans="1:6" ht="7.5" customHeight="1" x14ac:dyDescent="0.25">
      <c r="A21" s="71"/>
      <c r="B21" s="179"/>
      <c r="C21" s="179"/>
      <c r="D21" s="2411"/>
      <c r="E21" s="54"/>
    </row>
    <row r="22" spans="1:6" x14ac:dyDescent="0.25">
      <c r="A22" s="71"/>
      <c r="B22" s="180" t="s">
        <v>33</v>
      </c>
      <c r="C22" s="180" t="s">
        <v>33</v>
      </c>
      <c r="D22" s="146" t="s">
        <v>7</v>
      </c>
      <c r="E22" s="54"/>
      <c r="F22" s="147" t="s">
        <v>7</v>
      </c>
    </row>
    <row r="23" spans="1:6" x14ac:dyDescent="0.25">
      <c r="A23" s="71"/>
      <c r="B23" s="3354">
        <v>219000</v>
      </c>
      <c r="C23" s="3368">
        <v>225000</v>
      </c>
      <c r="D23" s="4526" t="s">
        <v>1050</v>
      </c>
      <c r="E23" s="54"/>
      <c r="F23" s="149"/>
    </row>
    <row r="24" spans="1:6" x14ac:dyDescent="0.25">
      <c r="A24" s="71"/>
      <c r="B24" s="2418"/>
      <c r="C24" s="2418"/>
      <c r="D24" s="2411"/>
      <c r="E24" s="54"/>
    </row>
    <row r="25" spans="1:6" x14ac:dyDescent="0.25">
      <c r="A25" s="71"/>
      <c r="B25" s="2418"/>
      <c r="C25" s="2418"/>
      <c r="D25" s="2411"/>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279720</v>
      </c>
    </row>
    <row r="34" spans="1:6" ht="7.5" customHeight="1" x14ac:dyDescent="0.25">
      <c r="A34" s="71"/>
      <c r="B34" s="179"/>
      <c r="C34" s="179"/>
      <c r="D34" s="2411"/>
      <c r="E34" s="70"/>
    </row>
    <row r="35" spans="1:6" x14ac:dyDescent="0.25">
      <c r="A35" s="1472"/>
      <c r="B35" s="186" t="s">
        <v>38</v>
      </c>
      <c r="C35" s="186" t="s">
        <v>38</v>
      </c>
      <c r="D35" s="146" t="s">
        <v>7</v>
      </c>
      <c r="E35" s="54"/>
      <c r="F35" s="161"/>
    </row>
    <row r="36" spans="1:6" ht="15.75" customHeight="1"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E51" s="75"/>
    </row>
    <row r="52" spans="1:5" x14ac:dyDescent="0.25">
      <c r="A52" s="71"/>
      <c r="B52" s="188"/>
      <c r="C52" s="188"/>
      <c r="E52" s="75"/>
    </row>
    <row r="53" spans="1:5" ht="12.75" customHeight="1"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E56" s="75"/>
    </row>
    <row r="57" spans="1:5" x14ac:dyDescent="0.25">
      <c r="A57" s="71"/>
      <c r="D57" s="2411"/>
      <c r="E57" s="54"/>
    </row>
    <row r="58" spans="1:5" x14ac:dyDescent="0.25">
      <c r="A58" s="71"/>
      <c r="B58" s="178" t="s">
        <v>13</v>
      </c>
      <c r="C58" s="178" t="s">
        <v>13</v>
      </c>
      <c r="D58" s="141"/>
      <c r="E58" s="142">
        <f>SUM(B60:B65)+SUM(C60:C65)</f>
        <v>10000</v>
      </c>
    </row>
    <row r="59" spans="1:5" ht="6.75" customHeight="1" x14ac:dyDescent="0.25">
      <c r="A59" s="71"/>
      <c r="B59" s="179"/>
      <c r="C59" s="179"/>
      <c r="D59" s="2411"/>
      <c r="E59" s="54"/>
    </row>
    <row r="60" spans="1:5" x14ac:dyDescent="0.25">
      <c r="A60" s="71"/>
      <c r="B60" s="2418">
        <v>3000</v>
      </c>
      <c r="C60" s="2418">
        <v>3000</v>
      </c>
      <c r="D60" s="164" t="s">
        <v>72</v>
      </c>
      <c r="E60" s="54"/>
    </row>
    <row r="61" spans="1:5" x14ac:dyDescent="0.25">
      <c r="A61" s="71"/>
      <c r="B61" s="2418" t="s">
        <v>7</v>
      </c>
      <c r="C61" s="2418"/>
      <c r="D61" s="164" t="s">
        <v>42</v>
      </c>
      <c r="E61" s="54"/>
    </row>
    <row r="62" spans="1:5" x14ac:dyDescent="0.25">
      <c r="A62" s="71"/>
      <c r="B62" s="2418">
        <v>1000</v>
      </c>
      <c r="C62" s="2418">
        <v>1000</v>
      </c>
      <c r="D62" s="164" t="s">
        <v>43</v>
      </c>
      <c r="E62" s="54"/>
    </row>
    <row r="63" spans="1:5" x14ac:dyDescent="0.25">
      <c r="A63" s="71"/>
      <c r="B63" s="2418">
        <v>1000</v>
      </c>
      <c r="C63" s="2418">
        <v>1000</v>
      </c>
      <c r="D63" s="164" t="s">
        <v>62</v>
      </c>
      <c r="E63" s="54"/>
    </row>
    <row r="64" spans="1:5" x14ac:dyDescent="0.25">
      <c r="A64" s="71"/>
      <c r="B64" s="2589"/>
      <c r="C64" s="2589"/>
      <c r="D64" s="164" t="s">
        <v>45</v>
      </c>
      <c r="E64" s="54"/>
    </row>
    <row r="65" spans="1:5" x14ac:dyDescent="0.25">
      <c r="A65" s="71"/>
      <c r="B65" s="2589"/>
      <c r="C65" s="2589"/>
      <c r="D65" s="164"/>
      <c r="E65" s="54"/>
    </row>
    <row r="66" spans="1:5" x14ac:dyDescent="0.25">
      <c r="A66" s="71"/>
      <c r="B66" s="178" t="s">
        <v>14</v>
      </c>
      <c r="C66" s="178" t="s">
        <v>14</v>
      </c>
      <c r="D66" s="141"/>
      <c r="E66" s="142">
        <f>SUM(B68:B73)+SUM(C68:C73)</f>
        <v>30000</v>
      </c>
    </row>
    <row r="67" spans="1:5" ht="6" customHeight="1" x14ac:dyDescent="0.25">
      <c r="A67" s="166"/>
      <c r="B67" s="179"/>
      <c r="C67" s="179"/>
      <c r="D67" s="141"/>
      <c r="E67" s="142"/>
    </row>
    <row r="68" spans="1:5" x14ac:dyDescent="0.25">
      <c r="A68" s="71"/>
      <c r="B68" s="2418">
        <v>15000</v>
      </c>
      <c r="C68" s="2418">
        <v>15000</v>
      </c>
      <c r="D68" s="2411" t="s">
        <v>1078</v>
      </c>
      <c r="E68" s="54"/>
    </row>
    <row r="69" spans="1:5" x14ac:dyDescent="0.25">
      <c r="A69" s="71"/>
      <c r="B69" s="2418"/>
      <c r="C69" s="2418"/>
      <c r="D69" s="2411"/>
      <c r="E69" s="54"/>
    </row>
    <row r="70" spans="1:5" x14ac:dyDescent="0.25">
      <c r="A70" s="71"/>
      <c r="B70" s="2418"/>
      <c r="C70" s="2418"/>
      <c r="D70" s="2411"/>
      <c r="E70" s="54"/>
    </row>
    <row r="71" spans="1:5" x14ac:dyDescent="0.25">
      <c r="A71" s="71"/>
      <c r="B71" s="2418"/>
      <c r="C71" s="2418"/>
      <c r="D71" s="2411"/>
      <c r="E71" s="54"/>
    </row>
    <row r="72" spans="1:5" x14ac:dyDescent="0.25">
      <c r="A72" s="71"/>
      <c r="B72" s="2418"/>
      <c r="C72" s="2418"/>
      <c r="D72" s="2411"/>
      <c r="E72" s="54"/>
    </row>
    <row r="73" spans="1:5" x14ac:dyDescent="0.25">
      <c r="A73" s="71"/>
      <c r="B73" s="2418" t="s">
        <v>7</v>
      </c>
      <c r="C73" s="2418"/>
      <c r="D73" s="2411"/>
      <c r="E73" s="54"/>
    </row>
    <row r="74" spans="1:5" x14ac:dyDescent="0.25">
      <c r="A74" s="71"/>
      <c r="B74" s="178" t="s">
        <v>15</v>
      </c>
      <c r="C74" s="178" t="s">
        <v>15</v>
      </c>
      <c r="D74" s="141"/>
      <c r="E74" s="142">
        <f>SUM(B76:B82)+SUM(C76:C82)</f>
        <v>0</v>
      </c>
    </row>
    <row r="75" spans="1:5" ht="6.75" customHeight="1" x14ac:dyDescent="0.25">
      <c r="A75" s="71"/>
      <c r="B75" s="184"/>
      <c r="C75" s="184"/>
      <c r="D75" s="2411"/>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D81" s="153"/>
      <c r="E81" s="54"/>
    </row>
    <row r="82" spans="1:5" x14ac:dyDescent="0.25">
      <c r="A82" s="71"/>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D90" s="2411"/>
      <c r="E90" s="54"/>
    </row>
    <row r="91" spans="1:5" ht="26.4" x14ac:dyDescent="0.25">
      <c r="A91" s="71"/>
      <c r="B91" s="178" t="s">
        <v>17</v>
      </c>
      <c r="C91" s="178" t="s">
        <v>17</v>
      </c>
      <c r="D91" s="2411"/>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D94" s="2411"/>
      <c r="E94" s="3"/>
    </row>
    <row r="95" spans="1:5" x14ac:dyDescent="0.25">
      <c r="A95" s="71"/>
      <c r="B95" s="88" t="s">
        <v>56</v>
      </c>
      <c r="D95" s="2411"/>
      <c r="E95" s="3"/>
    </row>
    <row r="96" spans="1:5" x14ac:dyDescent="0.25">
      <c r="A96" s="71"/>
      <c r="B96" s="88" t="s">
        <v>57</v>
      </c>
      <c r="D96" s="2411"/>
      <c r="E96" s="3"/>
    </row>
  </sheetData>
  <customSheetViews>
    <customSheetView guid="{074EB09C-6289-46D7-9513-012B68BCA7BF}" showPageBreaks="1">
      <selection activeCell="P42" sqref="P42"/>
      <pageMargins left="0.7" right="0.7" top="0.75" bottom="0.75" header="0.3" footer="0.3"/>
      <pageSetup orientation="portrait" r:id="rId1"/>
    </customSheetView>
  </customSheetViews>
  <mergeCells count="3">
    <mergeCell ref="B17:C17"/>
    <mergeCell ref="B18:C18"/>
    <mergeCell ref="B14:E14"/>
  </mergeCells>
  <pageMargins left="0.18" right="0.7" top="0.34" bottom="0.42" header="0.3" footer="0.3"/>
  <pageSetup paperSize="17" scale="55" orientation="landscape"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F16" sqref="F16"/>
    </sheetView>
  </sheetViews>
  <sheetFormatPr defaultRowHeight="13.2" x14ac:dyDescent="0.25"/>
  <cols>
    <col min="1" max="1" width="16.6640625" customWidth="1"/>
    <col min="2" max="3" width="21.88671875" customWidth="1"/>
    <col min="4" max="4" width="24" customWidth="1"/>
    <col min="5" max="7" width="23.6640625" customWidth="1"/>
    <col min="8" max="8" width="19.5546875" customWidth="1"/>
    <col min="9" max="9" width="17.109375" customWidth="1"/>
    <col min="10" max="11" width="23.6640625" customWidth="1"/>
    <col min="12" max="12" width="19" customWidth="1"/>
    <col min="13" max="13" width="23.6640625" customWidth="1"/>
    <col min="14" max="14" width="18.88671875" customWidth="1"/>
    <col min="15" max="15" width="15.44140625" customWidth="1"/>
  </cols>
  <sheetData>
    <row r="1" spans="1:15" ht="39.75" customHeight="1" x14ac:dyDescent="0.25"/>
    <row r="2" spans="1:15" ht="18" thickBot="1" x14ac:dyDescent="0.35">
      <c r="B2" s="1" t="s">
        <v>117</v>
      </c>
      <c r="C2" s="170"/>
      <c r="D2" s="2"/>
      <c r="E2" s="3"/>
    </row>
    <row r="3" spans="1:15" ht="15.6" thickBot="1" x14ac:dyDescent="0.3">
      <c r="B3" s="5" t="s">
        <v>118</v>
      </c>
      <c r="C3" s="171"/>
      <c r="D3" s="6" t="s">
        <v>78</v>
      </c>
      <c r="E3" s="104">
        <v>18230703</v>
      </c>
    </row>
    <row r="5" spans="1:15" ht="13.8" thickBot="1" x14ac:dyDescent="0.3">
      <c r="A5" s="71"/>
      <c r="D5" s="2"/>
      <c r="E5" s="107" t="s">
        <v>1286</v>
      </c>
    </row>
    <row r="6" spans="1:15" ht="39.6" x14ac:dyDescent="0.3">
      <c r="B6" s="837"/>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105000</v>
      </c>
      <c r="O7" s="26" t="s">
        <v>21</v>
      </c>
    </row>
    <row r="8" spans="1:15" s="55" customFormat="1" x14ac:dyDescent="0.25">
      <c r="A8" s="112"/>
      <c r="D8" s="114" t="s">
        <v>22</v>
      </c>
      <c r="E8" s="28">
        <v>28200</v>
      </c>
      <c r="F8" s="28">
        <v>0</v>
      </c>
      <c r="G8" s="28">
        <v>17766</v>
      </c>
      <c r="H8" s="28">
        <v>0</v>
      </c>
      <c r="I8" s="28">
        <v>400</v>
      </c>
      <c r="J8" s="28">
        <v>32000</v>
      </c>
      <c r="K8" s="28">
        <v>400</v>
      </c>
      <c r="L8" s="28">
        <v>0</v>
      </c>
      <c r="M8" s="172">
        <v>0</v>
      </c>
      <c r="N8" s="89">
        <v>78766</v>
      </c>
      <c r="O8" s="30">
        <f>(N8-N7)/N7</f>
        <v>-0.24984761904761904</v>
      </c>
    </row>
    <row r="9" spans="1:15" s="55" customFormat="1" x14ac:dyDescent="0.25">
      <c r="A9" s="112"/>
      <c r="D9" s="55">
        <v>2012</v>
      </c>
      <c r="E9" s="121">
        <f>SUM(B23:B25)</f>
        <v>16706</v>
      </c>
      <c r="F9" s="121">
        <f>SUM(B29:B31)</f>
        <v>0</v>
      </c>
      <c r="G9" s="121">
        <f>(SUM(B23:B25)+SUM(B29:B31))*0.63</f>
        <v>10524.78</v>
      </c>
      <c r="H9" s="121">
        <f>SUM(B44:B48)+SUM(B52:B57)</f>
        <v>0</v>
      </c>
      <c r="I9" s="122">
        <f>SUM(B60:B64)</f>
        <v>325</v>
      </c>
      <c r="J9" s="121">
        <f>SUM(B68:B73)</f>
        <v>35750</v>
      </c>
      <c r="K9" s="121">
        <f>SUM(B76:B82)</f>
        <v>0</v>
      </c>
      <c r="L9" s="121">
        <f>SUM(B85:B90)</f>
        <v>0</v>
      </c>
      <c r="M9" s="123"/>
      <c r="N9" s="124">
        <f>SUM(E9:M9)</f>
        <v>63305.78</v>
      </c>
      <c r="O9" s="30">
        <f>(N9-N8)/N8</f>
        <v>-0.19628037478099689</v>
      </c>
    </row>
    <row r="10" spans="1:15" s="55" customFormat="1" x14ac:dyDescent="0.25">
      <c r="A10" s="112"/>
      <c r="D10" s="55">
        <v>2013</v>
      </c>
      <c r="E10" s="121">
        <f>SUM(C23:C25)</f>
        <v>17207</v>
      </c>
      <c r="F10" s="121">
        <f>SUM(C29:C31)</f>
        <v>0</v>
      </c>
      <c r="G10" s="121">
        <f>(SUM(C23:C25)+SUM(C29:C31))*0.63</f>
        <v>10840.41</v>
      </c>
      <c r="H10" s="121">
        <f>SUM(C44:C48)+SUM(C52:C57)</f>
        <v>0</v>
      </c>
      <c r="I10" s="122">
        <f>SUM(C60:C64)</f>
        <v>325</v>
      </c>
      <c r="J10" s="121">
        <f>SUM(C68:C73)</f>
        <v>8450</v>
      </c>
      <c r="K10" s="121">
        <f>SUM(C76:C82)</f>
        <v>0</v>
      </c>
      <c r="L10" s="121">
        <f>SUM(C85:C90)</f>
        <v>0</v>
      </c>
      <c r="M10" s="123"/>
      <c r="N10" s="124">
        <f>SUM(E10:M10)</f>
        <v>36822.410000000003</v>
      </c>
      <c r="O10" s="30">
        <f>(N10-N9)/N9</f>
        <v>-0.41834047380823669</v>
      </c>
    </row>
    <row r="11" spans="1:15" s="19" customFormat="1" ht="13.8" thickBot="1" x14ac:dyDescent="0.3">
      <c r="A11" s="71"/>
      <c r="D11" s="126" t="s">
        <v>23</v>
      </c>
      <c r="E11" s="127">
        <f>SUM(E9:E10)</f>
        <v>33913</v>
      </c>
      <c r="F11" s="127">
        <f t="shared" ref="F11:M11" si="0">SUM(F9:F10)</f>
        <v>0</v>
      </c>
      <c r="G11" s="127">
        <f t="shared" si="0"/>
        <v>21365.190000000002</v>
      </c>
      <c r="H11" s="127">
        <f t="shared" si="0"/>
        <v>0</v>
      </c>
      <c r="I11" s="127">
        <f t="shared" si="0"/>
        <v>650</v>
      </c>
      <c r="J11" s="127">
        <f t="shared" si="0"/>
        <v>44200</v>
      </c>
      <c r="K11" s="127">
        <f t="shared" si="0"/>
        <v>0</v>
      </c>
      <c r="L11" s="127">
        <f t="shared" si="0"/>
        <v>0</v>
      </c>
      <c r="M11" s="128">
        <f t="shared" si="0"/>
        <v>0</v>
      </c>
      <c r="N11" s="129">
        <f>SUM(N9:N10)</f>
        <v>100128.19</v>
      </c>
    </row>
    <row r="12" spans="1:15" ht="18" customHeight="1" x14ac:dyDescent="0.25">
      <c r="A12" s="71"/>
      <c r="D12" s="2"/>
      <c r="E12" s="3"/>
      <c r="M12" s="71" t="s">
        <v>24</v>
      </c>
    </row>
    <row r="13" spans="1:15" x14ac:dyDescent="0.25">
      <c r="A13" s="71"/>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33913</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181">
        <v>16706</v>
      </c>
      <c r="C23" s="182">
        <v>17207</v>
      </c>
      <c r="D23" s="4526" t="s">
        <v>86</v>
      </c>
      <c r="E23" s="54"/>
      <c r="F23" s="149"/>
    </row>
    <row r="24" spans="1:6" x14ac:dyDescent="0.25">
      <c r="A24" s="71"/>
      <c r="B24" s="183"/>
      <c r="C24" s="183"/>
      <c r="D24" s="2"/>
      <c r="E24" s="54"/>
    </row>
    <row r="25" spans="1:6" x14ac:dyDescent="0.25">
      <c r="A25" s="71"/>
      <c r="B25" s="183"/>
      <c r="C25" s="183"/>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21365.19</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E51" s="75"/>
    </row>
    <row r="52" spans="1:5" x14ac:dyDescent="0.25">
      <c r="A52" s="71"/>
      <c r="B52" s="188"/>
      <c r="C52" s="188"/>
      <c r="E52" s="75"/>
    </row>
    <row r="53" spans="1:5" ht="12.75" customHeight="1"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E56" s="75"/>
    </row>
    <row r="57" spans="1:5" x14ac:dyDescent="0.25">
      <c r="A57" s="71"/>
      <c r="D57" s="2"/>
      <c r="E57" s="54"/>
    </row>
    <row r="58" spans="1:5" x14ac:dyDescent="0.25">
      <c r="A58" s="71"/>
      <c r="B58" s="178" t="s">
        <v>13</v>
      </c>
      <c r="C58" s="178" t="s">
        <v>13</v>
      </c>
      <c r="D58" s="141"/>
      <c r="E58" s="142">
        <f>SUM(B60:B65)+SUM(C60:C65)</f>
        <v>650</v>
      </c>
    </row>
    <row r="59" spans="1:5" ht="6.75" customHeight="1" x14ac:dyDescent="0.25">
      <c r="A59" s="71"/>
      <c r="B59" s="179"/>
      <c r="C59" s="179"/>
      <c r="D59" s="2"/>
      <c r="E59" s="54"/>
    </row>
    <row r="60" spans="1:5" x14ac:dyDescent="0.25">
      <c r="A60" s="71"/>
      <c r="B60" s="86">
        <v>175</v>
      </c>
      <c r="C60" s="86">
        <v>175</v>
      </c>
      <c r="D60" s="164" t="s">
        <v>72</v>
      </c>
      <c r="E60" s="54"/>
    </row>
    <row r="61" spans="1:5" x14ac:dyDescent="0.25">
      <c r="A61" s="71"/>
      <c r="B61" s="86">
        <v>150</v>
      </c>
      <c r="C61" s="86">
        <v>150</v>
      </c>
      <c r="D61" s="164" t="s">
        <v>42</v>
      </c>
      <c r="E61" s="54"/>
    </row>
    <row r="62" spans="1:5" x14ac:dyDescent="0.25">
      <c r="A62" s="71"/>
      <c r="B62" s="86"/>
      <c r="C62" s="86"/>
      <c r="D62" s="164" t="s">
        <v>43</v>
      </c>
      <c r="E62" s="54"/>
    </row>
    <row r="63" spans="1:5" x14ac:dyDescent="0.25">
      <c r="A63" s="71"/>
      <c r="B63" s="86"/>
      <c r="C63" s="86"/>
      <c r="D63" s="164" t="s">
        <v>62</v>
      </c>
      <c r="E63" s="54"/>
    </row>
    <row r="64" spans="1:5" x14ac:dyDescent="0.25">
      <c r="A64" s="71"/>
      <c r="B64" s="189"/>
      <c r="C64" s="189"/>
      <c r="D64" s="164" t="s">
        <v>45</v>
      </c>
      <c r="E64" s="54"/>
    </row>
    <row r="65" spans="1:5" x14ac:dyDescent="0.25">
      <c r="A65" s="71"/>
      <c r="B65" s="189"/>
      <c r="C65" s="189"/>
      <c r="D65" s="164"/>
      <c r="E65" s="54"/>
    </row>
    <row r="66" spans="1:5" x14ac:dyDescent="0.25">
      <c r="A66" s="71"/>
      <c r="B66" s="178" t="s">
        <v>14</v>
      </c>
      <c r="C66" s="178" t="s">
        <v>14</v>
      </c>
      <c r="D66" s="141"/>
      <c r="E66" s="142">
        <f>SUM(B68:B73)+SUM(C68:C73)</f>
        <v>44200</v>
      </c>
    </row>
    <row r="67" spans="1:5" ht="6" customHeight="1" x14ac:dyDescent="0.25">
      <c r="A67" s="166"/>
      <c r="B67" s="179"/>
      <c r="C67" s="179"/>
      <c r="D67" s="2"/>
      <c r="E67" s="54"/>
    </row>
    <row r="68" spans="1:5" ht="26.4" x14ac:dyDescent="0.25">
      <c r="A68" s="71"/>
      <c r="B68" s="86">
        <v>35750</v>
      </c>
      <c r="C68" s="86">
        <v>8450</v>
      </c>
      <c r="D68" s="2" t="s">
        <v>87</v>
      </c>
      <c r="E68" s="54"/>
    </row>
    <row r="69" spans="1:5" x14ac:dyDescent="0.25">
      <c r="A69" s="71"/>
      <c r="B69" s="86"/>
      <c r="C69" s="86"/>
      <c r="D69" s="2"/>
      <c r="E69" s="54"/>
    </row>
    <row r="70" spans="1:5" x14ac:dyDescent="0.25">
      <c r="A70" s="71"/>
      <c r="B70" s="86"/>
      <c r="C70" s="86"/>
      <c r="D70" s="2"/>
      <c r="E70" s="54"/>
    </row>
    <row r="71" spans="1:5" x14ac:dyDescent="0.25">
      <c r="A71" s="71"/>
      <c r="B71" s="86"/>
      <c r="C71" s="86"/>
      <c r="D71" s="2"/>
      <c r="E71" s="54"/>
    </row>
    <row r="72" spans="1:5" x14ac:dyDescent="0.25">
      <c r="A72" s="71"/>
      <c r="B72" s="86"/>
      <c r="C72" s="86"/>
      <c r="D72" s="2"/>
      <c r="E72" s="54"/>
    </row>
    <row r="73" spans="1:5" x14ac:dyDescent="0.25">
      <c r="A73" s="71"/>
      <c r="B73" s="86" t="s">
        <v>7</v>
      </c>
      <c r="C73" s="86"/>
      <c r="D73" s="2"/>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D81" s="153"/>
      <c r="E81" s="54"/>
    </row>
    <row r="82" spans="1:5" x14ac:dyDescent="0.25">
      <c r="A82" s="71"/>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D94" s="2"/>
      <c r="E94" s="3"/>
    </row>
    <row r="95" spans="1:5" x14ac:dyDescent="0.25">
      <c r="A95" s="71"/>
      <c r="B95" s="88" t="s">
        <v>56</v>
      </c>
      <c r="D95" s="2"/>
      <c r="E95" s="3"/>
    </row>
    <row r="96" spans="1:5" x14ac:dyDescent="0.25">
      <c r="A96" s="71"/>
      <c r="B96" s="88" t="s">
        <v>57</v>
      </c>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4" right="0.7" top="0.38" bottom="0.37" header="0.3" footer="0.3"/>
  <pageSetup paperSize="17" scale="55" orientation="landscape"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5"/>
  <sheetViews>
    <sheetView workbookViewId="0">
      <pane xSplit="1" ySplit="1" topLeftCell="B2" activePane="bottomRight" state="frozen"/>
      <selection pane="topRight" activeCell="B1" sqref="B1"/>
      <selection pane="bottomLeft" activeCell="A2" sqref="A2"/>
      <selection pane="bottomRight" activeCell="C19" sqref="C19"/>
    </sheetView>
  </sheetViews>
  <sheetFormatPr defaultRowHeight="13.2" x14ac:dyDescent="0.25"/>
  <cols>
    <col min="1" max="1" width="16" customWidth="1"/>
    <col min="2" max="3" width="23.6640625" customWidth="1"/>
    <col min="4" max="4" width="23" customWidth="1"/>
    <col min="5" max="5" width="19.88671875" customWidth="1"/>
    <col min="6" max="6" width="21" customWidth="1"/>
    <col min="7" max="7" width="23.6640625" customWidth="1"/>
    <col min="8" max="8" width="20.44140625" customWidth="1"/>
    <col min="9" max="9" width="17.6640625" customWidth="1"/>
    <col min="10" max="11" width="23.6640625" customWidth="1"/>
    <col min="12" max="12" width="18.6640625" customWidth="1"/>
    <col min="13" max="13" width="23.6640625" customWidth="1"/>
    <col min="14" max="14" width="14.109375" customWidth="1"/>
    <col min="15" max="15" width="20" customWidth="1"/>
  </cols>
  <sheetData>
    <row r="1" spans="1:15" ht="44.25" customHeight="1" x14ac:dyDescent="0.25"/>
    <row r="3" spans="1:15" ht="18" thickBot="1" x14ac:dyDescent="0.35">
      <c r="B3" s="1" t="s">
        <v>120</v>
      </c>
      <c r="C3" s="170"/>
      <c r="D3" s="2"/>
      <c r="E3" s="3"/>
    </row>
    <row r="4" spans="1:15" ht="15.6" thickBot="1" x14ac:dyDescent="0.3">
      <c r="B4" s="5" t="s">
        <v>118</v>
      </c>
      <c r="C4" s="171"/>
      <c r="D4" s="6" t="s">
        <v>78</v>
      </c>
      <c r="E4" s="104">
        <v>18230670</v>
      </c>
    </row>
    <row r="5" spans="1:15" ht="15" x14ac:dyDescent="0.25">
      <c r="B5" s="5"/>
      <c r="C5" s="171"/>
      <c r="D5" s="6"/>
      <c r="E5" s="197"/>
    </row>
    <row r="6" spans="1:15" ht="13.8" thickBot="1" x14ac:dyDescent="0.3">
      <c r="A6" s="71"/>
      <c r="D6" s="2"/>
      <c r="E6" s="107" t="s">
        <v>1286</v>
      </c>
    </row>
    <row r="7" spans="1:15" ht="39.6" x14ac:dyDescent="0.3">
      <c r="B7" s="3882"/>
      <c r="E7" s="108" t="s">
        <v>9</v>
      </c>
      <c r="F7" s="108" t="s">
        <v>10</v>
      </c>
      <c r="G7" s="108" t="s">
        <v>11</v>
      </c>
      <c r="H7" s="109" t="s">
        <v>12</v>
      </c>
      <c r="I7" s="110" t="s">
        <v>13</v>
      </c>
      <c r="J7" s="108" t="s">
        <v>14</v>
      </c>
      <c r="K7" s="108" t="s">
        <v>15</v>
      </c>
      <c r="L7" s="108" t="s">
        <v>16</v>
      </c>
      <c r="M7" s="108" t="s">
        <v>17</v>
      </c>
      <c r="N7" s="111" t="s">
        <v>18</v>
      </c>
      <c r="O7" s="18" t="s">
        <v>19</v>
      </c>
    </row>
    <row r="8" spans="1:15" s="55" customFormat="1" x14ac:dyDescent="0.25">
      <c r="A8" s="112"/>
      <c r="D8" s="114" t="s">
        <v>20</v>
      </c>
      <c r="E8" s="115"/>
      <c r="F8" s="115"/>
      <c r="G8" s="115"/>
      <c r="H8" s="116"/>
      <c r="I8" s="117"/>
      <c r="J8" s="115"/>
      <c r="K8" s="115"/>
      <c r="L8" s="115"/>
      <c r="M8" s="115"/>
      <c r="N8" s="118">
        <v>189654</v>
      </c>
      <c r="O8" s="26" t="s">
        <v>21</v>
      </c>
    </row>
    <row r="9" spans="1:15" s="55" customFormat="1" x14ac:dyDescent="0.25">
      <c r="A9" s="112"/>
      <c r="D9" s="114" t="s">
        <v>22</v>
      </c>
      <c r="E9" s="28">
        <v>65800</v>
      </c>
      <c r="F9" s="28">
        <v>0</v>
      </c>
      <c r="G9" s="28">
        <v>41454</v>
      </c>
      <c r="H9" s="28">
        <v>0</v>
      </c>
      <c r="I9" s="28">
        <v>800</v>
      </c>
      <c r="J9" s="28">
        <v>127000</v>
      </c>
      <c r="K9" s="28">
        <v>800</v>
      </c>
      <c r="L9" s="28">
        <v>400</v>
      </c>
      <c r="M9" s="172">
        <v>0</v>
      </c>
      <c r="N9" s="89">
        <v>236254</v>
      </c>
      <c r="O9" s="30">
        <f>(N9-N8)/N8</f>
        <v>0.24571060984740634</v>
      </c>
    </row>
    <row r="10" spans="1:15" s="55" customFormat="1" x14ac:dyDescent="0.25">
      <c r="A10" s="112"/>
      <c r="D10" s="55">
        <v>2012</v>
      </c>
      <c r="E10" s="121">
        <f>SUM(B24:B26)</f>
        <v>21265</v>
      </c>
      <c r="F10" s="121">
        <f>SUM(B30:B32)</f>
        <v>0</v>
      </c>
      <c r="G10" s="121">
        <f>(SUM(B24:B26)+SUM(B30:B32))*0.63</f>
        <v>13396.95</v>
      </c>
      <c r="H10" s="121">
        <f>SUM(B45:B49)+SUM(B53:B58)</f>
        <v>0</v>
      </c>
      <c r="I10" s="122">
        <f>SUM(B61:B65)</f>
        <v>455</v>
      </c>
      <c r="J10" s="121">
        <f>SUM(B69:B72)</f>
        <v>16900</v>
      </c>
      <c r="K10" s="121">
        <f>SUM(B75:B81)</f>
        <v>195</v>
      </c>
      <c r="L10" s="121">
        <f>SUM(B84:B89)</f>
        <v>130</v>
      </c>
      <c r="M10" s="123"/>
      <c r="N10" s="124">
        <f>SUM(E10:M10)</f>
        <v>52341.95</v>
      </c>
      <c r="O10" s="30">
        <f>(N10-N9)/N9</f>
        <v>-0.77845052358901856</v>
      </c>
    </row>
    <row r="11" spans="1:15" s="55" customFormat="1" x14ac:dyDescent="0.25">
      <c r="A11" s="112"/>
      <c r="D11" s="55">
        <v>2013</v>
      </c>
      <c r="E11" s="121">
        <f>SUM(C24:C26)</f>
        <v>21903</v>
      </c>
      <c r="F11" s="121">
        <f>SUM(C30:C32)</f>
        <v>0</v>
      </c>
      <c r="G11" s="121">
        <f>(SUM(C24:C26)+SUM(C30:C32))*0.63</f>
        <v>13798.89</v>
      </c>
      <c r="H11" s="121">
        <f>SUM(C45:C49)+SUM(C53:C58)</f>
        <v>0</v>
      </c>
      <c r="I11" s="122">
        <f>SUM(C61:C65)</f>
        <v>455</v>
      </c>
      <c r="J11" s="121">
        <f>SUM(C69:C72)</f>
        <v>0</v>
      </c>
      <c r="K11" s="121">
        <f>SUM(C75:C81)</f>
        <v>195</v>
      </c>
      <c r="L11" s="121">
        <f>SUM(C84:C89)</f>
        <v>130</v>
      </c>
      <c r="M11" s="123"/>
      <c r="N11" s="124">
        <f>SUM(E11:M11)</f>
        <v>36481.89</v>
      </c>
      <c r="O11" s="30">
        <f>(N11-N10)/N10</f>
        <v>-0.30300858107120576</v>
      </c>
    </row>
    <row r="12" spans="1:15" s="19" customFormat="1" ht="13.8" thickBot="1" x14ac:dyDescent="0.3">
      <c r="A12" s="71"/>
      <c r="D12" s="126" t="s">
        <v>23</v>
      </c>
      <c r="E12" s="127">
        <f>SUM(E10:E11)</f>
        <v>43168</v>
      </c>
      <c r="F12" s="127">
        <f t="shared" ref="F12:M12" si="0">SUM(F10:F11)</f>
        <v>0</v>
      </c>
      <c r="G12" s="127">
        <f t="shared" si="0"/>
        <v>27195.84</v>
      </c>
      <c r="H12" s="127">
        <f t="shared" si="0"/>
        <v>0</v>
      </c>
      <c r="I12" s="127">
        <f t="shared" si="0"/>
        <v>910</v>
      </c>
      <c r="J12" s="127">
        <f t="shared" si="0"/>
        <v>16900</v>
      </c>
      <c r="K12" s="127">
        <f t="shared" si="0"/>
        <v>390</v>
      </c>
      <c r="L12" s="127">
        <f t="shared" si="0"/>
        <v>260</v>
      </c>
      <c r="M12" s="128">
        <f t="shared" si="0"/>
        <v>0</v>
      </c>
      <c r="N12" s="129">
        <f>SUM(N10:N11)</f>
        <v>88823.84</v>
      </c>
    </row>
    <row r="13" spans="1:15" ht="18" customHeight="1" x14ac:dyDescent="0.25">
      <c r="A13" s="71"/>
      <c r="D13" s="2"/>
      <c r="E13" s="3"/>
      <c r="M13" s="71" t="s">
        <v>24</v>
      </c>
    </row>
    <row r="14" spans="1:15" x14ac:dyDescent="0.25">
      <c r="A14" s="71"/>
      <c r="D14" s="2"/>
      <c r="E14" s="3"/>
      <c r="M14" s="71" t="s">
        <v>25</v>
      </c>
    </row>
    <row r="15" spans="1:15" ht="15.6" x14ac:dyDescent="0.3">
      <c r="A15" s="71"/>
      <c r="B15" s="4806" t="s">
        <v>26</v>
      </c>
      <c r="C15" s="4807"/>
      <c r="D15" s="4807"/>
      <c r="E15" s="4808"/>
    </row>
    <row r="16" spans="1:15" s="55" customFormat="1" ht="15.6" x14ac:dyDescent="0.3">
      <c r="A16" s="112"/>
      <c r="B16" s="173"/>
      <c r="C16" s="132"/>
      <c r="D16" s="132"/>
      <c r="E16" s="132"/>
      <c r="F16" s="132"/>
      <c r="G16" s="132"/>
    </row>
    <row r="17" spans="1:7" s="55" customFormat="1" ht="15.6" x14ac:dyDescent="0.3">
      <c r="A17" s="112"/>
      <c r="B17" s="132"/>
      <c r="C17" s="132"/>
      <c r="D17" s="132"/>
      <c r="E17" s="132"/>
      <c r="F17" s="132"/>
      <c r="G17" s="132"/>
    </row>
    <row r="18" spans="1:7" ht="15.6" x14ac:dyDescent="0.3">
      <c r="A18" s="71"/>
      <c r="B18" s="174" t="s">
        <v>27</v>
      </c>
      <c r="D18" s="45" t="s">
        <v>28</v>
      </c>
      <c r="E18" s="46" t="s">
        <v>29</v>
      </c>
    </row>
    <row r="19" spans="1:7" ht="27" x14ac:dyDescent="0.3">
      <c r="A19" s="71"/>
      <c r="B19" s="133" t="s">
        <v>30</v>
      </c>
      <c r="D19" s="45"/>
      <c r="E19" s="46"/>
    </row>
    <row r="20" spans="1:7" ht="46.8" x14ac:dyDescent="0.3">
      <c r="A20" s="71"/>
      <c r="B20" s="174">
        <v>2012</v>
      </c>
      <c r="C20" s="174">
        <v>2013</v>
      </c>
      <c r="D20" s="71" t="s">
        <v>89</v>
      </c>
      <c r="E20" s="134" t="s">
        <v>32</v>
      </c>
    </row>
    <row r="21" spans="1:7" x14ac:dyDescent="0.25">
      <c r="A21" s="71"/>
      <c r="B21" s="178" t="s">
        <v>9</v>
      </c>
      <c r="C21" s="178" t="s">
        <v>9</v>
      </c>
      <c r="D21" s="141"/>
      <c r="E21" s="142">
        <f>SUM(B24:B26)+SUM(C24:C26)</f>
        <v>43168</v>
      </c>
    </row>
    <row r="22" spans="1:7" x14ac:dyDescent="0.25">
      <c r="A22" s="71"/>
      <c r="B22" s="179"/>
      <c r="C22" s="179"/>
      <c r="D22" s="2"/>
      <c r="E22" s="54"/>
    </row>
    <row r="23" spans="1:7" x14ac:dyDescent="0.25">
      <c r="A23" s="71"/>
      <c r="B23" s="180" t="s">
        <v>33</v>
      </c>
      <c r="C23" s="180" t="s">
        <v>33</v>
      </c>
      <c r="D23" s="146" t="s">
        <v>7</v>
      </c>
      <c r="E23" s="54"/>
      <c r="F23" s="147" t="s">
        <v>7</v>
      </c>
    </row>
    <row r="24" spans="1:7" x14ac:dyDescent="0.25">
      <c r="A24" s="71"/>
      <c r="B24" s="181">
        <v>21265</v>
      </c>
      <c r="C24" s="182">
        <v>21903</v>
      </c>
      <c r="D24" s="3" t="s">
        <v>106</v>
      </c>
      <c r="E24" s="54"/>
      <c r="F24" s="149"/>
    </row>
    <row r="25" spans="1:7" x14ac:dyDescent="0.25">
      <c r="A25" s="71"/>
      <c r="B25" s="183"/>
      <c r="C25" s="183"/>
      <c r="D25" s="2"/>
      <c r="E25" s="54"/>
    </row>
    <row r="26" spans="1:7" x14ac:dyDescent="0.25">
      <c r="A26" s="71"/>
      <c r="B26" s="183"/>
      <c r="C26" s="183"/>
      <c r="D26" s="2"/>
      <c r="E26" s="54"/>
    </row>
    <row r="27" spans="1:7" s="55" customFormat="1" x14ac:dyDescent="0.25">
      <c r="A27" s="112"/>
      <c r="B27" s="178" t="s">
        <v>10</v>
      </c>
      <c r="C27" s="178" t="s">
        <v>10</v>
      </c>
      <c r="D27" s="141"/>
      <c r="E27" s="142">
        <f>SUM(B30:B33)+SUM(C30:C33)</f>
        <v>0</v>
      </c>
    </row>
    <row r="28" spans="1:7" x14ac:dyDescent="0.25">
      <c r="A28" s="71"/>
      <c r="B28" s="184"/>
      <c r="C28" s="184"/>
      <c r="D28" s="155"/>
      <c r="E28" s="54"/>
    </row>
    <row r="29" spans="1:7" s="55" customFormat="1" x14ac:dyDescent="0.25">
      <c r="A29" s="112"/>
      <c r="B29" s="180" t="s">
        <v>33</v>
      </c>
      <c r="C29" s="180" t="s">
        <v>33</v>
      </c>
      <c r="D29" s="155"/>
      <c r="E29" s="54"/>
    </row>
    <row r="30" spans="1:7" x14ac:dyDescent="0.25">
      <c r="A30" s="71"/>
      <c r="B30" s="88"/>
      <c r="C30" s="185"/>
      <c r="D30" s="153"/>
      <c r="E30" s="54"/>
    </row>
    <row r="31" spans="1:7" x14ac:dyDescent="0.25">
      <c r="A31" s="71"/>
      <c r="B31" s="185"/>
      <c r="C31" s="185"/>
      <c r="D31" s="153"/>
      <c r="E31" s="54"/>
    </row>
    <row r="32" spans="1:7" x14ac:dyDescent="0.25">
      <c r="A32" s="71"/>
      <c r="B32" s="19"/>
      <c r="C32" s="19"/>
      <c r="D32" s="153"/>
      <c r="E32" s="54"/>
    </row>
    <row r="33" spans="1:6" x14ac:dyDescent="0.25">
      <c r="A33" s="71"/>
      <c r="B33" s="19"/>
      <c r="C33" s="19"/>
      <c r="D33" s="153"/>
      <c r="E33" s="54"/>
    </row>
    <row r="34" spans="1:6" x14ac:dyDescent="0.25">
      <c r="A34" s="71"/>
      <c r="B34" s="178" t="s">
        <v>11</v>
      </c>
      <c r="C34" s="178" t="s">
        <v>11</v>
      </c>
      <c r="D34" s="141"/>
      <c r="E34" s="142">
        <f>E21*0.63</f>
        <v>27195.84</v>
      </c>
    </row>
    <row r="35" spans="1:6" x14ac:dyDescent="0.25">
      <c r="A35" s="71"/>
      <c r="B35" s="179"/>
      <c r="C35" s="179"/>
      <c r="D35" s="2"/>
      <c r="E35" s="70"/>
    </row>
    <row r="36" spans="1:6" x14ac:dyDescent="0.25">
      <c r="A36" s="191"/>
      <c r="B36" s="186" t="s">
        <v>38</v>
      </c>
      <c r="C36" s="186" t="s">
        <v>38</v>
      </c>
      <c r="D36" s="146" t="s">
        <v>7</v>
      </c>
      <c r="E36" s="54"/>
      <c r="F36" s="161"/>
    </row>
    <row r="37" spans="1:6" x14ac:dyDescent="0.25">
      <c r="A37" s="71"/>
      <c r="B37" s="19"/>
      <c r="C37" s="19"/>
      <c r="D37" s="153" t="s">
        <v>7</v>
      </c>
      <c r="E37" s="54"/>
    </row>
    <row r="38" spans="1:6" s="55" customFormat="1" x14ac:dyDescent="0.25">
      <c r="A38" s="112"/>
      <c r="B38" s="178" t="s">
        <v>39</v>
      </c>
      <c r="C38" s="178" t="s">
        <v>39</v>
      </c>
      <c r="D38" s="141"/>
      <c r="E38" s="142">
        <f>SUM(B40:B42)+SUM(C40:C42)</f>
        <v>0</v>
      </c>
    </row>
    <row r="39" spans="1:6" x14ac:dyDescent="0.25">
      <c r="A39" s="71"/>
      <c r="B39" s="184"/>
      <c r="C39" s="184"/>
      <c r="D39" s="155"/>
      <c r="E39" s="54"/>
    </row>
    <row r="40" spans="1:6" x14ac:dyDescent="0.25">
      <c r="A40" s="71"/>
      <c r="C40" s="185"/>
      <c r="D40" s="153"/>
      <c r="E40" s="54"/>
    </row>
    <row r="41" spans="1:6" x14ac:dyDescent="0.25">
      <c r="A41" s="71"/>
      <c r="B41" s="19"/>
      <c r="C41" s="19"/>
      <c r="D41" s="153"/>
      <c r="E41" s="54"/>
    </row>
    <row r="42" spans="1:6" x14ac:dyDescent="0.25">
      <c r="A42" s="71"/>
      <c r="B42" s="19"/>
      <c r="C42" s="19"/>
      <c r="D42" s="153"/>
      <c r="E42" s="54"/>
    </row>
    <row r="43" spans="1:6" x14ac:dyDescent="0.25">
      <c r="A43" s="71"/>
      <c r="B43" s="178" t="s">
        <v>12</v>
      </c>
      <c r="C43" s="178" t="s">
        <v>12</v>
      </c>
      <c r="D43" s="141"/>
      <c r="E43" s="142">
        <f>SUM(B45:B50)+SUM(C45:C50)</f>
        <v>0</v>
      </c>
    </row>
    <row r="44" spans="1:6" x14ac:dyDescent="0.25">
      <c r="A44" s="71"/>
      <c r="B44" s="187"/>
      <c r="C44" s="187"/>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x14ac:dyDescent="0.25">
      <c r="A48" s="71"/>
      <c r="B48" s="19"/>
      <c r="C48" s="19"/>
      <c r="D48" s="153"/>
      <c r="E48" s="54"/>
    </row>
    <row r="49" spans="1:5" x14ac:dyDescent="0.25">
      <c r="A49" s="71"/>
      <c r="B49" s="19"/>
      <c r="C49" s="19"/>
      <c r="D49" s="153"/>
      <c r="E49" s="54"/>
    </row>
    <row r="50" spans="1:5" x14ac:dyDescent="0.25">
      <c r="A50" s="71"/>
      <c r="B50" s="19"/>
      <c r="C50" s="19"/>
      <c r="D50" s="153"/>
      <c r="E50" s="54"/>
    </row>
    <row r="51" spans="1:5" x14ac:dyDescent="0.25">
      <c r="A51" s="71"/>
      <c r="B51" s="178" t="s">
        <v>40</v>
      </c>
      <c r="C51" s="178" t="s">
        <v>40</v>
      </c>
      <c r="D51" s="141"/>
      <c r="E51" s="142">
        <f>SUM(B53:B58)+SUM(C53:C58)</f>
        <v>0</v>
      </c>
    </row>
    <row r="52" spans="1:5" x14ac:dyDescent="0.25">
      <c r="A52" s="71"/>
      <c r="B52" s="184"/>
      <c r="C52" s="184"/>
      <c r="E52" s="75"/>
    </row>
    <row r="53" spans="1:5"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B56" s="188"/>
      <c r="C56" s="188"/>
      <c r="E56" s="75"/>
    </row>
    <row r="57" spans="1:5" x14ac:dyDescent="0.25">
      <c r="A57" s="71"/>
      <c r="E57" s="75"/>
    </row>
    <row r="58" spans="1:5" x14ac:dyDescent="0.25">
      <c r="A58" s="71"/>
      <c r="D58" s="2"/>
      <c r="E58" s="54"/>
    </row>
    <row r="59" spans="1:5" x14ac:dyDescent="0.25">
      <c r="A59" s="71"/>
      <c r="B59" s="178" t="s">
        <v>13</v>
      </c>
      <c r="C59" s="178" t="s">
        <v>13</v>
      </c>
      <c r="D59" s="141"/>
      <c r="E59" s="142">
        <f>SUM(B61:B66)+SUM(C61:C66)</f>
        <v>910</v>
      </c>
    </row>
    <row r="60" spans="1:5" x14ac:dyDescent="0.25">
      <c r="A60" s="71"/>
      <c r="B60" s="179"/>
      <c r="C60" s="179"/>
      <c r="D60" s="2"/>
      <c r="E60" s="54"/>
    </row>
    <row r="61" spans="1:5" x14ac:dyDescent="0.25">
      <c r="A61" s="71"/>
      <c r="B61" s="3920">
        <v>150</v>
      </c>
      <c r="C61" s="3920">
        <v>150</v>
      </c>
      <c r="D61" s="164" t="s">
        <v>72</v>
      </c>
      <c r="E61" s="54"/>
    </row>
    <row r="62" spans="1:5" x14ac:dyDescent="0.25">
      <c r="A62" s="71"/>
      <c r="B62" s="3920">
        <v>150</v>
      </c>
      <c r="C62" s="3920">
        <v>150</v>
      </c>
      <c r="D62" s="164" t="s">
        <v>42</v>
      </c>
      <c r="E62" s="54"/>
    </row>
    <row r="63" spans="1:5" x14ac:dyDescent="0.25">
      <c r="A63" s="71"/>
      <c r="B63" s="3920">
        <v>70</v>
      </c>
      <c r="C63" s="3920">
        <v>70</v>
      </c>
      <c r="D63" s="164" t="s">
        <v>43</v>
      </c>
      <c r="E63" s="54"/>
    </row>
    <row r="64" spans="1:5" x14ac:dyDescent="0.25">
      <c r="A64" s="71"/>
      <c r="B64" s="3920">
        <v>85</v>
      </c>
      <c r="C64" s="3920">
        <v>85</v>
      </c>
      <c r="D64" s="164" t="s">
        <v>62</v>
      </c>
      <c r="E64" s="54"/>
    </row>
    <row r="65" spans="1:5" x14ac:dyDescent="0.25">
      <c r="A65" s="71"/>
      <c r="B65" s="189"/>
      <c r="C65" s="189"/>
      <c r="D65" s="164" t="s">
        <v>45</v>
      </c>
      <c r="E65" s="54"/>
    </row>
    <row r="66" spans="1:5" x14ac:dyDescent="0.25">
      <c r="A66" s="71"/>
      <c r="B66" s="189"/>
      <c r="C66" s="189"/>
      <c r="D66" s="164"/>
      <c r="E66" s="54"/>
    </row>
    <row r="67" spans="1:5" x14ac:dyDescent="0.25">
      <c r="A67" s="71"/>
      <c r="B67" s="178" t="s">
        <v>14</v>
      </c>
      <c r="C67" s="178" t="s">
        <v>14</v>
      </c>
      <c r="D67" s="141"/>
      <c r="E67" s="142">
        <f>SUM(B69:B72)+SUM(C69:C72)</f>
        <v>16900</v>
      </c>
    </row>
    <row r="68" spans="1:5" x14ac:dyDescent="0.25">
      <c r="A68" s="166"/>
      <c r="B68" s="179"/>
      <c r="C68" s="179"/>
      <c r="D68" s="2"/>
      <c r="E68" s="54"/>
    </row>
    <row r="69" spans="1:5" x14ac:dyDescent="0.25">
      <c r="A69" s="71"/>
      <c r="B69" s="86">
        <v>13000</v>
      </c>
      <c r="C69" s="86">
        <v>0</v>
      </c>
      <c r="D69" s="2" t="s">
        <v>107</v>
      </c>
      <c r="E69" s="54"/>
    </row>
    <row r="70" spans="1:5" x14ac:dyDescent="0.25">
      <c r="A70" s="71"/>
      <c r="B70" s="86">
        <v>3900</v>
      </c>
      <c r="C70" s="86">
        <v>0</v>
      </c>
      <c r="D70" s="2" t="s">
        <v>108</v>
      </c>
      <c r="E70" s="54"/>
    </row>
    <row r="71" spans="1:5" x14ac:dyDescent="0.25">
      <c r="A71" s="71"/>
      <c r="B71" s="86"/>
      <c r="C71" s="86"/>
      <c r="D71" s="2"/>
      <c r="E71" s="54"/>
    </row>
    <row r="72" spans="1:5" x14ac:dyDescent="0.25">
      <c r="A72" s="71"/>
      <c r="B72" s="86"/>
      <c r="C72" s="86"/>
      <c r="D72" s="2"/>
      <c r="E72" s="54"/>
    </row>
    <row r="73" spans="1:5" x14ac:dyDescent="0.25">
      <c r="A73" s="71"/>
      <c r="B73" s="178" t="s">
        <v>15</v>
      </c>
      <c r="C73" s="178" t="s">
        <v>15</v>
      </c>
      <c r="D73" s="141"/>
      <c r="E73" s="142">
        <f>SUM(B75:B81)+SUM(C75:C81)</f>
        <v>390</v>
      </c>
    </row>
    <row r="74" spans="1:5" x14ac:dyDescent="0.25">
      <c r="A74" s="71"/>
      <c r="B74" s="184"/>
      <c r="C74" s="184"/>
      <c r="D74" s="2"/>
      <c r="E74" s="54"/>
    </row>
    <row r="75" spans="1:5" s="55" customFormat="1" ht="26.4" x14ac:dyDescent="0.25">
      <c r="A75" s="112"/>
      <c r="B75" s="193">
        <v>195</v>
      </c>
      <c r="C75" s="193">
        <v>195</v>
      </c>
      <c r="D75" s="169" t="s">
        <v>102</v>
      </c>
      <c r="E75" s="54"/>
    </row>
    <row r="76" spans="1:5" s="55" customFormat="1" x14ac:dyDescent="0.25">
      <c r="A76" s="112"/>
      <c r="B76" s="194"/>
      <c r="C76" s="194"/>
      <c r="D76" s="167"/>
      <c r="E76" s="54"/>
    </row>
    <row r="77" spans="1:5" s="55" customFormat="1" x14ac:dyDescent="0.25">
      <c r="A77" s="112"/>
      <c r="B77" s="194"/>
      <c r="C77" s="194"/>
      <c r="D77" s="167"/>
      <c r="E77" s="54"/>
    </row>
    <row r="78" spans="1:5" s="55" customFormat="1" x14ac:dyDescent="0.25">
      <c r="A78" s="112"/>
      <c r="B78" s="194"/>
      <c r="C78" s="194"/>
      <c r="D78" s="167"/>
      <c r="E78" s="54"/>
    </row>
    <row r="79" spans="1:5" s="55" customFormat="1" x14ac:dyDescent="0.25">
      <c r="A79" s="112"/>
      <c r="B79" s="194"/>
      <c r="C79" s="194"/>
      <c r="D79" s="167"/>
      <c r="E79" s="54"/>
    </row>
    <row r="80" spans="1:5" x14ac:dyDescent="0.25">
      <c r="A80" s="71"/>
      <c r="B80" s="86"/>
      <c r="C80" s="86"/>
      <c r="D80" s="153"/>
      <c r="E80" s="54"/>
    </row>
    <row r="81" spans="1:5" x14ac:dyDescent="0.25">
      <c r="A81" s="71"/>
      <c r="B81" s="86"/>
      <c r="C81" s="86"/>
      <c r="D81" s="153"/>
      <c r="E81" s="54"/>
    </row>
    <row r="82" spans="1:5" x14ac:dyDescent="0.25">
      <c r="A82" s="71"/>
      <c r="B82" s="178" t="s">
        <v>16</v>
      </c>
      <c r="C82" s="178" t="s">
        <v>16</v>
      </c>
      <c r="D82" s="141"/>
      <c r="E82" s="142">
        <f>SUM(B84:B89)+SUM(C84:C89)</f>
        <v>260</v>
      </c>
    </row>
    <row r="83" spans="1:5" s="55" customFormat="1" x14ac:dyDescent="0.25">
      <c r="A83" s="112"/>
      <c r="B83" s="184"/>
      <c r="C83" s="184"/>
      <c r="D83" s="167"/>
      <c r="E83" s="54"/>
    </row>
    <row r="84" spans="1:5" s="55" customFormat="1" ht="26.4" x14ac:dyDescent="0.25">
      <c r="A84" s="112"/>
      <c r="B84" s="193">
        <v>130</v>
      </c>
      <c r="C84" s="193">
        <v>130</v>
      </c>
      <c r="D84" s="169" t="s">
        <v>103</v>
      </c>
      <c r="E84" s="54"/>
    </row>
    <row r="85" spans="1:5" s="55" customFormat="1" x14ac:dyDescent="0.25">
      <c r="A85" s="112"/>
      <c r="B85" s="194"/>
      <c r="C85" s="194"/>
      <c r="D85" s="167"/>
      <c r="E85" s="54"/>
    </row>
    <row r="86" spans="1:5" s="55" customFormat="1" x14ac:dyDescent="0.25">
      <c r="A86" s="112"/>
      <c r="B86" s="194"/>
      <c r="C86" s="194"/>
      <c r="D86" s="167"/>
      <c r="E86" s="54"/>
    </row>
    <row r="87" spans="1:5" s="55" customFormat="1" x14ac:dyDescent="0.25">
      <c r="A87" s="112"/>
      <c r="B87" s="194"/>
      <c r="C87" s="194"/>
      <c r="D87" s="167"/>
      <c r="E87" s="54"/>
    </row>
    <row r="88" spans="1:5" s="55" customFormat="1" x14ac:dyDescent="0.25">
      <c r="A88" s="112"/>
      <c r="B88" s="194"/>
      <c r="C88" s="194"/>
      <c r="D88" s="167"/>
      <c r="E88" s="54"/>
    </row>
    <row r="89" spans="1:5" x14ac:dyDescent="0.25">
      <c r="A89" s="71"/>
      <c r="B89" s="86"/>
      <c r="C89" s="86"/>
      <c r="D89" s="2"/>
      <c r="E89" s="54"/>
    </row>
    <row r="90" spans="1:5" ht="26.4" x14ac:dyDescent="0.25">
      <c r="A90" s="71"/>
      <c r="B90" s="178" t="s">
        <v>17</v>
      </c>
      <c r="C90" s="178" t="s">
        <v>17</v>
      </c>
      <c r="D90" s="2"/>
      <c r="E90" s="54"/>
    </row>
    <row r="91" spans="1:5" s="55" customFormat="1" x14ac:dyDescent="0.25">
      <c r="A91" s="112"/>
      <c r="B91" s="184"/>
      <c r="C91" s="184"/>
      <c r="D91" s="167"/>
      <c r="E91" s="54"/>
    </row>
    <row r="92" spans="1:5" s="55" customFormat="1" x14ac:dyDescent="0.25">
      <c r="A92" s="112"/>
      <c r="B92" s="188"/>
      <c r="C92" s="188"/>
      <c r="D92" s="167"/>
      <c r="E92" s="84"/>
    </row>
    <row r="93" spans="1:5" x14ac:dyDescent="0.25">
      <c r="A93" s="71"/>
      <c r="B93" s="88" t="s">
        <v>55</v>
      </c>
      <c r="D93" s="2"/>
      <c r="E93" s="3"/>
    </row>
    <row r="94" spans="1:5" x14ac:dyDescent="0.25">
      <c r="A94" s="71"/>
      <c r="B94" s="88" t="s">
        <v>56</v>
      </c>
      <c r="D94" s="2"/>
      <c r="E94" s="3"/>
    </row>
    <row r="95" spans="1:5" x14ac:dyDescent="0.25">
      <c r="A95" s="71"/>
      <c r="B95" s="88" t="s">
        <v>57</v>
      </c>
      <c r="D95" s="2"/>
      <c r="E95" s="3"/>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1">
    <mergeCell ref="B15:E15"/>
  </mergeCells>
  <pageMargins left="0.21" right="0.7" top="0.34" bottom="0.37" header="0.3" footer="0.3"/>
  <pageSetup paperSize="17" scale="54" orientation="landscape" r:id="rId2"/>
  <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X104"/>
  <sheetViews>
    <sheetView workbookViewId="0">
      <pane xSplit="1" ySplit="1" topLeftCell="B80" activePane="bottomRight" state="frozen"/>
      <selection pane="topRight" activeCell="B1" sqref="B1"/>
      <selection pane="bottomLeft" activeCell="A2" sqref="A2"/>
      <selection pane="bottomRight" activeCell="A4" sqref="A4"/>
    </sheetView>
  </sheetViews>
  <sheetFormatPr defaultRowHeight="13.2" x14ac:dyDescent="0.25"/>
  <cols>
    <col min="1" max="1" width="15.5546875" style="3369" customWidth="1"/>
    <col min="2" max="2" width="19.109375" customWidth="1"/>
    <col min="3" max="3" width="32.44140625" customWidth="1"/>
    <col min="4" max="4" width="19.6640625" style="19" bestFit="1" customWidth="1"/>
    <col min="5" max="5" width="18.44140625" bestFit="1" customWidth="1"/>
    <col min="6" max="6" width="20.109375" bestFit="1" customWidth="1"/>
    <col min="7" max="7" width="13.44140625" customWidth="1"/>
    <col min="8" max="8" width="15.5546875" bestFit="1" customWidth="1"/>
    <col min="9" max="9" width="14.44140625" bestFit="1" customWidth="1"/>
    <col min="10" max="10" width="15.33203125" customWidth="1"/>
    <col min="11" max="11" width="15.88671875" customWidth="1"/>
    <col min="12" max="12" width="17.33203125" bestFit="1" customWidth="1"/>
    <col min="13" max="13" width="12.6640625" customWidth="1"/>
    <col min="14" max="14" width="13.6640625" customWidth="1"/>
    <col min="15" max="15" width="14.109375" bestFit="1" customWidth="1"/>
    <col min="16" max="16" width="18.44140625" bestFit="1" customWidth="1"/>
    <col min="17" max="17" width="20.44140625" bestFit="1" customWidth="1"/>
    <col min="18" max="18" width="24.44140625" customWidth="1"/>
    <col min="19" max="20" width="15.5546875" bestFit="1" customWidth="1"/>
    <col min="21" max="21" width="16.44140625" bestFit="1" customWidth="1"/>
    <col min="22" max="22" width="13.10937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8.44140625" bestFit="1" customWidth="1"/>
    <col min="262" max="262" width="20.109375" bestFit="1" customWidth="1"/>
    <col min="263" max="263" width="13.44140625" customWidth="1"/>
    <col min="264" max="264" width="15.5546875" bestFit="1" customWidth="1"/>
    <col min="265" max="265" width="14.44140625" bestFit="1" customWidth="1"/>
    <col min="266" max="266" width="15.33203125" customWidth="1"/>
    <col min="267" max="267" width="15.88671875" customWidth="1"/>
    <col min="268" max="268" width="17.33203125" bestFit="1" customWidth="1"/>
    <col min="269" max="269" width="12.6640625" customWidth="1"/>
    <col min="270" max="270" width="13.6640625" customWidth="1"/>
    <col min="271" max="271" width="14.109375" bestFit="1" customWidth="1"/>
    <col min="272" max="272" width="18.44140625" bestFit="1" customWidth="1"/>
    <col min="273" max="273" width="20.44140625" bestFit="1" customWidth="1"/>
    <col min="274" max="274" width="32.109375" customWidth="1"/>
    <col min="275" max="276" width="15.5546875" bestFit="1" customWidth="1"/>
    <col min="277" max="277" width="16.44140625" bestFit="1" customWidth="1"/>
    <col min="278" max="278" width="13.10937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8.44140625" bestFit="1" customWidth="1"/>
    <col min="518" max="518" width="20.109375" bestFit="1" customWidth="1"/>
    <col min="519" max="519" width="13.44140625" customWidth="1"/>
    <col min="520" max="520" width="15.5546875" bestFit="1" customWidth="1"/>
    <col min="521" max="521" width="14.44140625" bestFit="1" customWidth="1"/>
    <col min="522" max="522" width="15.33203125" customWidth="1"/>
    <col min="523" max="523" width="15.88671875" customWidth="1"/>
    <col min="524" max="524" width="17.33203125" bestFit="1" customWidth="1"/>
    <col min="525" max="525" width="12.6640625" customWidth="1"/>
    <col min="526" max="526" width="13.6640625" customWidth="1"/>
    <col min="527" max="527" width="14.109375" bestFit="1" customWidth="1"/>
    <col min="528" max="528" width="18.44140625" bestFit="1" customWidth="1"/>
    <col min="529" max="529" width="20.44140625" bestFit="1" customWidth="1"/>
    <col min="530" max="530" width="32.109375" customWidth="1"/>
    <col min="531" max="532" width="15.5546875" bestFit="1" customWidth="1"/>
    <col min="533" max="533" width="16.44140625" bestFit="1" customWidth="1"/>
    <col min="534" max="534" width="13.10937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8.44140625" bestFit="1" customWidth="1"/>
    <col min="774" max="774" width="20.109375" bestFit="1" customWidth="1"/>
    <col min="775" max="775" width="13.44140625" customWidth="1"/>
    <col min="776" max="776" width="15.5546875" bestFit="1" customWidth="1"/>
    <col min="777" max="777" width="14.44140625" bestFit="1" customWidth="1"/>
    <col min="778" max="778" width="15.33203125" customWidth="1"/>
    <col min="779" max="779" width="15.88671875" customWidth="1"/>
    <col min="780" max="780" width="17.33203125" bestFit="1" customWidth="1"/>
    <col min="781" max="781" width="12.6640625" customWidth="1"/>
    <col min="782" max="782" width="13.6640625" customWidth="1"/>
    <col min="783" max="783" width="14.109375" bestFit="1" customWidth="1"/>
    <col min="784" max="784" width="18.44140625" bestFit="1" customWidth="1"/>
    <col min="785" max="785" width="20.44140625" bestFit="1" customWidth="1"/>
    <col min="786" max="786" width="32.109375" customWidth="1"/>
    <col min="787" max="788" width="15.5546875" bestFit="1" customWidth="1"/>
    <col min="789" max="789" width="16.44140625" bestFit="1" customWidth="1"/>
    <col min="790" max="790" width="13.10937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8.44140625" bestFit="1" customWidth="1"/>
    <col min="1030" max="1030" width="20.109375" bestFit="1" customWidth="1"/>
    <col min="1031" max="1031" width="13.44140625" customWidth="1"/>
    <col min="1032" max="1032" width="15.5546875" bestFit="1" customWidth="1"/>
    <col min="1033" max="1033" width="14.44140625" bestFit="1" customWidth="1"/>
    <col min="1034" max="1034" width="15.33203125" customWidth="1"/>
    <col min="1035" max="1035" width="15.88671875" customWidth="1"/>
    <col min="1036" max="1036" width="17.33203125" bestFit="1" customWidth="1"/>
    <col min="1037" max="1037" width="12.6640625" customWidth="1"/>
    <col min="1038" max="1038" width="13.6640625" customWidth="1"/>
    <col min="1039" max="1039" width="14.109375" bestFit="1" customWidth="1"/>
    <col min="1040" max="1040" width="18.44140625" bestFit="1" customWidth="1"/>
    <col min="1041" max="1041" width="20.44140625" bestFit="1" customWidth="1"/>
    <col min="1042" max="1042" width="32.109375" customWidth="1"/>
    <col min="1043" max="1044" width="15.5546875" bestFit="1" customWidth="1"/>
    <col min="1045" max="1045" width="16.44140625" bestFit="1" customWidth="1"/>
    <col min="1046" max="1046" width="13.10937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8.44140625" bestFit="1" customWidth="1"/>
    <col min="1286" max="1286" width="20.109375" bestFit="1" customWidth="1"/>
    <col min="1287" max="1287" width="13.44140625" customWidth="1"/>
    <col min="1288" max="1288" width="15.5546875" bestFit="1" customWidth="1"/>
    <col min="1289" max="1289" width="14.44140625" bestFit="1" customWidth="1"/>
    <col min="1290" max="1290" width="15.33203125" customWidth="1"/>
    <col min="1291" max="1291" width="15.88671875" customWidth="1"/>
    <col min="1292" max="1292" width="17.33203125" bestFit="1" customWidth="1"/>
    <col min="1293" max="1293" width="12.6640625" customWidth="1"/>
    <col min="1294" max="1294" width="13.6640625" customWidth="1"/>
    <col min="1295" max="1295" width="14.109375" bestFit="1" customWidth="1"/>
    <col min="1296" max="1296" width="18.44140625" bestFit="1" customWidth="1"/>
    <col min="1297" max="1297" width="20.44140625" bestFit="1" customWidth="1"/>
    <col min="1298" max="1298" width="32.109375" customWidth="1"/>
    <col min="1299" max="1300" width="15.5546875" bestFit="1" customWidth="1"/>
    <col min="1301" max="1301" width="16.44140625" bestFit="1" customWidth="1"/>
    <col min="1302" max="1302" width="13.10937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8.44140625" bestFit="1" customWidth="1"/>
    <col min="1542" max="1542" width="20.109375" bestFit="1" customWidth="1"/>
    <col min="1543" max="1543" width="13.44140625" customWidth="1"/>
    <col min="1544" max="1544" width="15.5546875" bestFit="1" customWidth="1"/>
    <col min="1545" max="1545" width="14.44140625" bestFit="1" customWidth="1"/>
    <col min="1546" max="1546" width="15.33203125" customWidth="1"/>
    <col min="1547" max="1547" width="15.88671875" customWidth="1"/>
    <col min="1548" max="1548" width="17.33203125" bestFit="1" customWidth="1"/>
    <col min="1549" max="1549" width="12.6640625" customWidth="1"/>
    <col min="1550" max="1550" width="13.6640625" customWidth="1"/>
    <col min="1551" max="1551" width="14.109375" bestFit="1" customWidth="1"/>
    <col min="1552" max="1552" width="18.44140625" bestFit="1" customWidth="1"/>
    <col min="1553" max="1553" width="20.44140625" bestFit="1" customWidth="1"/>
    <col min="1554" max="1554" width="32.109375" customWidth="1"/>
    <col min="1555" max="1556" width="15.5546875" bestFit="1" customWidth="1"/>
    <col min="1557" max="1557" width="16.44140625" bestFit="1" customWidth="1"/>
    <col min="1558" max="1558" width="13.10937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8.44140625" bestFit="1" customWidth="1"/>
    <col min="1798" max="1798" width="20.109375" bestFit="1" customWidth="1"/>
    <col min="1799" max="1799" width="13.44140625" customWidth="1"/>
    <col min="1800" max="1800" width="15.5546875" bestFit="1" customWidth="1"/>
    <col min="1801" max="1801" width="14.44140625" bestFit="1" customWidth="1"/>
    <col min="1802" max="1802" width="15.33203125" customWidth="1"/>
    <col min="1803" max="1803" width="15.88671875" customWidth="1"/>
    <col min="1804" max="1804" width="17.33203125" bestFit="1" customWidth="1"/>
    <col min="1805" max="1805" width="12.6640625" customWidth="1"/>
    <col min="1806" max="1806" width="13.6640625" customWidth="1"/>
    <col min="1807" max="1807" width="14.109375" bestFit="1" customWidth="1"/>
    <col min="1808" max="1808" width="18.44140625" bestFit="1" customWidth="1"/>
    <col min="1809" max="1809" width="20.44140625" bestFit="1" customWidth="1"/>
    <col min="1810" max="1810" width="32.109375" customWidth="1"/>
    <col min="1811" max="1812" width="15.5546875" bestFit="1" customWidth="1"/>
    <col min="1813" max="1813" width="16.44140625" bestFit="1" customWidth="1"/>
    <col min="1814" max="1814" width="13.10937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8.44140625" bestFit="1" customWidth="1"/>
    <col min="2054" max="2054" width="20.109375" bestFit="1" customWidth="1"/>
    <col min="2055" max="2055" width="13.44140625" customWidth="1"/>
    <col min="2056" max="2056" width="15.5546875" bestFit="1" customWidth="1"/>
    <col min="2057" max="2057" width="14.44140625" bestFit="1" customWidth="1"/>
    <col min="2058" max="2058" width="15.33203125" customWidth="1"/>
    <col min="2059" max="2059" width="15.88671875" customWidth="1"/>
    <col min="2060" max="2060" width="17.33203125" bestFit="1" customWidth="1"/>
    <col min="2061" max="2061" width="12.6640625" customWidth="1"/>
    <col min="2062" max="2062" width="13.6640625" customWidth="1"/>
    <col min="2063" max="2063" width="14.109375" bestFit="1" customWidth="1"/>
    <col min="2064" max="2064" width="18.44140625" bestFit="1" customWidth="1"/>
    <col min="2065" max="2065" width="20.44140625" bestFit="1" customWidth="1"/>
    <col min="2066" max="2066" width="32.109375" customWidth="1"/>
    <col min="2067" max="2068" width="15.5546875" bestFit="1" customWidth="1"/>
    <col min="2069" max="2069" width="16.44140625" bestFit="1" customWidth="1"/>
    <col min="2070" max="2070" width="13.10937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8.44140625" bestFit="1" customWidth="1"/>
    <col min="2310" max="2310" width="20.109375" bestFit="1" customWidth="1"/>
    <col min="2311" max="2311" width="13.44140625" customWidth="1"/>
    <col min="2312" max="2312" width="15.5546875" bestFit="1" customWidth="1"/>
    <col min="2313" max="2313" width="14.44140625" bestFit="1" customWidth="1"/>
    <col min="2314" max="2314" width="15.33203125" customWidth="1"/>
    <col min="2315" max="2315" width="15.88671875" customWidth="1"/>
    <col min="2316" max="2316" width="17.33203125" bestFit="1" customWidth="1"/>
    <col min="2317" max="2317" width="12.6640625" customWidth="1"/>
    <col min="2318" max="2318" width="13.6640625" customWidth="1"/>
    <col min="2319" max="2319" width="14.109375" bestFit="1" customWidth="1"/>
    <col min="2320" max="2320" width="18.44140625" bestFit="1" customWidth="1"/>
    <col min="2321" max="2321" width="20.44140625" bestFit="1" customWidth="1"/>
    <col min="2322" max="2322" width="32.109375" customWidth="1"/>
    <col min="2323" max="2324" width="15.5546875" bestFit="1" customWidth="1"/>
    <col min="2325" max="2325" width="16.44140625" bestFit="1" customWidth="1"/>
    <col min="2326" max="2326" width="13.10937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8.44140625" bestFit="1" customWidth="1"/>
    <col min="2566" max="2566" width="20.109375" bestFit="1" customWidth="1"/>
    <col min="2567" max="2567" width="13.44140625" customWidth="1"/>
    <col min="2568" max="2568" width="15.5546875" bestFit="1" customWidth="1"/>
    <col min="2569" max="2569" width="14.44140625" bestFit="1" customWidth="1"/>
    <col min="2570" max="2570" width="15.33203125" customWidth="1"/>
    <col min="2571" max="2571" width="15.88671875" customWidth="1"/>
    <col min="2572" max="2572" width="17.33203125" bestFit="1" customWidth="1"/>
    <col min="2573" max="2573" width="12.6640625" customWidth="1"/>
    <col min="2574" max="2574" width="13.6640625" customWidth="1"/>
    <col min="2575" max="2575" width="14.109375" bestFit="1" customWidth="1"/>
    <col min="2576" max="2576" width="18.44140625" bestFit="1" customWidth="1"/>
    <col min="2577" max="2577" width="20.44140625" bestFit="1" customWidth="1"/>
    <col min="2578" max="2578" width="32.109375" customWidth="1"/>
    <col min="2579" max="2580" width="15.5546875" bestFit="1" customWidth="1"/>
    <col min="2581" max="2581" width="16.44140625" bestFit="1" customWidth="1"/>
    <col min="2582" max="2582" width="13.10937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8.44140625" bestFit="1" customWidth="1"/>
    <col min="2822" max="2822" width="20.109375" bestFit="1" customWidth="1"/>
    <col min="2823" max="2823" width="13.44140625" customWidth="1"/>
    <col min="2824" max="2824" width="15.5546875" bestFit="1" customWidth="1"/>
    <col min="2825" max="2825" width="14.44140625" bestFit="1" customWidth="1"/>
    <col min="2826" max="2826" width="15.33203125" customWidth="1"/>
    <col min="2827" max="2827" width="15.88671875" customWidth="1"/>
    <col min="2828" max="2828" width="17.33203125" bestFit="1" customWidth="1"/>
    <col min="2829" max="2829" width="12.6640625" customWidth="1"/>
    <col min="2830" max="2830" width="13.6640625" customWidth="1"/>
    <col min="2831" max="2831" width="14.109375" bestFit="1" customWidth="1"/>
    <col min="2832" max="2832" width="18.44140625" bestFit="1" customWidth="1"/>
    <col min="2833" max="2833" width="20.44140625" bestFit="1" customWidth="1"/>
    <col min="2834" max="2834" width="32.109375" customWidth="1"/>
    <col min="2835" max="2836" width="15.5546875" bestFit="1" customWidth="1"/>
    <col min="2837" max="2837" width="16.44140625" bestFit="1" customWidth="1"/>
    <col min="2838" max="2838" width="13.10937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8.44140625" bestFit="1" customWidth="1"/>
    <col min="3078" max="3078" width="20.109375" bestFit="1" customWidth="1"/>
    <col min="3079" max="3079" width="13.44140625" customWidth="1"/>
    <col min="3080" max="3080" width="15.5546875" bestFit="1" customWidth="1"/>
    <col min="3081" max="3081" width="14.44140625" bestFit="1" customWidth="1"/>
    <col min="3082" max="3082" width="15.33203125" customWidth="1"/>
    <col min="3083" max="3083" width="15.88671875" customWidth="1"/>
    <col min="3084" max="3084" width="17.33203125" bestFit="1" customWidth="1"/>
    <col min="3085" max="3085" width="12.6640625" customWidth="1"/>
    <col min="3086" max="3086" width="13.6640625" customWidth="1"/>
    <col min="3087" max="3087" width="14.109375" bestFit="1" customWidth="1"/>
    <col min="3088" max="3088" width="18.44140625" bestFit="1" customWidth="1"/>
    <col min="3089" max="3089" width="20.44140625" bestFit="1" customWidth="1"/>
    <col min="3090" max="3090" width="32.109375" customWidth="1"/>
    <col min="3091" max="3092" width="15.5546875" bestFit="1" customWidth="1"/>
    <col min="3093" max="3093" width="16.44140625" bestFit="1" customWidth="1"/>
    <col min="3094" max="3094" width="13.10937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8.44140625" bestFit="1" customWidth="1"/>
    <col min="3334" max="3334" width="20.109375" bestFit="1" customWidth="1"/>
    <col min="3335" max="3335" width="13.44140625" customWidth="1"/>
    <col min="3336" max="3336" width="15.5546875" bestFit="1" customWidth="1"/>
    <col min="3337" max="3337" width="14.44140625" bestFit="1" customWidth="1"/>
    <col min="3338" max="3338" width="15.33203125" customWidth="1"/>
    <col min="3339" max="3339" width="15.88671875" customWidth="1"/>
    <col min="3340" max="3340" width="17.33203125" bestFit="1" customWidth="1"/>
    <col min="3341" max="3341" width="12.6640625" customWidth="1"/>
    <col min="3342" max="3342" width="13.6640625" customWidth="1"/>
    <col min="3343" max="3343" width="14.109375" bestFit="1" customWidth="1"/>
    <col min="3344" max="3344" width="18.44140625" bestFit="1" customWidth="1"/>
    <col min="3345" max="3345" width="20.44140625" bestFit="1" customWidth="1"/>
    <col min="3346" max="3346" width="32.109375" customWidth="1"/>
    <col min="3347" max="3348" width="15.5546875" bestFit="1" customWidth="1"/>
    <col min="3349" max="3349" width="16.44140625" bestFit="1" customWidth="1"/>
    <col min="3350" max="3350" width="13.10937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8.44140625" bestFit="1" customWidth="1"/>
    <col min="3590" max="3590" width="20.109375" bestFit="1" customWidth="1"/>
    <col min="3591" max="3591" width="13.44140625" customWidth="1"/>
    <col min="3592" max="3592" width="15.5546875" bestFit="1" customWidth="1"/>
    <col min="3593" max="3593" width="14.44140625" bestFit="1" customWidth="1"/>
    <col min="3594" max="3594" width="15.33203125" customWidth="1"/>
    <col min="3595" max="3595" width="15.88671875" customWidth="1"/>
    <col min="3596" max="3596" width="17.33203125" bestFit="1" customWidth="1"/>
    <col min="3597" max="3597" width="12.6640625" customWidth="1"/>
    <col min="3598" max="3598" width="13.6640625" customWidth="1"/>
    <col min="3599" max="3599" width="14.109375" bestFit="1" customWidth="1"/>
    <col min="3600" max="3600" width="18.44140625" bestFit="1" customWidth="1"/>
    <col min="3601" max="3601" width="20.44140625" bestFit="1" customWidth="1"/>
    <col min="3602" max="3602" width="32.109375" customWidth="1"/>
    <col min="3603" max="3604" width="15.5546875" bestFit="1" customWidth="1"/>
    <col min="3605" max="3605" width="16.44140625" bestFit="1" customWidth="1"/>
    <col min="3606" max="3606" width="13.10937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8.44140625" bestFit="1" customWidth="1"/>
    <col min="3846" max="3846" width="20.109375" bestFit="1" customWidth="1"/>
    <col min="3847" max="3847" width="13.44140625" customWidth="1"/>
    <col min="3848" max="3848" width="15.5546875" bestFit="1" customWidth="1"/>
    <col min="3849" max="3849" width="14.44140625" bestFit="1" customWidth="1"/>
    <col min="3850" max="3850" width="15.33203125" customWidth="1"/>
    <col min="3851" max="3851" width="15.88671875" customWidth="1"/>
    <col min="3852" max="3852" width="17.33203125" bestFit="1" customWidth="1"/>
    <col min="3853" max="3853" width="12.6640625" customWidth="1"/>
    <col min="3854" max="3854" width="13.6640625" customWidth="1"/>
    <col min="3855" max="3855" width="14.109375" bestFit="1" customWidth="1"/>
    <col min="3856" max="3856" width="18.44140625" bestFit="1" customWidth="1"/>
    <col min="3857" max="3857" width="20.44140625" bestFit="1" customWidth="1"/>
    <col min="3858" max="3858" width="32.109375" customWidth="1"/>
    <col min="3859" max="3860" width="15.5546875" bestFit="1" customWidth="1"/>
    <col min="3861" max="3861" width="16.44140625" bestFit="1" customWidth="1"/>
    <col min="3862" max="3862" width="13.10937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8.44140625" bestFit="1" customWidth="1"/>
    <col min="4102" max="4102" width="20.109375" bestFit="1" customWidth="1"/>
    <col min="4103" max="4103" width="13.44140625" customWidth="1"/>
    <col min="4104" max="4104" width="15.5546875" bestFit="1" customWidth="1"/>
    <col min="4105" max="4105" width="14.44140625" bestFit="1" customWidth="1"/>
    <col min="4106" max="4106" width="15.33203125" customWidth="1"/>
    <col min="4107" max="4107" width="15.88671875" customWidth="1"/>
    <col min="4108" max="4108" width="17.33203125" bestFit="1" customWidth="1"/>
    <col min="4109" max="4109" width="12.6640625" customWidth="1"/>
    <col min="4110" max="4110" width="13.6640625" customWidth="1"/>
    <col min="4111" max="4111" width="14.109375" bestFit="1" customWidth="1"/>
    <col min="4112" max="4112" width="18.44140625" bestFit="1" customWidth="1"/>
    <col min="4113" max="4113" width="20.44140625" bestFit="1" customWidth="1"/>
    <col min="4114" max="4114" width="32.109375" customWidth="1"/>
    <col min="4115" max="4116" width="15.5546875" bestFit="1" customWidth="1"/>
    <col min="4117" max="4117" width="16.44140625" bestFit="1" customWidth="1"/>
    <col min="4118" max="4118" width="13.10937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8.44140625" bestFit="1" customWidth="1"/>
    <col min="4358" max="4358" width="20.109375" bestFit="1" customWidth="1"/>
    <col min="4359" max="4359" width="13.44140625" customWidth="1"/>
    <col min="4360" max="4360" width="15.5546875" bestFit="1" customWidth="1"/>
    <col min="4361" max="4361" width="14.44140625" bestFit="1" customWidth="1"/>
    <col min="4362" max="4362" width="15.33203125" customWidth="1"/>
    <col min="4363" max="4363" width="15.88671875" customWidth="1"/>
    <col min="4364" max="4364" width="17.33203125" bestFit="1" customWidth="1"/>
    <col min="4365" max="4365" width="12.6640625" customWidth="1"/>
    <col min="4366" max="4366" width="13.6640625" customWidth="1"/>
    <col min="4367" max="4367" width="14.109375" bestFit="1" customWidth="1"/>
    <col min="4368" max="4368" width="18.44140625" bestFit="1" customWidth="1"/>
    <col min="4369" max="4369" width="20.44140625" bestFit="1" customWidth="1"/>
    <col min="4370" max="4370" width="32.109375" customWidth="1"/>
    <col min="4371" max="4372" width="15.5546875" bestFit="1" customWidth="1"/>
    <col min="4373" max="4373" width="16.44140625" bestFit="1" customWidth="1"/>
    <col min="4374" max="4374" width="13.10937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8.44140625" bestFit="1" customWidth="1"/>
    <col min="4614" max="4614" width="20.109375" bestFit="1" customWidth="1"/>
    <col min="4615" max="4615" width="13.44140625" customWidth="1"/>
    <col min="4616" max="4616" width="15.5546875" bestFit="1" customWidth="1"/>
    <col min="4617" max="4617" width="14.44140625" bestFit="1" customWidth="1"/>
    <col min="4618" max="4618" width="15.33203125" customWidth="1"/>
    <col min="4619" max="4619" width="15.88671875" customWidth="1"/>
    <col min="4620" max="4620" width="17.33203125" bestFit="1" customWidth="1"/>
    <col min="4621" max="4621" width="12.6640625" customWidth="1"/>
    <col min="4622" max="4622" width="13.6640625" customWidth="1"/>
    <col min="4623" max="4623" width="14.109375" bestFit="1" customWidth="1"/>
    <col min="4624" max="4624" width="18.44140625" bestFit="1" customWidth="1"/>
    <col min="4625" max="4625" width="20.44140625" bestFit="1" customWidth="1"/>
    <col min="4626" max="4626" width="32.109375" customWidth="1"/>
    <col min="4627" max="4628" width="15.5546875" bestFit="1" customWidth="1"/>
    <col min="4629" max="4629" width="16.44140625" bestFit="1" customWidth="1"/>
    <col min="4630" max="4630" width="13.10937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8.44140625" bestFit="1" customWidth="1"/>
    <col min="4870" max="4870" width="20.109375" bestFit="1" customWidth="1"/>
    <col min="4871" max="4871" width="13.44140625" customWidth="1"/>
    <col min="4872" max="4872" width="15.5546875" bestFit="1" customWidth="1"/>
    <col min="4873" max="4873" width="14.44140625" bestFit="1" customWidth="1"/>
    <col min="4874" max="4874" width="15.33203125" customWidth="1"/>
    <col min="4875" max="4875" width="15.88671875" customWidth="1"/>
    <col min="4876" max="4876" width="17.33203125" bestFit="1" customWidth="1"/>
    <col min="4877" max="4877" width="12.6640625" customWidth="1"/>
    <col min="4878" max="4878" width="13.6640625" customWidth="1"/>
    <col min="4879" max="4879" width="14.109375" bestFit="1" customWidth="1"/>
    <col min="4880" max="4880" width="18.44140625" bestFit="1" customWidth="1"/>
    <col min="4881" max="4881" width="20.44140625" bestFit="1" customWidth="1"/>
    <col min="4882" max="4882" width="32.109375" customWidth="1"/>
    <col min="4883" max="4884" width="15.5546875" bestFit="1" customWidth="1"/>
    <col min="4885" max="4885" width="16.44140625" bestFit="1" customWidth="1"/>
    <col min="4886" max="4886" width="13.10937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8.44140625" bestFit="1" customWidth="1"/>
    <col min="5126" max="5126" width="20.109375" bestFit="1" customWidth="1"/>
    <col min="5127" max="5127" width="13.44140625" customWidth="1"/>
    <col min="5128" max="5128" width="15.5546875" bestFit="1" customWidth="1"/>
    <col min="5129" max="5129" width="14.44140625" bestFit="1" customWidth="1"/>
    <col min="5130" max="5130" width="15.33203125" customWidth="1"/>
    <col min="5131" max="5131" width="15.88671875" customWidth="1"/>
    <col min="5132" max="5132" width="17.33203125" bestFit="1" customWidth="1"/>
    <col min="5133" max="5133" width="12.6640625" customWidth="1"/>
    <col min="5134" max="5134" width="13.6640625" customWidth="1"/>
    <col min="5135" max="5135" width="14.109375" bestFit="1" customWidth="1"/>
    <col min="5136" max="5136" width="18.44140625" bestFit="1" customWidth="1"/>
    <col min="5137" max="5137" width="20.44140625" bestFit="1" customWidth="1"/>
    <col min="5138" max="5138" width="32.109375" customWidth="1"/>
    <col min="5139" max="5140" width="15.5546875" bestFit="1" customWidth="1"/>
    <col min="5141" max="5141" width="16.44140625" bestFit="1" customWidth="1"/>
    <col min="5142" max="5142" width="13.10937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8.44140625" bestFit="1" customWidth="1"/>
    <col min="5382" max="5382" width="20.109375" bestFit="1" customWidth="1"/>
    <col min="5383" max="5383" width="13.44140625" customWidth="1"/>
    <col min="5384" max="5384" width="15.5546875" bestFit="1" customWidth="1"/>
    <col min="5385" max="5385" width="14.44140625" bestFit="1" customWidth="1"/>
    <col min="5386" max="5386" width="15.33203125" customWidth="1"/>
    <col min="5387" max="5387" width="15.88671875" customWidth="1"/>
    <col min="5388" max="5388" width="17.33203125" bestFit="1" customWidth="1"/>
    <col min="5389" max="5389" width="12.6640625" customWidth="1"/>
    <col min="5390" max="5390" width="13.6640625" customWidth="1"/>
    <col min="5391" max="5391" width="14.109375" bestFit="1" customWidth="1"/>
    <col min="5392" max="5392" width="18.44140625" bestFit="1" customWidth="1"/>
    <col min="5393" max="5393" width="20.44140625" bestFit="1" customWidth="1"/>
    <col min="5394" max="5394" width="32.109375" customWidth="1"/>
    <col min="5395" max="5396" width="15.5546875" bestFit="1" customWidth="1"/>
    <col min="5397" max="5397" width="16.44140625" bestFit="1" customWidth="1"/>
    <col min="5398" max="5398" width="13.10937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8.44140625" bestFit="1" customWidth="1"/>
    <col min="5638" max="5638" width="20.109375" bestFit="1" customWidth="1"/>
    <col min="5639" max="5639" width="13.44140625" customWidth="1"/>
    <col min="5640" max="5640" width="15.5546875" bestFit="1" customWidth="1"/>
    <col min="5641" max="5641" width="14.44140625" bestFit="1" customWidth="1"/>
    <col min="5642" max="5642" width="15.33203125" customWidth="1"/>
    <col min="5643" max="5643" width="15.88671875" customWidth="1"/>
    <col min="5644" max="5644" width="17.33203125" bestFit="1" customWidth="1"/>
    <col min="5645" max="5645" width="12.6640625" customWidth="1"/>
    <col min="5646" max="5646" width="13.6640625" customWidth="1"/>
    <col min="5647" max="5647" width="14.109375" bestFit="1" customWidth="1"/>
    <col min="5648" max="5648" width="18.44140625" bestFit="1" customWidth="1"/>
    <col min="5649" max="5649" width="20.44140625" bestFit="1" customWidth="1"/>
    <col min="5650" max="5650" width="32.109375" customWidth="1"/>
    <col min="5651" max="5652" width="15.5546875" bestFit="1" customWidth="1"/>
    <col min="5653" max="5653" width="16.44140625" bestFit="1" customWidth="1"/>
    <col min="5654" max="5654" width="13.10937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8.44140625" bestFit="1" customWidth="1"/>
    <col min="5894" max="5894" width="20.109375" bestFit="1" customWidth="1"/>
    <col min="5895" max="5895" width="13.44140625" customWidth="1"/>
    <col min="5896" max="5896" width="15.5546875" bestFit="1" customWidth="1"/>
    <col min="5897" max="5897" width="14.44140625" bestFit="1" customWidth="1"/>
    <col min="5898" max="5898" width="15.33203125" customWidth="1"/>
    <col min="5899" max="5899" width="15.88671875" customWidth="1"/>
    <col min="5900" max="5900" width="17.33203125" bestFit="1" customWidth="1"/>
    <col min="5901" max="5901" width="12.6640625" customWidth="1"/>
    <col min="5902" max="5902" width="13.6640625" customWidth="1"/>
    <col min="5903" max="5903" width="14.109375" bestFit="1" customWidth="1"/>
    <col min="5904" max="5904" width="18.44140625" bestFit="1" customWidth="1"/>
    <col min="5905" max="5905" width="20.44140625" bestFit="1" customWidth="1"/>
    <col min="5906" max="5906" width="32.109375" customWidth="1"/>
    <col min="5907" max="5908" width="15.5546875" bestFit="1" customWidth="1"/>
    <col min="5909" max="5909" width="16.44140625" bestFit="1" customWidth="1"/>
    <col min="5910" max="5910" width="13.10937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8.44140625" bestFit="1" customWidth="1"/>
    <col min="6150" max="6150" width="20.109375" bestFit="1" customWidth="1"/>
    <col min="6151" max="6151" width="13.44140625" customWidth="1"/>
    <col min="6152" max="6152" width="15.5546875" bestFit="1" customWidth="1"/>
    <col min="6153" max="6153" width="14.44140625" bestFit="1" customWidth="1"/>
    <col min="6154" max="6154" width="15.33203125" customWidth="1"/>
    <col min="6155" max="6155" width="15.88671875" customWidth="1"/>
    <col min="6156" max="6156" width="17.33203125" bestFit="1" customWidth="1"/>
    <col min="6157" max="6157" width="12.6640625" customWidth="1"/>
    <col min="6158" max="6158" width="13.6640625" customWidth="1"/>
    <col min="6159" max="6159" width="14.109375" bestFit="1" customWidth="1"/>
    <col min="6160" max="6160" width="18.44140625" bestFit="1" customWidth="1"/>
    <col min="6161" max="6161" width="20.44140625" bestFit="1" customWidth="1"/>
    <col min="6162" max="6162" width="32.109375" customWidth="1"/>
    <col min="6163" max="6164" width="15.5546875" bestFit="1" customWidth="1"/>
    <col min="6165" max="6165" width="16.44140625" bestFit="1" customWidth="1"/>
    <col min="6166" max="6166" width="13.10937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8.44140625" bestFit="1" customWidth="1"/>
    <col min="6406" max="6406" width="20.109375" bestFit="1" customWidth="1"/>
    <col min="6407" max="6407" width="13.44140625" customWidth="1"/>
    <col min="6408" max="6408" width="15.5546875" bestFit="1" customWidth="1"/>
    <col min="6409" max="6409" width="14.44140625" bestFit="1" customWidth="1"/>
    <col min="6410" max="6410" width="15.33203125" customWidth="1"/>
    <col min="6411" max="6411" width="15.88671875" customWidth="1"/>
    <col min="6412" max="6412" width="17.33203125" bestFit="1" customWidth="1"/>
    <col min="6413" max="6413" width="12.6640625" customWidth="1"/>
    <col min="6414" max="6414" width="13.6640625" customWidth="1"/>
    <col min="6415" max="6415" width="14.109375" bestFit="1" customWidth="1"/>
    <col min="6416" max="6416" width="18.44140625" bestFit="1" customWidth="1"/>
    <col min="6417" max="6417" width="20.44140625" bestFit="1" customWidth="1"/>
    <col min="6418" max="6418" width="32.109375" customWidth="1"/>
    <col min="6419" max="6420" width="15.5546875" bestFit="1" customWidth="1"/>
    <col min="6421" max="6421" width="16.44140625" bestFit="1" customWidth="1"/>
    <col min="6422" max="6422" width="13.10937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8.44140625" bestFit="1" customWidth="1"/>
    <col min="6662" max="6662" width="20.109375" bestFit="1" customWidth="1"/>
    <col min="6663" max="6663" width="13.44140625" customWidth="1"/>
    <col min="6664" max="6664" width="15.5546875" bestFit="1" customWidth="1"/>
    <col min="6665" max="6665" width="14.44140625" bestFit="1" customWidth="1"/>
    <col min="6666" max="6666" width="15.33203125" customWidth="1"/>
    <col min="6667" max="6667" width="15.88671875" customWidth="1"/>
    <col min="6668" max="6668" width="17.33203125" bestFit="1" customWidth="1"/>
    <col min="6669" max="6669" width="12.6640625" customWidth="1"/>
    <col min="6670" max="6670" width="13.6640625" customWidth="1"/>
    <col min="6671" max="6671" width="14.109375" bestFit="1" customWidth="1"/>
    <col min="6672" max="6672" width="18.44140625" bestFit="1" customWidth="1"/>
    <col min="6673" max="6673" width="20.44140625" bestFit="1" customWidth="1"/>
    <col min="6674" max="6674" width="32.109375" customWidth="1"/>
    <col min="6675" max="6676" width="15.5546875" bestFit="1" customWidth="1"/>
    <col min="6677" max="6677" width="16.44140625" bestFit="1" customWidth="1"/>
    <col min="6678" max="6678" width="13.10937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8.44140625" bestFit="1" customWidth="1"/>
    <col min="6918" max="6918" width="20.109375" bestFit="1" customWidth="1"/>
    <col min="6919" max="6919" width="13.44140625" customWidth="1"/>
    <col min="6920" max="6920" width="15.5546875" bestFit="1" customWidth="1"/>
    <col min="6921" max="6921" width="14.44140625" bestFit="1" customWidth="1"/>
    <col min="6922" max="6922" width="15.33203125" customWidth="1"/>
    <col min="6923" max="6923" width="15.88671875" customWidth="1"/>
    <col min="6924" max="6924" width="17.33203125" bestFit="1" customWidth="1"/>
    <col min="6925" max="6925" width="12.6640625" customWidth="1"/>
    <col min="6926" max="6926" width="13.6640625" customWidth="1"/>
    <col min="6927" max="6927" width="14.109375" bestFit="1" customWidth="1"/>
    <col min="6928" max="6928" width="18.44140625" bestFit="1" customWidth="1"/>
    <col min="6929" max="6929" width="20.44140625" bestFit="1" customWidth="1"/>
    <col min="6930" max="6930" width="32.109375" customWidth="1"/>
    <col min="6931" max="6932" width="15.5546875" bestFit="1" customWidth="1"/>
    <col min="6933" max="6933" width="16.44140625" bestFit="1" customWidth="1"/>
    <col min="6934" max="6934" width="13.10937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8.44140625" bestFit="1" customWidth="1"/>
    <col min="7174" max="7174" width="20.109375" bestFit="1" customWidth="1"/>
    <col min="7175" max="7175" width="13.44140625" customWidth="1"/>
    <col min="7176" max="7176" width="15.5546875" bestFit="1" customWidth="1"/>
    <col min="7177" max="7177" width="14.44140625" bestFit="1" customWidth="1"/>
    <col min="7178" max="7178" width="15.33203125" customWidth="1"/>
    <col min="7179" max="7179" width="15.88671875" customWidth="1"/>
    <col min="7180" max="7180" width="17.33203125" bestFit="1" customWidth="1"/>
    <col min="7181" max="7181" width="12.6640625" customWidth="1"/>
    <col min="7182" max="7182" width="13.6640625" customWidth="1"/>
    <col min="7183" max="7183" width="14.109375" bestFit="1" customWidth="1"/>
    <col min="7184" max="7184" width="18.44140625" bestFit="1" customWidth="1"/>
    <col min="7185" max="7185" width="20.44140625" bestFit="1" customWidth="1"/>
    <col min="7186" max="7186" width="32.109375" customWidth="1"/>
    <col min="7187" max="7188" width="15.5546875" bestFit="1" customWidth="1"/>
    <col min="7189" max="7189" width="16.44140625" bestFit="1" customWidth="1"/>
    <col min="7190" max="7190" width="13.10937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8.44140625" bestFit="1" customWidth="1"/>
    <col min="7430" max="7430" width="20.109375" bestFit="1" customWidth="1"/>
    <col min="7431" max="7431" width="13.44140625" customWidth="1"/>
    <col min="7432" max="7432" width="15.5546875" bestFit="1" customWidth="1"/>
    <col min="7433" max="7433" width="14.44140625" bestFit="1" customWidth="1"/>
    <col min="7434" max="7434" width="15.33203125" customWidth="1"/>
    <col min="7435" max="7435" width="15.88671875" customWidth="1"/>
    <col min="7436" max="7436" width="17.33203125" bestFit="1" customWidth="1"/>
    <col min="7437" max="7437" width="12.6640625" customWidth="1"/>
    <col min="7438" max="7438" width="13.6640625" customWidth="1"/>
    <col min="7439" max="7439" width="14.109375" bestFit="1" customWidth="1"/>
    <col min="7440" max="7440" width="18.44140625" bestFit="1" customWidth="1"/>
    <col min="7441" max="7441" width="20.44140625" bestFit="1" customWidth="1"/>
    <col min="7442" max="7442" width="32.109375" customWidth="1"/>
    <col min="7443" max="7444" width="15.5546875" bestFit="1" customWidth="1"/>
    <col min="7445" max="7445" width="16.44140625" bestFit="1" customWidth="1"/>
    <col min="7446" max="7446" width="13.10937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8.44140625" bestFit="1" customWidth="1"/>
    <col min="7686" max="7686" width="20.109375" bestFit="1" customWidth="1"/>
    <col min="7687" max="7687" width="13.44140625" customWidth="1"/>
    <col min="7688" max="7688" width="15.5546875" bestFit="1" customWidth="1"/>
    <col min="7689" max="7689" width="14.44140625" bestFit="1" customWidth="1"/>
    <col min="7690" max="7690" width="15.33203125" customWidth="1"/>
    <col min="7691" max="7691" width="15.88671875" customWidth="1"/>
    <col min="7692" max="7692" width="17.33203125" bestFit="1" customWidth="1"/>
    <col min="7693" max="7693" width="12.6640625" customWidth="1"/>
    <col min="7694" max="7694" width="13.6640625" customWidth="1"/>
    <col min="7695" max="7695" width="14.109375" bestFit="1" customWidth="1"/>
    <col min="7696" max="7696" width="18.44140625" bestFit="1" customWidth="1"/>
    <col min="7697" max="7697" width="20.44140625" bestFit="1" customWidth="1"/>
    <col min="7698" max="7698" width="32.109375" customWidth="1"/>
    <col min="7699" max="7700" width="15.5546875" bestFit="1" customWidth="1"/>
    <col min="7701" max="7701" width="16.44140625" bestFit="1" customWidth="1"/>
    <col min="7702" max="7702" width="13.10937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8.44140625" bestFit="1" customWidth="1"/>
    <col min="7942" max="7942" width="20.109375" bestFit="1" customWidth="1"/>
    <col min="7943" max="7943" width="13.44140625" customWidth="1"/>
    <col min="7944" max="7944" width="15.5546875" bestFit="1" customWidth="1"/>
    <col min="7945" max="7945" width="14.44140625" bestFit="1" customWidth="1"/>
    <col min="7946" max="7946" width="15.33203125" customWidth="1"/>
    <col min="7947" max="7947" width="15.88671875" customWidth="1"/>
    <col min="7948" max="7948" width="17.33203125" bestFit="1" customWidth="1"/>
    <col min="7949" max="7949" width="12.6640625" customWidth="1"/>
    <col min="7950" max="7950" width="13.6640625" customWidth="1"/>
    <col min="7951" max="7951" width="14.109375" bestFit="1" customWidth="1"/>
    <col min="7952" max="7952" width="18.44140625" bestFit="1" customWidth="1"/>
    <col min="7953" max="7953" width="20.44140625" bestFit="1" customWidth="1"/>
    <col min="7954" max="7954" width="32.109375" customWidth="1"/>
    <col min="7955" max="7956" width="15.5546875" bestFit="1" customWidth="1"/>
    <col min="7957" max="7957" width="16.44140625" bestFit="1" customWidth="1"/>
    <col min="7958" max="7958" width="13.10937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8.44140625" bestFit="1" customWidth="1"/>
    <col min="8198" max="8198" width="20.109375" bestFit="1" customWidth="1"/>
    <col min="8199" max="8199" width="13.44140625" customWidth="1"/>
    <col min="8200" max="8200" width="15.5546875" bestFit="1" customWidth="1"/>
    <col min="8201" max="8201" width="14.44140625" bestFit="1" customWidth="1"/>
    <col min="8202" max="8202" width="15.33203125" customWidth="1"/>
    <col min="8203" max="8203" width="15.88671875" customWidth="1"/>
    <col min="8204" max="8204" width="17.33203125" bestFit="1" customWidth="1"/>
    <col min="8205" max="8205" width="12.6640625" customWidth="1"/>
    <col min="8206" max="8206" width="13.6640625" customWidth="1"/>
    <col min="8207" max="8207" width="14.109375" bestFit="1" customWidth="1"/>
    <col min="8208" max="8208" width="18.44140625" bestFit="1" customWidth="1"/>
    <col min="8209" max="8209" width="20.44140625" bestFit="1" customWidth="1"/>
    <col min="8210" max="8210" width="32.109375" customWidth="1"/>
    <col min="8211" max="8212" width="15.5546875" bestFit="1" customWidth="1"/>
    <col min="8213" max="8213" width="16.44140625" bestFit="1" customWidth="1"/>
    <col min="8214" max="8214" width="13.10937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8.44140625" bestFit="1" customWidth="1"/>
    <col min="8454" max="8454" width="20.109375" bestFit="1" customWidth="1"/>
    <col min="8455" max="8455" width="13.44140625" customWidth="1"/>
    <col min="8456" max="8456" width="15.5546875" bestFit="1" customWidth="1"/>
    <col min="8457" max="8457" width="14.44140625" bestFit="1" customWidth="1"/>
    <col min="8458" max="8458" width="15.33203125" customWidth="1"/>
    <col min="8459" max="8459" width="15.88671875" customWidth="1"/>
    <col min="8460" max="8460" width="17.33203125" bestFit="1" customWidth="1"/>
    <col min="8461" max="8461" width="12.6640625" customWidth="1"/>
    <col min="8462" max="8462" width="13.6640625" customWidth="1"/>
    <col min="8463" max="8463" width="14.109375" bestFit="1" customWidth="1"/>
    <col min="8464" max="8464" width="18.44140625" bestFit="1" customWidth="1"/>
    <col min="8465" max="8465" width="20.44140625" bestFit="1" customWidth="1"/>
    <col min="8466" max="8466" width="32.109375" customWidth="1"/>
    <col min="8467" max="8468" width="15.5546875" bestFit="1" customWidth="1"/>
    <col min="8469" max="8469" width="16.44140625" bestFit="1" customWidth="1"/>
    <col min="8470" max="8470" width="13.10937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8.44140625" bestFit="1" customWidth="1"/>
    <col min="8710" max="8710" width="20.109375" bestFit="1" customWidth="1"/>
    <col min="8711" max="8711" width="13.44140625" customWidth="1"/>
    <col min="8712" max="8712" width="15.5546875" bestFit="1" customWidth="1"/>
    <col min="8713" max="8713" width="14.44140625" bestFit="1" customWidth="1"/>
    <col min="8714" max="8714" width="15.33203125" customWidth="1"/>
    <col min="8715" max="8715" width="15.88671875" customWidth="1"/>
    <col min="8716" max="8716" width="17.33203125" bestFit="1" customWidth="1"/>
    <col min="8717" max="8717" width="12.6640625" customWidth="1"/>
    <col min="8718" max="8718" width="13.6640625" customWidth="1"/>
    <col min="8719" max="8719" width="14.109375" bestFit="1" customWidth="1"/>
    <col min="8720" max="8720" width="18.44140625" bestFit="1" customWidth="1"/>
    <col min="8721" max="8721" width="20.44140625" bestFit="1" customWidth="1"/>
    <col min="8722" max="8722" width="32.109375" customWidth="1"/>
    <col min="8723" max="8724" width="15.5546875" bestFit="1" customWidth="1"/>
    <col min="8725" max="8725" width="16.44140625" bestFit="1" customWidth="1"/>
    <col min="8726" max="8726" width="13.10937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8.44140625" bestFit="1" customWidth="1"/>
    <col min="8966" max="8966" width="20.109375" bestFit="1" customWidth="1"/>
    <col min="8967" max="8967" width="13.44140625" customWidth="1"/>
    <col min="8968" max="8968" width="15.5546875" bestFit="1" customWidth="1"/>
    <col min="8969" max="8969" width="14.44140625" bestFit="1" customWidth="1"/>
    <col min="8970" max="8970" width="15.33203125" customWidth="1"/>
    <col min="8971" max="8971" width="15.88671875" customWidth="1"/>
    <col min="8972" max="8972" width="17.33203125" bestFit="1" customWidth="1"/>
    <col min="8973" max="8973" width="12.6640625" customWidth="1"/>
    <col min="8974" max="8974" width="13.6640625" customWidth="1"/>
    <col min="8975" max="8975" width="14.109375" bestFit="1" customWidth="1"/>
    <col min="8976" max="8976" width="18.44140625" bestFit="1" customWidth="1"/>
    <col min="8977" max="8977" width="20.44140625" bestFit="1" customWidth="1"/>
    <col min="8978" max="8978" width="32.109375" customWidth="1"/>
    <col min="8979" max="8980" width="15.5546875" bestFit="1" customWidth="1"/>
    <col min="8981" max="8981" width="16.44140625" bestFit="1" customWidth="1"/>
    <col min="8982" max="8982" width="13.10937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8.44140625" bestFit="1" customWidth="1"/>
    <col min="9222" max="9222" width="20.109375" bestFit="1" customWidth="1"/>
    <col min="9223" max="9223" width="13.44140625" customWidth="1"/>
    <col min="9224" max="9224" width="15.5546875" bestFit="1" customWidth="1"/>
    <col min="9225" max="9225" width="14.44140625" bestFit="1" customWidth="1"/>
    <col min="9226" max="9226" width="15.33203125" customWidth="1"/>
    <col min="9227" max="9227" width="15.88671875" customWidth="1"/>
    <col min="9228" max="9228" width="17.33203125" bestFit="1" customWidth="1"/>
    <col min="9229" max="9229" width="12.6640625" customWidth="1"/>
    <col min="9230" max="9230" width="13.6640625" customWidth="1"/>
    <col min="9231" max="9231" width="14.109375" bestFit="1" customWidth="1"/>
    <col min="9232" max="9232" width="18.44140625" bestFit="1" customWidth="1"/>
    <col min="9233" max="9233" width="20.44140625" bestFit="1" customWidth="1"/>
    <col min="9234" max="9234" width="32.109375" customWidth="1"/>
    <col min="9235" max="9236" width="15.5546875" bestFit="1" customWidth="1"/>
    <col min="9237" max="9237" width="16.44140625" bestFit="1" customWidth="1"/>
    <col min="9238" max="9238" width="13.10937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8.44140625" bestFit="1" customWidth="1"/>
    <col min="9478" max="9478" width="20.109375" bestFit="1" customWidth="1"/>
    <col min="9479" max="9479" width="13.44140625" customWidth="1"/>
    <col min="9480" max="9480" width="15.5546875" bestFit="1" customWidth="1"/>
    <col min="9481" max="9481" width="14.44140625" bestFit="1" customWidth="1"/>
    <col min="9482" max="9482" width="15.33203125" customWidth="1"/>
    <col min="9483" max="9483" width="15.88671875" customWidth="1"/>
    <col min="9484" max="9484" width="17.33203125" bestFit="1" customWidth="1"/>
    <col min="9485" max="9485" width="12.6640625" customWidth="1"/>
    <col min="9486" max="9486" width="13.6640625" customWidth="1"/>
    <col min="9487" max="9487" width="14.109375" bestFit="1" customWidth="1"/>
    <col min="9488" max="9488" width="18.44140625" bestFit="1" customWidth="1"/>
    <col min="9489" max="9489" width="20.44140625" bestFit="1" customWidth="1"/>
    <col min="9490" max="9490" width="32.109375" customWidth="1"/>
    <col min="9491" max="9492" width="15.5546875" bestFit="1" customWidth="1"/>
    <col min="9493" max="9493" width="16.44140625" bestFit="1" customWidth="1"/>
    <col min="9494" max="9494" width="13.10937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8.44140625" bestFit="1" customWidth="1"/>
    <col min="9734" max="9734" width="20.109375" bestFit="1" customWidth="1"/>
    <col min="9735" max="9735" width="13.44140625" customWidth="1"/>
    <col min="9736" max="9736" width="15.5546875" bestFit="1" customWidth="1"/>
    <col min="9737" max="9737" width="14.44140625" bestFit="1" customWidth="1"/>
    <col min="9738" max="9738" width="15.33203125" customWidth="1"/>
    <col min="9739" max="9739" width="15.88671875" customWidth="1"/>
    <col min="9740" max="9740" width="17.33203125" bestFit="1" customWidth="1"/>
    <col min="9741" max="9741" width="12.6640625" customWidth="1"/>
    <col min="9742" max="9742" width="13.6640625" customWidth="1"/>
    <col min="9743" max="9743" width="14.109375" bestFit="1" customWidth="1"/>
    <col min="9744" max="9744" width="18.44140625" bestFit="1" customWidth="1"/>
    <col min="9745" max="9745" width="20.44140625" bestFit="1" customWidth="1"/>
    <col min="9746" max="9746" width="32.109375" customWidth="1"/>
    <col min="9747" max="9748" width="15.5546875" bestFit="1" customWidth="1"/>
    <col min="9749" max="9749" width="16.44140625" bestFit="1" customWidth="1"/>
    <col min="9750" max="9750" width="13.10937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8.44140625" bestFit="1" customWidth="1"/>
    <col min="9990" max="9990" width="20.109375" bestFit="1" customWidth="1"/>
    <col min="9991" max="9991" width="13.44140625" customWidth="1"/>
    <col min="9992" max="9992" width="15.5546875" bestFit="1" customWidth="1"/>
    <col min="9993" max="9993" width="14.44140625" bestFit="1" customWidth="1"/>
    <col min="9994" max="9994" width="15.33203125" customWidth="1"/>
    <col min="9995" max="9995" width="15.88671875" customWidth="1"/>
    <col min="9996" max="9996" width="17.33203125" bestFit="1" customWidth="1"/>
    <col min="9997" max="9997" width="12.6640625" customWidth="1"/>
    <col min="9998" max="9998" width="13.6640625" customWidth="1"/>
    <col min="9999" max="9999" width="14.109375" bestFit="1" customWidth="1"/>
    <col min="10000" max="10000" width="18.44140625" bestFit="1" customWidth="1"/>
    <col min="10001" max="10001" width="20.44140625" bestFit="1" customWidth="1"/>
    <col min="10002" max="10002" width="32.109375" customWidth="1"/>
    <col min="10003" max="10004" width="15.5546875" bestFit="1" customWidth="1"/>
    <col min="10005" max="10005" width="16.44140625" bestFit="1" customWidth="1"/>
    <col min="10006" max="10006" width="13.10937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8.44140625" bestFit="1" customWidth="1"/>
    <col min="10246" max="10246" width="20.109375" bestFit="1" customWidth="1"/>
    <col min="10247" max="10247" width="13.44140625" customWidth="1"/>
    <col min="10248" max="10248" width="15.5546875" bestFit="1" customWidth="1"/>
    <col min="10249" max="10249" width="14.44140625" bestFit="1" customWidth="1"/>
    <col min="10250" max="10250" width="15.33203125" customWidth="1"/>
    <col min="10251" max="10251" width="15.88671875" customWidth="1"/>
    <col min="10252" max="10252" width="17.33203125" bestFit="1" customWidth="1"/>
    <col min="10253" max="10253" width="12.6640625" customWidth="1"/>
    <col min="10254" max="10254" width="13.6640625" customWidth="1"/>
    <col min="10255" max="10255" width="14.109375" bestFit="1" customWidth="1"/>
    <col min="10256" max="10256" width="18.44140625" bestFit="1" customWidth="1"/>
    <col min="10257" max="10257" width="20.44140625" bestFit="1" customWidth="1"/>
    <col min="10258" max="10258" width="32.109375" customWidth="1"/>
    <col min="10259" max="10260" width="15.5546875" bestFit="1" customWidth="1"/>
    <col min="10261" max="10261" width="16.44140625" bestFit="1" customWidth="1"/>
    <col min="10262" max="10262" width="13.10937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8.44140625" bestFit="1" customWidth="1"/>
    <col min="10502" max="10502" width="20.109375" bestFit="1" customWidth="1"/>
    <col min="10503" max="10503" width="13.44140625" customWidth="1"/>
    <col min="10504" max="10504" width="15.5546875" bestFit="1" customWidth="1"/>
    <col min="10505" max="10505" width="14.44140625" bestFit="1" customWidth="1"/>
    <col min="10506" max="10506" width="15.33203125" customWidth="1"/>
    <col min="10507" max="10507" width="15.88671875" customWidth="1"/>
    <col min="10508" max="10508" width="17.33203125" bestFit="1" customWidth="1"/>
    <col min="10509" max="10509" width="12.6640625" customWidth="1"/>
    <col min="10510" max="10510" width="13.6640625" customWidth="1"/>
    <col min="10511" max="10511" width="14.109375" bestFit="1" customWidth="1"/>
    <col min="10512" max="10512" width="18.44140625" bestFit="1" customWidth="1"/>
    <col min="10513" max="10513" width="20.44140625" bestFit="1" customWidth="1"/>
    <col min="10514" max="10514" width="32.109375" customWidth="1"/>
    <col min="10515" max="10516" width="15.5546875" bestFit="1" customWidth="1"/>
    <col min="10517" max="10517" width="16.44140625" bestFit="1" customWidth="1"/>
    <col min="10518" max="10518" width="13.10937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8.44140625" bestFit="1" customWidth="1"/>
    <col min="10758" max="10758" width="20.109375" bestFit="1" customWidth="1"/>
    <col min="10759" max="10759" width="13.44140625" customWidth="1"/>
    <col min="10760" max="10760" width="15.5546875" bestFit="1" customWidth="1"/>
    <col min="10761" max="10761" width="14.44140625" bestFit="1" customWidth="1"/>
    <col min="10762" max="10762" width="15.33203125" customWidth="1"/>
    <col min="10763" max="10763" width="15.88671875" customWidth="1"/>
    <col min="10764" max="10764" width="17.33203125" bestFit="1" customWidth="1"/>
    <col min="10765" max="10765" width="12.6640625" customWidth="1"/>
    <col min="10766" max="10766" width="13.6640625" customWidth="1"/>
    <col min="10767" max="10767" width="14.109375" bestFit="1" customWidth="1"/>
    <col min="10768" max="10768" width="18.44140625" bestFit="1" customWidth="1"/>
    <col min="10769" max="10769" width="20.44140625" bestFit="1" customWidth="1"/>
    <col min="10770" max="10770" width="32.109375" customWidth="1"/>
    <col min="10771" max="10772" width="15.5546875" bestFit="1" customWidth="1"/>
    <col min="10773" max="10773" width="16.44140625" bestFit="1" customWidth="1"/>
    <col min="10774" max="10774" width="13.10937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8.44140625" bestFit="1" customWidth="1"/>
    <col min="11014" max="11014" width="20.109375" bestFit="1" customWidth="1"/>
    <col min="11015" max="11015" width="13.44140625" customWidth="1"/>
    <col min="11016" max="11016" width="15.5546875" bestFit="1" customWidth="1"/>
    <col min="11017" max="11017" width="14.44140625" bestFit="1" customWidth="1"/>
    <col min="11018" max="11018" width="15.33203125" customWidth="1"/>
    <col min="11019" max="11019" width="15.88671875" customWidth="1"/>
    <col min="11020" max="11020" width="17.33203125" bestFit="1" customWidth="1"/>
    <col min="11021" max="11021" width="12.6640625" customWidth="1"/>
    <col min="11022" max="11022" width="13.6640625" customWidth="1"/>
    <col min="11023" max="11023" width="14.109375" bestFit="1" customWidth="1"/>
    <col min="11024" max="11024" width="18.44140625" bestFit="1" customWidth="1"/>
    <col min="11025" max="11025" width="20.44140625" bestFit="1" customWidth="1"/>
    <col min="11026" max="11026" width="32.109375" customWidth="1"/>
    <col min="11027" max="11028" width="15.5546875" bestFit="1" customWidth="1"/>
    <col min="11029" max="11029" width="16.44140625" bestFit="1" customWidth="1"/>
    <col min="11030" max="11030" width="13.10937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8.44140625" bestFit="1" customWidth="1"/>
    <col min="11270" max="11270" width="20.109375" bestFit="1" customWidth="1"/>
    <col min="11271" max="11271" width="13.44140625" customWidth="1"/>
    <col min="11272" max="11272" width="15.5546875" bestFit="1" customWidth="1"/>
    <col min="11273" max="11273" width="14.44140625" bestFit="1" customWidth="1"/>
    <col min="11274" max="11274" width="15.33203125" customWidth="1"/>
    <col min="11275" max="11275" width="15.88671875" customWidth="1"/>
    <col min="11276" max="11276" width="17.33203125" bestFit="1" customWidth="1"/>
    <col min="11277" max="11277" width="12.6640625" customWidth="1"/>
    <col min="11278" max="11278" width="13.6640625" customWidth="1"/>
    <col min="11279" max="11279" width="14.109375" bestFit="1" customWidth="1"/>
    <col min="11280" max="11280" width="18.44140625" bestFit="1" customWidth="1"/>
    <col min="11281" max="11281" width="20.44140625" bestFit="1" customWidth="1"/>
    <col min="11282" max="11282" width="32.109375" customWidth="1"/>
    <col min="11283" max="11284" width="15.5546875" bestFit="1" customWidth="1"/>
    <col min="11285" max="11285" width="16.44140625" bestFit="1" customWidth="1"/>
    <col min="11286" max="11286" width="13.10937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8.44140625" bestFit="1" customWidth="1"/>
    <col min="11526" max="11526" width="20.109375" bestFit="1" customWidth="1"/>
    <col min="11527" max="11527" width="13.44140625" customWidth="1"/>
    <col min="11528" max="11528" width="15.5546875" bestFit="1" customWidth="1"/>
    <col min="11529" max="11529" width="14.44140625" bestFit="1" customWidth="1"/>
    <col min="11530" max="11530" width="15.33203125" customWidth="1"/>
    <col min="11531" max="11531" width="15.88671875" customWidth="1"/>
    <col min="11532" max="11532" width="17.33203125" bestFit="1" customWidth="1"/>
    <col min="11533" max="11533" width="12.6640625" customWidth="1"/>
    <col min="11534" max="11534" width="13.6640625" customWidth="1"/>
    <col min="11535" max="11535" width="14.109375" bestFit="1" customWidth="1"/>
    <col min="11536" max="11536" width="18.44140625" bestFit="1" customWidth="1"/>
    <col min="11537" max="11537" width="20.44140625" bestFit="1" customWidth="1"/>
    <col min="11538" max="11538" width="32.109375" customWidth="1"/>
    <col min="11539" max="11540" width="15.5546875" bestFit="1" customWidth="1"/>
    <col min="11541" max="11541" width="16.44140625" bestFit="1" customWidth="1"/>
    <col min="11542" max="11542" width="13.10937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8.44140625" bestFit="1" customWidth="1"/>
    <col min="11782" max="11782" width="20.109375" bestFit="1" customWidth="1"/>
    <col min="11783" max="11783" width="13.44140625" customWidth="1"/>
    <col min="11784" max="11784" width="15.5546875" bestFit="1" customWidth="1"/>
    <col min="11785" max="11785" width="14.44140625" bestFit="1" customWidth="1"/>
    <col min="11786" max="11786" width="15.33203125" customWidth="1"/>
    <col min="11787" max="11787" width="15.88671875" customWidth="1"/>
    <col min="11788" max="11788" width="17.33203125" bestFit="1" customWidth="1"/>
    <col min="11789" max="11789" width="12.6640625" customWidth="1"/>
    <col min="11790" max="11790" width="13.6640625" customWidth="1"/>
    <col min="11791" max="11791" width="14.109375" bestFit="1" customWidth="1"/>
    <col min="11792" max="11792" width="18.44140625" bestFit="1" customWidth="1"/>
    <col min="11793" max="11793" width="20.44140625" bestFit="1" customWidth="1"/>
    <col min="11794" max="11794" width="32.109375" customWidth="1"/>
    <col min="11795" max="11796" width="15.5546875" bestFit="1" customWidth="1"/>
    <col min="11797" max="11797" width="16.44140625" bestFit="1" customWidth="1"/>
    <col min="11798" max="11798" width="13.10937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8.44140625" bestFit="1" customWidth="1"/>
    <col min="12038" max="12038" width="20.109375" bestFit="1" customWidth="1"/>
    <col min="12039" max="12039" width="13.44140625" customWidth="1"/>
    <col min="12040" max="12040" width="15.5546875" bestFit="1" customWidth="1"/>
    <col min="12041" max="12041" width="14.44140625" bestFit="1" customWidth="1"/>
    <col min="12042" max="12042" width="15.33203125" customWidth="1"/>
    <col min="12043" max="12043" width="15.88671875" customWidth="1"/>
    <col min="12044" max="12044" width="17.33203125" bestFit="1" customWidth="1"/>
    <col min="12045" max="12045" width="12.6640625" customWidth="1"/>
    <col min="12046" max="12046" width="13.6640625" customWidth="1"/>
    <col min="12047" max="12047" width="14.109375" bestFit="1" customWidth="1"/>
    <col min="12048" max="12048" width="18.44140625" bestFit="1" customWidth="1"/>
    <col min="12049" max="12049" width="20.44140625" bestFit="1" customWidth="1"/>
    <col min="12050" max="12050" width="32.109375" customWidth="1"/>
    <col min="12051" max="12052" width="15.5546875" bestFit="1" customWidth="1"/>
    <col min="12053" max="12053" width="16.44140625" bestFit="1" customWidth="1"/>
    <col min="12054" max="12054" width="13.10937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8.44140625" bestFit="1" customWidth="1"/>
    <col min="12294" max="12294" width="20.109375" bestFit="1" customWidth="1"/>
    <col min="12295" max="12295" width="13.44140625" customWidth="1"/>
    <col min="12296" max="12296" width="15.5546875" bestFit="1" customWidth="1"/>
    <col min="12297" max="12297" width="14.44140625" bestFit="1" customWidth="1"/>
    <col min="12298" max="12298" width="15.33203125" customWidth="1"/>
    <col min="12299" max="12299" width="15.88671875" customWidth="1"/>
    <col min="12300" max="12300" width="17.33203125" bestFit="1" customWidth="1"/>
    <col min="12301" max="12301" width="12.6640625" customWidth="1"/>
    <col min="12302" max="12302" width="13.6640625" customWidth="1"/>
    <col min="12303" max="12303" width="14.109375" bestFit="1" customWidth="1"/>
    <col min="12304" max="12304" width="18.44140625" bestFit="1" customWidth="1"/>
    <col min="12305" max="12305" width="20.44140625" bestFit="1" customWidth="1"/>
    <col min="12306" max="12306" width="32.109375" customWidth="1"/>
    <col min="12307" max="12308" width="15.5546875" bestFit="1" customWidth="1"/>
    <col min="12309" max="12309" width="16.44140625" bestFit="1" customWidth="1"/>
    <col min="12310" max="12310" width="13.10937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8.44140625" bestFit="1" customWidth="1"/>
    <col min="12550" max="12550" width="20.109375" bestFit="1" customWidth="1"/>
    <col min="12551" max="12551" width="13.44140625" customWidth="1"/>
    <col min="12552" max="12552" width="15.5546875" bestFit="1" customWidth="1"/>
    <col min="12553" max="12553" width="14.44140625" bestFit="1" customWidth="1"/>
    <col min="12554" max="12554" width="15.33203125" customWidth="1"/>
    <col min="12555" max="12555" width="15.88671875" customWidth="1"/>
    <col min="12556" max="12556" width="17.33203125" bestFit="1" customWidth="1"/>
    <col min="12557" max="12557" width="12.6640625" customWidth="1"/>
    <col min="12558" max="12558" width="13.6640625" customWidth="1"/>
    <col min="12559" max="12559" width="14.109375" bestFit="1" customWidth="1"/>
    <col min="12560" max="12560" width="18.44140625" bestFit="1" customWidth="1"/>
    <col min="12561" max="12561" width="20.44140625" bestFit="1" customWidth="1"/>
    <col min="12562" max="12562" width="32.109375" customWidth="1"/>
    <col min="12563" max="12564" width="15.5546875" bestFit="1" customWidth="1"/>
    <col min="12565" max="12565" width="16.44140625" bestFit="1" customWidth="1"/>
    <col min="12566" max="12566" width="13.10937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8.44140625" bestFit="1" customWidth="1"/>
    <col min="12806" max="12806" width="20.109375" bestFit="1" customWidth="1"/>
    <col min="12807" max="12807" width="13.44140625" customWidth="1"/>
    <col min="12808" max="12808" width="15.5546875" bestFit="1" customWidth="1"/>
    <col min="12809" max="12809" width="14.44140625" bestFit="1" customWidth="1"/>
    <col min="12810" max="12810" width="15.33203125" customWidth="1"/>
    <col min="12811" max="12811" width="15.88671875" customWidth="1"/>
    <col min="12812" max="12812" width="17.33203125" bestFit="1" customWidth="1"/>
    <col min="12813" max="12813" width="12.6640625" customWidth="1"/>
    <col min="12814" max="12814" width="13.6640625" customWidth="1"/>
    <col min="12815" max="12815" width="14.109375" bestFit="1" customWidth="1"/>
    <col min="12816" max="12816" width="18.44140625" bestFit="1" customWidth="1"/>
    <col min="12817" max="12817" width="20.44140625" bestFit="1" customWidth="1"/>
    <col min="12818" max="12818" width="32.109375" customWidth="1"/>
    <col min="12819" max="12820" width="15.5546875" bestFit="1" customWidth="1"/>
    <col min="12821" max="12821" width="16.44140625" bestFit="1" customWidth="1"/>
    <col min="12822" max="12822" width="13.10937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8.44140625" bestFit="1" customWidth="1"/>
    <col min="13062" max="13062" width="20.109375" bestFit="1" customWidth="1"/>
    <col min="13063" max="13063" width="13.44140625" customWidth="1"/>
    <col min="13064" max="13064" width="15.5546875" bestFit="1" customWidth="1"/>
    <col min="13065" max="13065" width="14.44140625" bestFit="1" customWidth="1"/>
    <col min="13066" max="13066" width="15.33203125" customWidth="1"/>
    <col min="13067" max="13067" width="15.88671875" customWidth="1"/>
    <col min="13068" max="13068" width="17.33203125" bestFit="1" customWidth="1"/>
    <col min="13069" max="13069" width="12.6640625" customWidth="1"/>
    <col min="13070" max="13070" width="13.6640625" customWidth="1"/>
    <col min="13071" max="13071" width="14.109375" bestFit="1" customWidth="1"/>
    <col min="13072" max="13072" width="18.44140625" bestFit="1" customWidth="1"/>
    <col min="13073" max="13073" width="20.44140625" bestFit="1" customWidth="1"/>
    <col min="13074" max="13074" width="32.109375" customWidth="1"/>
    <col min="13075" max="13076" width="15.5546875" bestFit="1" customWidth="1"/>
    <col min="13077" max="13077" width="16.44140625" bestFit="1" customWidth="1"/>
    <col min="13078" max="13078" width="13.10937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8.44140625" bestFit="1" customWidth="1"/>
    <col min="13318" max="13318" width="20.109375" bestFit="1" customWidth="1"/>
    <col min="13319" max="13319" width="13.44140625" customWidth="1"/>
    <col min="13320" max="13320" width="15.5546875" bestFit="1" customWidth="1"/>
    <col min="13321" max="13321" width="14.44140625" bestFit="1" customWidth="1"/>
    <col min="13322" max="13322" width="15.33203125" customWidth="1"/>
    <col min="13323" max="13323" width="15.88671875" customWidth="1"/>
    <col min="13324" max="13324" width="17.33203125" bestFit="1" customWidth="1"/>
    <col min="13325" max="13325" width="12.6640625" customWidth="1"/>
    <col min="13326" max="13326" width="13.6640625" customWidth="1"/>
    <col min="13327" max="13327" width="14.109375" bestFit="1" customWidth="1"/>
    <col min="13328" max="13328" width="18.44140625" bestFit="1" customWidth="1"/>
    <col min="13329" max="13329" width="20.44140625" bestFit="1" customWidth="1"/>
    <col min="13330" max="13330" width="32.109375" customWidth="1"/>
    <col min="13331" max="13332" width="15.5546875" bestFit="1" customWidth="1"/>
    <col min="13333" max="13333" width="16.44140625" bestFit="1" customWidth="1"/>
    <col min="13334" max="13334" width="13.10937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8.44140625" bestFit="1" customWidth="1"/>
    <col min="13574" max="13574" width="20.109375" bestFit="1" customWidth="1"/>
    <col min="13575" max="13575" width="13.44140625" customWidth="1"/>
    <col min="13576" max="13576" width="15.5546875" bestFit="1" customWidth="1"/>
    <col min="13577" max="13577" width="14.44140625" bestFit="1" customWidth="1"/>
    <col min="13578" max="13578" width="15.33203125" customWidth="1"/>
    <col min="13579" max="13579" width="15.88671875" customWidth="1"/>
    <col min="13580" max="13580" width="17.33203125" bestFit="1" customWidth="1"/>
    <col min="13581" max="13581" width="12.6640625" customWidth="1"/>
    <col min="13582" max="13582" width="13.6640625" customWidth="1"/>
    <col min="13583" max="13583" width="14.109375" bestFit="1" customWidth="1"/>
    <col min="13584" max="13584" width="18.44140625" bestFit="1" customWidth="1"/>
    <col min="13585" max="13585" width="20.44140625" bestFit="1" customWidth="1"/>
    <col min="13586" max="13586" width="32.109375" customWidth="1"/>
    <col min="13587" max="13588" width="15.5546875" bestFit="1" customWidth="1"/>
    <col min="13589" max="13589" width="16.44140625" bestFit="1" customWidth="1"/>
    <col min="13590" max="13590" width="13.10937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8.44140625" bestFit="1" customWidth="1"/>
    <col min="13830" max="13830" width="20.109375" bestFit="1" customWidth="1"/>
    <col min="13831" max="13831" width="13.44140625" customWidth="1"/>
    <col min="13832" max="13832" width="15.5546875" bestFit="1" customWidth="1"/>
    <col min="13833" max="13833" width="14.44140625" bestFit="1" customWidth="1"/>
    <col min="13834" max="13834" width="15.33203125" customWidth="1"/>
    <col min="13835" max="13835" width="15.88671875" customWidth="1"/>
    <col min="13836" max="13836" width="17.33203125" bestFit="1" customWidth="1"/>
    <col min="13837" max="13837" width="12.6640625" customWidth="1"/>
    <col min="13838" max="13838" width="13.6640625" customWidth="1"/>
    <col min="13839" max="13839" width="14.109375" bestFit="1" customWidth="1"/>
    <col min="13840" max="13840" width="18.44140625" bestFit="1" customWidth="1"/>
    <col min="13841" max="13841" width="20.44140625" bestFit="1" customWidth="1"/>
    <col min="13842" max="13842" width="32.109375" customWidth="1"/>
    <col min="13843" max="13844" width="15.5546875" bestFit="1" customWidth="1"/>
    <col min="13845" max="13845" width="16.44140625" bestFit="1" customWidth="1"/>
    <col min="13846" max="13846" width="13.10937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8.44140625" bestFit="1" customWidth="1"/>
    <col min="14086" max="14086" width="20.109375" bestFit="1" customWidth="1"/>
    <col min="14087" max="14087" width="13.44140625" customWidth="1"/>
    <col min="14088" max="14088" width="15.5546875" bestFit="1" customWidth="1"/>
    <col min="14089" max="14089" width="14.44140625" bestFit="1" customWidth="1"/>
    <col min="14090" max="14090" width="15.33203125" customWidth="1"/>
    <col min="14091" max="14091" width="15.88671875" customWidth="1"/>
    <col min="14092" max="14092" width="17.33203125" bestFit="1" customWidth="1"/>
    <col min="14093" max="14093" width="12.6640625" customWidth="1"/>
    <col min="14094" max="14094" width="13.6640625" customWidth="1"/>
    <col min="14095" max="14095" width="14.109375" bestFit="1" customWidth="1"/>
    <col min="14096" max="14096" width="18.44140625" bestFit="1" customWidth="1"/>
    <col min="14097" max="14097" width="20.44140625" bestFit="1" customWidth="1"/>
    <col min="14098" max="14098" width="32.109375" customWidth="1"/>
    <col min="14099" max="14100" width="15.5546875" bestFit="1" customWidth="1"/>
    <col min="14101" max="14101" width="16.44140625" bestFit="1" customWidth="1"/>
    <col min="14102" max="14102" width="13.10937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8.44140625" bestFit="1" customWidth="1"/>
    <col min="14342" max="14342" width="20.109375" bestFit="1" customWidth="1"/>
    <col min="14343" max="14343" width="13.44140625" customWidth="1"/>
    <col min="14344" max="14344" width="15.5546875" bestFit="1" customWidth="1"/>
    <col min="14345" max="14345" width="14.44140625" bestFit="1" customWidth="1"/>
    <col min="14346" max="14346" width="15.33203125" customWidth="1"/>
    <col min="14347" max="14347" width="15.88671875" customWidth="1"/>
    <col min="14348" max="14348" width="17.33203125" bestFit="1" customWidth="1"/>
    <col min="14349" max="14349" width="12.6640625" customWidth="1"/>
    <col min="14350" max="14350" width="13.6640625" customWidth="1"/>
    <col min="14351" max="14351" width="14.109375" bestFit="1" customWidth="1"/>
    <col min="14352" max="14352" width="18.44140625" bestFit="1" customWidth="1"/>
    <col min="14353" max="14353" width="20.44140625" bestFit="1" customWidth="1"/>
    <col min="14354" max="14354" width="32.109375" customWidth="1"/>
    <col min="14355" max="14356" width="15.5546875" bestFit="1" customWidth="1"/>
    <col min="14357" max="14357" width="16.44140625" bestFit="1" customWidth="1"/>
    <col min="14358" max="14358" width="13.10937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8.44140625" bestFit="1" customWidth="1"/>
    <col min="14598" max="14598" width="20.109375" bestFit="1" customWidth="1"/>
    <col min="14599" max="14599" width="13.44140625" customWidth="1"/>
    <col min="14600" max="14600" width="15.5546875" bestFit="1" customWidth="1"/>
    <col min="14601" max="14601" width="14.44140625" bestFit="1" customWidth="1"/>
    <col min="14602" max="14602" width="15.33203125" customWidth="1"/>
    <col min="14603" max="14603" width="15.88671875" customWidth="1"/>
    <col min="14604" max="14604" width="17.33203125" bestFit="1" customWidth="1"/>
    <col min="14605" max="14605" width="12.6640625" customWidth="1"/>
    <col min="14606" max="14606" width="13.6640625" customWidth="1"/>
    <col min="14607" max="14607" width="14.109375" bestFit="1" customWidth="1"/>
    <col min="14608" max="14608" width="18.44140625" bestFit="1" customWidth="1"/>
    <col min="14609" max="14609" width="20.44140625" bestFit="1" customWidth="1"/>
    <col min="14610" max="14610" width="32.109375" customWidth="1"/>
    <col min="14611" max="14612" width="15.5546875" bestFit="1" customWidth="1"/>
    <col min="14613" max="14613" width="16.44140625" bestFit="1" customWidth="1"/>
    <col min="14614" max="14614" width="13.10937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8.44140625" bestFit="1" customWidth="1"/>
    <col min="14854" max="14854" width="20.109375" bestFit="1" customWidth="1"/>
    <col min="14855" max="14855" width="13.44140625" customWidth="1"/>
    <col min="14856" max="14856" width="15.5546875" bestFit="1" customWidth="1"/>
    <col min="14857" max="14857" width="14.44140625" bestFit="1" customWidth="1"/>
    <col min="14858" max="14858" width="15.33203125" customWidth="1"/>
    <col min="14859" max="14859" width="15.88671875" customWidth="1"/>
    <col min="14860" max="14860" width="17.33203125" bestFit="1" customWidth="1"/>
    <col min="14861" max="14861" width="12.6640625" customWidth="1"/>
    <col min="14862" max="14862" width="13.6640625" customWidth="1"/>
    <col min="14863" max="14863" width="14.109375" bestFit="1" customWidth="1"/>
    <col min="14864" max="14864" width="18.44140625" bestFit="1" customWidth="1"/>
    <col min="14865" max="14865" width="20.44140625" bestFit="1" customWidth="1"/>
    <col min="14866" max="14866" width="32.109375" customWidth="1"/>
    <col min="14867" max="14868" width="15.5546875" bestFit="1" customWidth="1"/>
    <col min="14869" max="14869" width="16.44140625" bestFit="1" customWidth="1"/>
    <col min="14870" max="14870" width="13.10937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8.44140625" bestFit="1" customWidth="1"/>
    <col min="15110" max="15110" width="20.109375" bestFit="1" customWidth="1"/>
    <col min="15111" max="15111" width="13.44140625" customWidth="1"/>
    <col min="15112" max="15112" width="15.5546875" bestFit="1" customWidth="1"/>
    <col min="15113" max="15113" width="14.44140625" bestFit="1" customWidth="1"/>
    <col min="15114" max="15114" width="15.33203125" customWidth="1"/>
    <col min="15115" max="15115" width="15.88671875" customWidth="1"/>
    <col min="15116" max="15116" width="17.33203125" bestFit="1" customWidth="1"/>
    <col min="15117" max="15117" width="12.6640625" customWidth="1"/>
    <col min="15118" max="15118" width="13.6640625" customWidth="1"/>
    <col min="15119" max="15119" width="14.109375" bestFit="1" customWidth="1"/>
    <col min="15120" max="15120" width="18.44140625" bestFit="1" customWidth="1"/>
    <col min="15121" max="15121" width="20.44140625" bestFit="1" customWidth="1"/>
    <col min="15122" max="15122" width="32.109375" customWidth="1"/>
    <col min="15123" max="15124" width="15.5546875" bestFit="1" customWidth="1"/>
    <col min="15125" max="15125" width="16.44140625" bestFit="1" customWidth="1"/>
    <col min="15126" max="15126" width="13.10937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8.44140625" bestFit="1" customWidth="1"/>
    <col min="15366" max="15366" width="20.109375" bestFit="1" customWidth="1"/>
    <col min="15367" max="15367" width="13.44140625" customWidth="1"/>
    <col min="15368" max="15368" width="15.5546875" bestFit="1" customWidth="1"/>
    <col min="15369" max="15369" width="14.44140625" bestFit="1" customWidth="1"/>
    <col min="15370" max="15370" width="15.33203125" customWidth="1"/>
    <col min="15371" max="15371" width="15.88671875" customWidth="1"/>
    <col min="15372" max="15372" width="17.33203125" bestFit="1" customWidth="1"/>
    <col min="15373" max="15373" width="12.6640625" customWidth="1"/>
    <col min="15374" max="15374" width="13.6640625" customWidth="1"/>
    <col min="15375" max="15375" width="14.109375" bestFit="1" customWidth="1"/>
    <col min="15376" max="15376" width="18.44140625" bestFit="1" customWidth="1"/>
    <col min="15377" max="15377" width="20.44140625" bestFit="1" customWidth="1"/>
    <col min="15378" max="15378" width="32.109375" customWidth="1"/>
    <col min="15379" max="15380" width="15.5546875" bestFit="1" customWidth="1"/>
    <col min="15381" max="15381" width="16.44140625" bestFit="1" customWidth="1"/>
    <col min="15382" max="15382" width="13.10937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8.44140625" bestFit="1" customWidth="1"/>
    <col min="15622" max="15622" width="20.109375" bestFit="1" customWidth="1"/>
    <col min="15623" max="15623" width="13.44140625" customWidth="1"/>
    <col min="15624" max="15624" width="15.5546875" bestFit="1" customWidth="1"/>
    <col min="15625" max="15625" width="14.44140625" bestFit="1" customWidth="1"/>
    <col min="15626" max="15626" width="15.33203125" customWidth="1"/>
    <col min="15627" max="15627" width="15.88671875" customWidth="1"/>
    <col min="15628" max="15628" width="17.33203125" bestFit="1" customWidth="1"/>
    <col min="15629" max="15629" width="12.6640625" customWidth="1"/>
    <col min="15630" max="15630" width="13.6640625" customWidth="1"/>
    <col min="15631" max="15631" width="14.109375" bestFit="1" customWidth="1"/>
    <col min="15632" max="15632" width="18.44140625" bestFit="1" customWidth="1"/>
    <col min="15633" max="15633" width="20.44140625" bestFit="1" customWidth="1"/>
    <col min="15634" max="15634" width="32.109375" customWidth="1"/>
    <col min="15635" max="15636" width="15.5546875" bestFit="1" customWidth="1"/>
    <col min="15637" max="15637" width="16.44140625" bestFit="1" customWidth="1"/>
    <col min="15638" max="15638" width="13.10937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8.44140625" bestFit="1" customWidth="1"/>
    <col min="15878" max="15878" width="20.109375" bestFit="1" customWidth="1"/>
    <col min="15879" max="15879" width="13.44140625" customWidth="1"/>
    <col min="15880" max="15880" width="15.5546875" bestFit="1" customWidth="1"/>
    <col min="15881" max="15881" width="14.44140625" bestFit="1" customWidth="1"/>
    <col min="15882" max="15882" width="15.33203125" customWidth="1"/>
    <col min="15883" max="15883" width="15.88671875" customWidth="1"/>
    <col min="15884" max="15884" width="17.33203125" bestFit="1" customWidth="1"/>
    <col min="15885" max="15885" width="12.6640625" customWidth="1"/>
    <col min="15886" max="15886" width="13.6640625" customWidth="1"/>
    <col min="15887" max="15887" width="14.109375" bestFit="1" customWidth="1"/>
    <col min="15888" max="15888" width="18.44140625" bestFit="1" customWidth="1"/>
    <col min="15889" max="15889" width="20.44140625" bestFit="1" customWidth="1"/>
    <col min="15890" max="15890" width="32.109375" customWidth="1"/>
    <col min="15891" max="15892" width="15.5546875" bestFit="1" customWidth="1"/>
    <col min="15893" max="15893" width="16.44140625" bestFit="1" customWidth="1"/>
    <col min="15894" max="15894" width="13.10937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8.44140625" bestFit="1" customWidth="1"/>
    <col min="16134" max="16134" width="20.109375" bestFit="1" customWidth="1"/>
    <col min="16135" max="16135" width="13.44140625" customWidth="1"/>
    <col min="16136" max="16136" width="15.5546875" bestFit="1" customWidth="1"/>
    <col min="16137" max="16137" width="14.44140625" bestFit="1" customWidth="1"/>
    <col min="16138" max="16138" width="15.33203125" customWidth="1"/>
    <col min="16139" max="16139" width="15.88671875" customWidth="1"/>
    <col min="16140" max="16140" width="17.33203125" bestFit="1" customWidth="1"/>
    <col min="16141" max="16141" width="12.6640625" customWidth="1"/>
    <col min="16142" max="16142" width="13.6640625" customWidth="1"/>
    <col min="16143" max="16143" width="14.109375" bestFit="1" customWidth="1"/>
    <col min="16144" max="16144" width="18.44140625" bestFit="1" customWidth="1"/>
    <col min="16145" max="16145" width="20.44140625" bestFit="1" customWidth="1"/>
    <col min="16146" max="16146" width="32.109375" customWidth="1"/>
    <col min="16147" max="16148" width="15.5546875" bestFit="1" customWidth="1"/>
    <col min="16149" max="16149" width="16.44140625" bestFit="1" customWidth="1"/>
    <col min="16150" max="16150" width="13.10937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3.5" customHeight="1" thickBot="1" x14ac:dyDescent="0.35">
      <c r="B1" s="3881"/>
      <c r="F1" s="202"/>
      <c r="G1" s="202">
        <f>C3</f>
        <v>18230625</v>
      </c>
      <c r="H1" s="202" t="str">
        <f>C4</f>
        <v>HomePrint - Electric</v>
      </c>
      <c r="I1" s="202"/>
    </row>
    <row r="2" spans="2:22" ht="16.5" customHeight="1" thickBot="1" x14ac:dyDescent="0.35">
      <c r="B2" s="202" t="s">
        <v>131</v>
      </c>
      <c r="C2" s="203" t="s">
        <v>252</v>
      </c>
      <c r="G2" s="204" t="s">
        <v>8</v>
      </c>
      <c r="Q2" s="4765"/>
      <c r="R2" s="4765"/>
      <c r="S2" s="4762" t="s">
        <v>132</v>
      </c>
      <c r="T2" s="4763"/>
      <c r="U2" s="4764"/>
      <c r="V2" s="4766" t="s">
        <v>133</v>
      </c>
    </row>
    <row r="3" spans="2:22" ht="16.2" thickBot="1" x14ac:dyDescent="0.35">
      <c r="B3" s="203" t="s">
        <v>6</v>
      </c>
      <c r="C3" s="203">
        <v>18230625</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253</v>
      </c>
      <c r="F4" s="202">
        <v>2011</v>
      </c>
      <c r="G4" s="210">
        <f>B12</f>
        <v>139521.48000000001</v>
      </c>
      <c r="H4" s="211">
        <f>B17</f>
        <v>23060.28</v>
      </c>
      <c r="I4" s="211">
        <f>B22</f>
        <v>102426.5</v>
      </c>
      <c r="J4" s="211">
        <f>B27</f>
        <v>66000</v>
      </c>
      <c r="K4" s="211">
        <f>B32</f>
        <v>16200</v>
      </c>
      <c r="L4" s="211">
        <f>B37</f>
        <v>0</v>
      </c>
      <c r="M4" s="211">
        <f>B42</f>
        <v>0</v>
      </c>
      <c r="N4" s="211">
        <f>B47</f>
        <v>26804.59</v>
      </c>
      <c r="O4" s="212">
        <f>B52</f>
        <v>958817.54</v>
      </c>
      <c r="P4" s="211">
        <f>B53</f>
        <v>0</v>
      </c>
      <c r="Q4" s="213">
        <f>B54</f>
        <v>1332830.3900000001</v>
      </c>
      <c r="R4" s="214">
        <f>T54</f>
        <v>3330000</v>
      </c>
      <c r="S4" s="215">
        <f>O4/Q4</f>
        <v>0.71938451223339828</v>
      </c>
      <c r="T4" s="215">
        <f>(J4+(H4*1.63))/Q4</f>
        <v>7.7720509058920834E-2</v>
      </c>
      <c r="U4" s="215">
        <f>L4/Q4</f>
        <v>0</v>
      </c>
      <c r="V4" s="216">
        <f>Q4/R4</f>
        <v>0.40024936636636643</v>
      </c>
    </row>
    <row r="5" spans="2:22" ht="16.2" thickBot="1" x14ac:dyDescent="0.35">
      <c r="B5" s="202" t="s">
        <v>34</v>
      </c>
      <c r="F5" s="202">
        <v>2012</v>
      </c>
      <c r="G5" s="217">
        <f>D12</f>
        <v>194544</v>
      </c>
      <c r="H5" s="218">
        <f>D17</f>
        <v>36000</v>
      </c>
      <c r="I5" s="218">
        <f>D22</f>
        <v>145242.72</v>
      </c>
      <c r="J5" s="218">
        <f>D27</f>
        <v>66000</v>
      </c>
      <c r="K5" s="218">
        <f>D32</f>
        <v>16200</v>
      </c>
      <c r="L5" s="218">
        <f>D37</f>
        <v>0</v>
      </c>
      <c r="M5" s="218">
        <f>D42</f>
        <v>0</v>
      </c>
      <c r="N5" s="218">
        <f>D47</f>
        <v>40000</v>
      </c>
      <c r="O5" s="218">
        <f>D52</f>
        <v>1292000</v>
      </c>
      <c r="P5" s="218">
        <f>D53</f>
        <v>0</v>
      </c>
      <c r="Q5" s="219">
        <f>SUM(G5:P5)</f>
        <v>1789986.72</v>
      </c>
      <c r="R5" s="220">
        <f>P54</f>
        <v>4050000</v>
      </c>
      <c r="S5" s="221">
        <f>O5/Q5</f>
        <v>0.72179306447591973</v>
      </c>
      <c r="T5" s="221">
        <f>(J5+(H5*1.63))/Q5</f>
        <v>6.9654148048651443E-2</v>
      </c>
      <c r="U5" s="221">
        <f>L5/Q5</f>
        <v>0</v>
      </c>
      <c r="V5" s="222">
        <f>Q5/R5</f>
        <v>0.44197202962962961</v>
      </c>
    </row>
    <row r="6" spans="2:22" ht="16.2" thickBot="1" x14ac:dyDescent="0.35">
      <c r="C6" s="202" t="s">
        <v>254</v>
      </c>
      <c r="F6" s="202">
        <v>2013</v>
      </c>
      <c r="G6" s="223">
        <f>E12</f>
        <v>200380.25</v>
      </c>
      <c r="H6" s="224">
        <f>E17</f>
        <v>36900</v>
      </c>
      <c r="I6" s="224">
        <f>E22</f>
        <v>149486.5575</v>
      </c>
      <c r="J6" s="224">
        <f>E27</f>
        <v>66000</v>
      </c>
      <c r="K6" s="224">
        <f>E32</f>
        <v>16200</v>
      </c>
      <c r="L6" s="224">
        <f>E37</f>
        <v>0</v>
      </c>
      <c r="M6" s="224">
        <f>E42</f>
        <v>0</v>
      </c>
      <c r="N6" s="224">
        <f>E47</f>
        <v>40000</v>
      </c>
      <c r="O6" s="224">
        <f>E52</f>
        <v>1292000</v>
      </c>
      <c r="P6" s="224">
        <f>E53</f>
        <v>0</v>
      </c>
      <c r="Q6" s="225">
        <f>SUM(G6:P6)</f>
        <v>1800966.8075000001</v>
      </c>
      <c r="R6" s="226">
        <f>Q54</f>
        <v>4050000</v>
      </c>
      <c r="S6" s="221">
        <f>O6/Q6</f>
        <v>0.71739245532985751</v>
      </c>
      <c r="T6" s="221">
        <f>(J6+(H6*1.63))/Q6</f>
        <v>7.0044044940012026E-2</v>
      </c>
      <c r="U6" s="221">
        <f>L6/Q6</f>
        <v>0</v>
      </c>
      <c r="V6" s="222">
        <f>Q6/R6</f>
        <v>0.44468316234567906</v>
      </c>
    </row>
    <row r="7" spans="2:22" ht="16.2" thickBot="1" x14ac:dyDescent="0.35">
      <c r="C7" s="227" t="s">
        <v>255</v>
      </c>
      <c r="F7" s="228" t="s">
        <v>140</v>
      </c>
      <c r="G7" s="229">
        <f>SUM(G5:G6)</f>
        <v>394924.25</v>
      </c>
      <c r="H7" s="229">
        <f t="shared" ref="H7:P7" si="0">SUM(H5:H6)</f>
        <v>72900</v>
      </c>
      <c r="I7" s="229">
        <f t="shared" si="0"/>
        <v>294729.27749999997</v>
      </c>
      <c r="J7" s="229">
        <f t="shared" si="0"/>
        <v>132000</v>
      </c>
      <c r="K7" s="229">
        <f t="shared" si="0"/>
        <v>32400</v>
      </c>
      <c r="L7" s="229">
        <f t="shared" si="0"/>
        <v>0</v>
      </c>
      <c r="M7" s="229">
        <f t="shared" si="0"/>
        <v>0</v>
      </c>
      <c r="N7" s="229">
        <f t="shared" si="0"/>
        <v>80000</v>
      </c>
      <c r="O7" s="229">
        <f t="shared" si="0"/>
        <v>2584000</v>
      </c>
      <c r="P7" s="229">
        <f t="shared" si="0"/>
        <v>0</v>
      </c>
      <c r="Q7" s="230">
        <f>SUM(G7:P7)</f>
        <v>3590953.5274999999</v>
      </c>
      <c r="R7" s="231">
        <f>R54</f>
        <v>8100000</v>
      </c>
      <c r="S7" s="221">
        <f>O7/Q7</f>
        <v>0.71958603201388827</v>
      </c>
      <c r="T7" s="221">
        <f>(J7+(H7*1.63))/Q7</f>
        <v>6.9849692589762993E-2</v>
      </c>
      <c r="U7" s="221">
        <f>L7/Q7</f>
        <v>0</v>
      </c>
      <c r="V7" s="222">
        <f>Q7/R7</f>
        <v>0.44332759598765431</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43">
        <v>139521.48000000001</v>
      </c>
      <c r="C12" s="244" t="s">
        <v>161</v>
      </c>
      <c r="D12" s="245">
        <f>SUM(D13:D16)</f>
        <v>194544</v>
      </c>
      <c r="E12" s="245">
        <f>SUM(E13:E16)</f>
        <v>200380.25</v>
      </c>
      <c r="F12" s="246">
        <f>D12+E12</f>
        <v>394924.25</v>
      </c>
      <c r="H12" s="135"/>
      <c r="I12" s="247" t="str">
        <f t="shared" ref="I12:I53" si="1">C62</f>
        <v>CFL bulbs -DI</v>
      </c>
      <c r="J12" s="248"/>
      <c r="K12" s="249"/>
      <c r="L12" s="250">
        <f t="shared" ref="L12:L53" si="2">D62</f>
        <v>23</v>
      </c>
      <c r="M12" s="251">
        <f>M13*18</f>
        <v>144000</v>
      </c>
      <c r="N12" s="251">
        <f>N13*18</f>
        <v>144000</v>
      </c>
      <c r="O12" s="252">
        <f>M12+N12</f>
        <v>288000</v>
      </c>
      <c r="P12" s="253">
        <f t="shared" ref="P12:R27" si="3">M12*$D62</f>
        <v>3312000</v>
      </c>
      <c r="Q12" s="253">
        <f t="shared" si="3"/>
        <v>3312000</v>
      </c>
      <c r="R12" s="254">
        <f t="shared" si="3"/>
        <v>6624000</v>
      </c>
      <c r="T12" s="255">
        <v>3330000</v>
      </c>
    </row>
    <row r="13" spans="2:22" ht="13.8" x14ac:dyDescent="0.3">
      <c r="B13" s="256"/>
      <c r="C13" s="257" t="s">
        <v>162</v>
      </c>
      <c r="D13" s="258">
        <v>194544</v>
      </c>
      <c r="E13" s="258">
        <v>200380.25</v>
      </c>
      <c r="F13" s="258">
        <f>SUM(D13:E13)</f>
        <v>394924.25</v>
      </c>
      <c r="H13" s="135"/>
      <c r="I13" s="259" t="str">
        <f t="shared" si="1"/>
        <v>HomePrint Assessment</v>
      </c>
      <c r="J13" s="260"/>
      <c r="K13" s="261"/>
      <c r="L13" s="250">
        <f t="shared" si="2"/>
        <v>0</v>
      </c>
      <c r="M13" s="251">
        <v>8000</v>
      </c>
      <c r="N13" s="262">
        <v>8000</v>
      </c>
      <c r="O13" s="252">
        <f t="shared" ref="O13:O53" si="4">M13+N13</f>
        <v>16000</v>
      </c>
      <c r="P13" s="253">
        <f t="shared" si="3"/>
        <v>0</v>
      </c>
      <c r="Q13" s="253">
        <f t="shared" si="3"/>
        <v>0</v>
      </c>
      <c r="R13" s="254">
        <f t="shared" si="3"/>
        <v>0</v>
      </c>
      <c r="T13" s="263">
        <v>0</v>
      </c>
    </row>
    <row r="14" spans="2:22" ht="13.8" x14ac:dyDescent="0.3">
      <c r="B14" s="264"/>
      <c r="C14" s="265" t="s">
        <v>163</v>
      </c>
      <c r="D14" s="266">
        <v>0</v>
      </c>
      <c r="E14" s="266"/>
      <c r="F14" s="258">
        <f t="shared" ref="F14:F24" si="5">SUM(D14:E14)</f>
        <v>0</v>
      </c>
      <c r="H14" s="135"/>
      <c r="I14" s="259" t="str">
        <f t="shared" si="1"/>
        <v>showerhead - leave behind</v>
      </c>
      <c r="J14" s="260"/>
      <c r="K14" s="261"/>
      <c r="L14" s="250">
        <f t="shared" si="2"/>
        <v>123</v>
      </c>
      <c r="M14" s="267">
        <v>6000</v>
      </c>
      <c r="N14" s="267">
        <v>6000</v>
      </c>
      <c r="O14" s="252">
        <f t="shared" si="4"/>
        <v>12000</v>
      </c>
      <c r="P14" s="253">
        <f t="shared" si="3"/>
        <v>738000</v>
      </c>
      <c r="Q14" s="253">
        <f t="shared" si="3"/>
        <v>738000</v>
      </c>
      <c r="R14" s="254">
        <f t="shared" si="3"/>
        <v>1476000</v>
      </c>
      <c r="T14" s="263">
        <v>0</v>
      </c>
    </row>
    <row r="15" spans="2:22" ht="13.8" x14ac:dyDescent="0.3">
      <c r="B15" s="264"/>
      <c r="C15" s="265" t="s">
        <v>164</v>
      </c>
      <c r="D15" s="268">
        <v>0</v>
      </c>
      <c r="E15" s="268"/>
      <c r="F15" s="258">
        <f t="shared" si="5"/>
        <v>0</v>
      </c>
      <c r="H15" s="135"/>
      <c r="I15" s="259" t="str">
        <f t="shared" si="1"/>
        <v>Measure 4</v>
      </c>
      <c r="J15" s="260"/>
      <c r="K15" s="261"/>
      <c r="L15" s="250">
        <f t="shared" si="2"/>
        <v>0</v>
      </c>
      <c r="M15" s="267">
        <v>0</v>
      </c>
      <c r="N15" s="267">
        <v>0</v>
      </c>
      <c r="O15" s="252">
        <f t="shared" si="4"/>
        <v>0</v>
      </c>
      <c r="P15" s="253">
        <f t="shared" si="3"/>
        <v>0</v>
      </c>
      <c r="Q15" s="253">
        <f t="shared" si="3"/>
        <v>0</v>
      </c>
      <c r="R15" s="254">
        <f t="shared" si="3"/>
        <v>0</v>
      </c>
      <c r="T15" s="263">
        <v>0</v>
      </c>
    </row>
    <row r="16" spans="2:22" ht="14.4" thickBot="1" x14ac:dyDescent="0.35">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43">
        <v>23060.28</v>
      </c>
      <c r="C17" s="244" t="s">
        <v>166</v>
      </c>
      <c r="D17" s="245">
        <f>SUM(D18:D21)</f>
        <v>36000</v>
      </c>
      <c r="E17" s="245">
        <f>SUM(E18:E21)</f>
        <v>36900</v>
      </c>
      <c r="F17" s="246">
        <f>D17+E17</f>
        <v>72900</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257" t="s">
        <v>162</v>
      </c>
      <c r="D18" s="258">
        <v>36000</v>
      </c>
      <c r="E18" s="258">
        <v>36900</v>
      </c>
      <c r="F18" s="258">
        <f t="shared" si="5"/>
        <v>72900</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43">
        <v>102426.5</v>
      </c>
      <c r="C22" s="244" t="s">
        <v>167</v>
      </c>
      <c r="D22" s="245">
        <f>SUM(D23:D26)</f>
        <v>145242.72</v>
      </c>
      <c r="E22" s="245">
        <f>SUM(E23:E26)</f>
        <v>149486.5575</v>
      </c>
      <c r="F22" s="246">
        <f>D22+E22</f>
        <v>294729.27749999997</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69"/>
      <c r="C23" s="257" t="s">
        <v>168</v>
      </c>
      <c r="D23" s="258">
        <f>0.63*D12</f>
        <v>122562.72</v>
      </c>
      <c r="E23" s="258">
        <f>0.63*E12</f>
        <v>126239.5575</v>
      </c>
      <c r="F23" s="258">
        <f t="shared" si="5"/>
        <v>248802.2775</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22680</v>
      </c>
      <c r="E24" s="266">
        <f>0.63*E17</f>
        <v>23247</v>
      </c>
      <c r="F24" s="258">
        <f t="shared" si="5"/>
        <v>45927</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43">
        <v>66000</v>
      </c>
      <c r="C27" s="244" t="s">
        <v>170</v>
      </c>
      <c r="D27" s="245">
        <f>SUM(D28:D31)</f>
        <v>66000</v>
      </c>
      <c r="E27" s="245">
        <f>SUM(E28:E31)</f>
        <v>66000</v>
      </c>
      <c r="F27" s="246">
        <f>D27+E27</f>
        <v>132000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v>66000</v>
      </c>
      <c r="E28" s="258">
        <v>66000</v>
      </c>
      <c r="F28" s="258">
        <f t="shared" ref="F28:F36" si="6">SUM(D28:E28)</f>
        <v>132000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43">
        <v>16200</v>
      </c>
      <c r="C32" s="244" t="s">
        <v>171</v>
      </c>
      <c r="D32" s="245">
        <f>SUM(D33:D36)</f>
        <v>16200</v>
      </c>
      <c r="E32" s="245">
        <f>SUM(E33:E36)</f>
        <v>16200</v>
      </c>
      <c r="F32" s="246">
        <f>D32+E32</f>
        <v>32400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16200</v>
      </c>
      <c r="E33" s="266">
        <v>16200</v>
      </c>
      <c r="F33" s="258">
        <f t="shared" si="6"/>
        <v>32400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43">
        <v>0</v>
      </c>
      <c r="C37" s="244" t="s">
        <v>172</v>
      </c>
      <c r="D37" s="245">
        <f>SUM(D38:D41)</f>
        <v>0</v>
      </c>
      <c r="E37" s="245">
        <f>SUM(E38:E41)</f>
        <v>0</v>
      </c>
      <c r="F37" s="246">
        <f>D37+E37</f>
        <v>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0</v>
      </c>
      <c r="E38" s="266"/>
      <c r="F38" s="258">
        <f t="shared" ref="F38:F51" si="8">SUM(D38:E38)</f>
        <v>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43">
        <v>0</v>
      </c>
      <c r="C42" s="244" t="s">
        <v>173</v>
      </c>
      <c r="D42" s="245">
        <f>SUM(D43:D46)</f>
        <v>0</v>
      </c>
      <c r="E42" s="245">
        <f>SUM(E43:E46)</f>
        <v>0</v>
      </c>
      <c r="F42" s="246">
        <f>D42+E42</f>
        <v>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0</v>
      </c>
      <c r="E43" s="266"/>
      <c r="F43" s="258">
        <f t="shared" si="8"/>
        <v>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43">
        <v>26804.59</v>
      </c>
      <c r="C47" s="244" t="s">
        <v>174</v>
      </c>
      <c r="D47" s="245">
        <f>SUM(D48:D51)</f>
        <v>40000</v>
      </c>
      <c r="E47" s="245">
        <f>SUM(E48:E51)</f>
        <v>40000</v>
      </c>
      <c r="F47" s="246">
        <f>D47+E47</f>
        <v>80000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f>M13*5</f>
        <v>40000</v>
      </c>
      <c r="E48" s="266">
        <f>N13*5</f>
        <v>40000</v>
      </c>
      <c r="F48" s="258">
        <f t="shared" si="8"/>
        <v>80000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4"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4"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4"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4" ht="14.4" thickBot="1" x14ac:dyDescent="0.35">
      <c r="B52" s="243">
        <v>958817.54</v>
      </c>
      <c r="C52" s="244" t="s">
        <v>175</v>
      </c>
      <c r="D52" s="245">
        <f>S104</f>
        <v>1292000</v>
      </c>
      <c r="E52" s="245">
        <f>T104</f>
        <v>1292000</v>
      </c>
      <c r="F52" s="246">
        <f>U104</f>
        <v>2584000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4"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4" ht="13.8" x14ac:dyDescent="0.3">
      <c r="B54" s="273">
        <f>B12+B17+B22+B27+B32+B37+B42+B47+B52+B53</f>
        <v>1332830.3900000001</v>
      </c>
      <c r="C54" s="274" t="s">
        <v>178</v>
      </c>
      <c r="D54" s="273">
        <f>D12+D17+D22+D27+D32+D37+D42+D47+D52+D53</f>
        <v>1789986.72</v>
      </c>
      <c r="E54" s="273">
        <f>E12+E17+E22+E27+E32+E37+E42+E47+E52+E53</f>
        <v>1800966.8075000001</v>
      </c>
      <c r="F54" s="273">
        <f>F12+F17+F22+F27+F32+F37+F42+F47+F52+F53</f>
        <v>3590953.5274999999</v>
      </c>
      <c r="P54" s="275">
        <f>SUM(P12:P53)</f>
        <v>4050000</v>
      </c>
      <c r="Q54" s="275">
        <f>SUM(Q12:Q53)</f>
        <v>4050000</v>
      </c>
      <c r="R54" s="275">
        <f>SUM(R12:R53)</f>
        <v>8100000</v>
      </c>
      <c r="T54" s="275">
        <f>SUM(T12:T53)</f>
        <v>3330000</v>
      </c>
    </row>
    <row r="55" spans="2:24" ht="13.8" x14ac:dyDescent="0.3">
      <c r="C55" s="274"/>
      <c r="D55" s="273"/>
      <c r="E55" s="273"/>
      <c r="F55" s="273"/>
    </row>
    <row r="56" spans="2:24" ht="13.8" x14ac:dyDescent="0.3">
      <c r="C56" s="274" t="s">
        <v>179</v>
      </c>
      <c r="D56" s="273">
        <f>D54-D52</f>
        <v>497986.72</v>
      </c>
      <c r="E56" s="273">
        <f>E54-E52</f>
        <v>508966.80750000011</v>
      </c>
      <c r="F56" s="273">
        <f>F54-F52</f>
        <v>1006953.5274999999</v>
      </c>
    </row>
    <row r="57" spans="2:24" ht="13.8" x14ac:dyDescent="0.3">
      <c r="C57" s="274" t="s">
        <v>180</v>
      </c>
      <c r="D57" s="276">
        <f>D52</f>
        <v>1292000</v>
      </c>
      <c r="E57" s="276">
        <f>E52</f>
        <v>1292000</v>
      </c>
      <c r="F57" s="276">
        <f>F52</f>
        <v>2584000</v>
      </c>
      <c r="G57" s="277">
        <f>F57/(F56+F57)</f>
        <v>0.71958603201388827</v>
      </c>
      <c r="H57" s="278" t="s">
        <v>181</v>
      </c>
    </row>
    <row r="58" spans="2:24" ht="13.8" thickBot="1" x14ac:dyDescent="0.3"/>
    <row r="59" spans="2:24" ht="16.2" thickBot="1" x14ac:dyDescent="0.35">
      <c r="B59" s="279" t="s">
        <v>182</v>
      </c>
      <c r="C59" s="280"/>
      <c r="D59" s="4760" t="s">
        <v>183</v>
      </c>
      <c r="E59" s="4761"/>
      <c r="F59" s="4761"/>
      <c r="G59" s="4761"/>
      <c r="H59" s="4761"/>
      <c r="K59" s="281"/>
    </row>
    <row r="60" spans="2:24"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4"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row>
    <row r="62" spans="2:24" ht="13.8" x14ac:dyDescent="0.3">
      <c r="B62" s="288">
        <v>554</v>
      </c>
      <c r="C62" s="288" t="s">
        <v>205</v>
      </c>
      <c r="D62" s="288">
        <v>23</v>
      </c>
      <c r="E62" s="288" t="s">
        <v>206</v>
      </c>
      <c r="F62" s="288" t="s">
        <v>207</v>
      </c>
      <c r="G62" s="289">
        <v>3</v>
      </c>
      <c r="H62" s="289">
        <v>3</v>
      </c>
      <c r="I62" s="290">
        <f>R12/R54</f>
        <v>0.81777777777777783</v>
      </c>
      <c r="J62" s="288">
        <v>5</v>
      </c>
      <c r="K62" s="288" t="s">
        <v>208</v>
      </c>
      <c r="L62" s="291">
        <f>P62/N62</f>
        <v>1.7195291070531509</v>
      </c>
      <c r="M62" s="291">
        <f>Q62/O62</f>
        <v>1.8914820177584661</v>
      </c>
      <c r="N62" s="218">
        <f>(($I62*$F$56)+$U62)/$R62</f>
        <v>1561021.4783019838</v>
      </c>
      <c r="O62" s="218">
        <f>(($I62*$F$56)+($G62*$O12))/$R62</f>
        <v>1561021.4783019838</v>
      </c>
      <c r="P62" s="218">
        <f>IF(K62=0, 0, (HLOOKUP(K62,'[1]E-CESTDWO'!$A$5:$O$35,J62+1,FALSE)*R12))</f>
        <v>2684221.8686753996</v>
      </c>
      <c r="Q62" s="218">
        <f>IF(K62=0, 0, (HLOOKUP(K62,'[1]E-CESTD'!$A$5:$O$35,J62+1,FALSE)*R12))</f>
        <v>2952644.0555429398</v>
      </c>
      <c r="R62" s="292">
        <v>1.081</v>
      </c>
      <c r="S62" s="293">
        <f t="shared" ref="S62:U77" si="10">M12*$H62</f>
        <v>432000</v>
      </c>
      <c r="T62" s="293">
        <f t="shared" si="10"/>
        <v>432000</v>
      </c>
      <c r="U62" s="293">
        <f t="shared" si="10"/>
        <v>864000</v>
      </c>
      <c r="V62" s="294">
        <f>U62/(U62+(I62*F$56))</f>
        <v>0.51201085674057467</v>
      </c>
      <c r="W62" s="294">
        <f t="shared" ref="W62:W80" si="11">(I62*((F$17*1.63)+F$27))/(U62+(I62*F$56))</f>
        <v>0.1215556125417435</v>
      </c>
      <c r="X62" s="294">
        <f>(I62*F$37)/(U62+(I62*F$56))</f>
        <v>0</v>
      </c>
    </row>
    <row r="63" spans="2:24" ht="13.8" x14ac:dyDescent="0.3">
      <c r="B63" s="295"/>
      <c r="C63" s="295" t="s">
        <v>209</v>
      </c>
      <c r="D63" s="295"/>
      <c r="E63" s="295"/>
      <c r="F63" s="295"/>
      <c r="G63" s="289">
        <v>100</v>
      </c>
      <c r="H63" s="289">
        <v>100</v>
      </c>
      <c r="I63" s="290">
        <v>0</v>
      </c>
      <c r="J63" s="288"/>
      <c r="K63" s="288"/>
      <c r="L63" s="291">
        <f t="shared" ref="L63:M103" si="12">P63/N63</f>
        <v>0</v>
      </c>
      <c r="M63" s="291">
        <f t="shared" si="12"/>
        <v>0</v>
      </c>
      <c r="N63" s="218">
        <f t="shared" ref="N63:N103" si="13">(($I63*$F$56)+$U63)/$R63</f>
        <v>1480111.0083256245</v>
      </c>
      <c r="O63" s="218">
        <f t="shared" ref="O63:O103" si="14">(($I63*$F$56)+($G63*$O13))/$R63</f>
        <v>1480111.0083256245</v>
      </c>
      <c r="P63" s="218">
        <f>IF(K63=0, 0, (HLOOKUP(K63,'[1]E-CESTDWO'!$A$5:$O$35,J63+1,FALSE)*R13))</f>
        <v>0</v>
      </c>
      <c r="Q63" s="218">
        <f>IF(K63=0, 0, (HLOOKUP(K63,'[1]E-CESTD'!$A$5:$O$35,J63+1,FALSE)*R13))</f>
        <v>0</v>
      </c>
      <c r="R63" s="292">
        <v>1.081</v>
      </c>
      <c r="S63" s="293">
        <f t="shared" si="10"/>
        <v>800000</v>
      </c>
      <c r="T63" s="293">
        <f t="shared" si="10"/>
        <v>800000</v>
      </c>
      <c r="U63" s="293">
        <f t="shared" si="10"/>
        <v>1600000</v>
      </c>
      <c r="V63" s="294">
        <f t="shared" ref="V63:V80" si="15">U63/(U63+(I63*F$56))</f>
        <v>1</v>
      </c>
      <c r="W63" s="294">
        <f t="shared" si="11"/>
        <v>0</v>
      </c>
      <c r="X63" s="294">
        <f t="shared" ref="X63:X80" si="16">(I63*F$37)/(U63+(I63*F$56))</f>
        <v>0</v>
      </c>
    </row>
    <row r="64" spans="2:24" ht="13.8" x14ac:dyDescent="0.3">
      <c r="B64" s="296"/>
      <c r="C64" s="296" t="s">
        <v>210</v>
      </c>
      <c r="D64" s="296">
        <v>123</v>
      </c>
      <c r="E64" s="296" t="s">
        <v>206</v>
      </c>
      <c r="F64" s="296" t="s">
        <v>211</v>
      </c>
      <c r="G64" s="297">
        <v>10</v>
      </c>
      <c r="H64" s="297">
        <v>10</v>
      </c>
      <c r="I64" s="290">
        <f>R14/R54</f>
        <v>0.18222222222222223</v>
      </c>
      <c r="J64" s="267">
        <v>6</v>
      </c>
      <c r="K64" s="267" t="s">
        <v>212</v>
      </c>
      <c r="L64" s="291">
        <f t="shared" si="12"/>
        <v>2.4347473340309587</v>
      </c>
      <c r="M64" s="291">
        <f t="shared" si="12"/>
        <v>2.6782220674340551</v>
      </c>
      <c r="N64" s="218">
        <f t="shared" si="13"/>
        <v>280748.6673964436</v>
      </c>
      <c r="O64" s="218">
        <f t="shared" si="14"/>
        <v>280748.6673964436</v>
      </c>
      <c r="P64" s="218">
        <f>IF(K64=0, 0, (HLOOKUP(K64,'[1]E-CESTDWO'!$A$5:$O$35,J64+1,FALSE)*R14))</f>
        <v>683552.06947623543</v>
      </c>
      <c r="Q64" s="218">
        <f>IF(K64=0, 0, (HLOOKUP(K64,'[1]E-CESTD'!$A$5:$O$35,J64+1,FALSE)*R14))</f>
        <v>751907.27642385906</v>
      </c>
      <c r="R64" s="292">
        <v>1.081</v>
      </c>
      <c r="S64" s="293">
        <f t="shared" si="10"/>
        <v>60000</v>
      </c>
      <c r="T64" s="293">
        <f t="shared" si="10"/>
        <v>60000</v>
      </c>
      <c r="U64" s="293">
        <f t="shared" si="10"/>
        <v>120000</v>
      </c>
      <c r="V64" s="294">
        <f t="shared" si="15"/>
        <v>0.3954010776039325</v>
      </c>
      <c r="W64" s="294">
        <f t="shared" si="11"/>
        <v>0.15060251517698611</v>
      </c>
      <c r="X64" s="294">
        <f t="shared" si="16"/>
        <v>0</v>
      </c>
    </row>
    <row r="65" spans="2:24" ht="13.8" x14ac:dyDescent="0.3">
      <c r="B65" s="296"/>
      <c r="C65" s="296" t="s">
        <v>213</v>
      </c>
      <c r="D65" s="296">
        <v>0</v>
      </c>
      <c r="E65" s="296" t="s">
        <v>206</v>
      </c>
      <c r="F65" s="296" t="s">
        <v>211</v>
      </c>
      <c r="G65" s="297"/>
      <c r="H65" s="297"/>
      <c r="I65" s="298">
        <v>0</v>
      </c>
      <c r="J65" s="267"/>
      <c r="K65" s="267"/>
      <c r="L65" s="291" t="e">
        <f t="shared" si="12"/>
        <v>#DIV/0!</v>
      </c>
      <c r="M65" s="291" t="e">
        <f t="shared" si="12"/>
        <v>#DIV/0!</v>
      </c>
      <c r="N65" s="218">
        <f t="shared" si="13"/>
        <v>0</v>
      </c>
      <c r="O65" s="218">
        <f t="shared" si="14"/>
        <v>0</v>
      </c>
      <c r="P65" s="218">
        <f>IF(K65=0, 0, (HLOOKUP(K65,'[1]E-CESTDWO'!$A$5:$O$35,J65+1,FALSE)*R15))</f>
        <v>0</v>
      </c>
      <c r="Q65" s="218">
        <f>IF(K65=0, 0, (HLOOKUP(K65,'[1]E-CESTD'!$A$5:$O$35,J65+1,FALSE)*R15))</f>
        <v>0</v>
      </c>
      <c r="R65" s="292">
        <v>1.081</v>
      </c>
      <c r="S65" s="293">
        <f t="shared" si="10"/>
        <v>0</v>
      </c>
      <c r="T65" s="293">
        <f t="shared" si="10"/>
        <v>0</v>
      </c>
      <c r="U65" s="293">
        <f t="shared" si="10"/>
        <v>0</v>
      </c>
      <c r="V65" s="294" t="e">
        <f t="shared" si="15"/>
        <v>#DIV/0!</v>
      </c>
      <c r="W65" s="294" t="e">
        <f t="shared" si="11"/>
        <v>#DIV/0!</v>
      </c>
      <c r="X65" s="294" t="e">
        <f t="shared" si="16"/>
        <v>#DIV/0!</v>
      </c>
    </row>
    <row r="66" spans="2:24" ht="13.8" x14ac:dyDescent="0.3">
      <c r="B66" s="296"/>
      <c r="C66" s="296" t="s">
        <v>214</v>
      </c>
      <c r="D66" s="296">
        <v>0</v>
      </c>
      <c r="E66" s="296" t="s">
        <v>206</v>
      </c>
      <c r="F66" s="296" t="s">
        <v>211</v>
      </c>
      <c r="G66" s="297"/>
      <c r="H66" s="297"/>
      <c r="I66" s="298">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294" t="e">
        <f t="shared" si="15"/>
        <v>#DIV/0!</v>
      </c>
      <c r="W66" s="294" t="e">
        <f t="shared" si="11"/>
        <v>#DIV/0!</v>
      </c>
      <c r="X66" s="294" t="e">
        <f t="shared" si="16"/>
        <v>#DIV/0!</v>
      </c>
    </row>
    <row r="67" spans="2:24" ht="13.8" x14ac:dyDescent="0.3">
      <c r="B67" s="296"/>
      <c r="C67" s="296" t="s">
        <v>215</v>
      </c>
      <c r="D67" s="296">
        <v>0</v>
      </c>
      <c r="E67" s="296" t="s">
        <v>206</v>
      </c>
      <c r="F67" s="296" t="s">
        <v>211</v>
      </c>
      <c r="G67" s="297"/>
      <c r="H67" s="297"/>
      <c r="I67" s="298">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294" t="e">
        <f t="shared" si="15"/>
        <v>#DIV/0!</v>
      </c>
      <c r="W67" s="294" t="e">
        <f t="shared" si="11"/>
        <v>#DIV/0!</v>
      </c>
      <c r="X67" s="294" t="e">
        <f t="shared" si="16"/>
        <v>#DIV/0!</v>
      </c>
    </row>
    <row r="68" spans="2:24" ht="13.8" x14ac:dyDescent="0.3">
      <c r="B68" s="296"/>
      <c r="C68" s="296" t="s">
        <v>216</v>
      </c>
      <c r="D68" s="296">
        <v>0</v>
      </c>
      <c r="E68" s="296" t="s">
        <v>206</v>
      </c>
      <c r="F68" s="296" t="s">
        <v>211</v>
      </c>
      <c r="G68" s="297"/>
      <c r="H68" s="297"/>
      <c r="I68" s="298">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294" t="e">
        <f t="shared" si="15"/>
        <v>#DIV/0!</v>
      </c>
      <c r="W68" s="294" t="e">
        <f t="shared" si="11"/>
        <v>#DIV/0!</v>
      </c>
      <c r="X68" s="294" t="e">
        <f t="shared" si="16"/>
        <v>#DIV/0!</v>
      </c>
    </row>
    <row r="69" spans="2:24" ht="13.8" x14ac:dyDescent="0.3">
      <c r="B69" s="296"/>
      <c r="C69" s="296" t="s">
        <v>217</v>
      </c>
      <c r="D69" s="296">
        <v>0</v>
      </c>
      <c r="E69" s="296" t="s">
        <v>206</v>
      </c>
      <c r="F69" s="296" t="s">
        <v>211</v>
      </c>
      <c r="G69" s="297"/>
      <c r="H69" s="297"/>
      <c r="I69" s="298">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294" t="e">
        <f t="shared" si="15"/>
        <v>#DIV/0!</v>
      </c>
      <c r="W69" s="294" t="e">
        <f t="shared" si="11"/>
        <v>#DIV/0!</v>
      </c>
      <c r="X69" s="294" t="e">
        <f t="shared" si="16"/>
        <v>#DIV/0!</v>
      </c>
    </row>
    <row r="70" spans="2:24" ht="13.8" x14ac:dyDescent="0.3">
      <c r="B70" s="296"/>
      <c r="C70" s="296" t="s">
        <v>218</v>
      </c>
      <c r="D70" s="296">
        <v>0</v>
      </c>
      <c r="E70" s="296" t="s">
        <v>206</v>
      </c>
      <c r="F70" s="296" t="s">
        <v>211</v>
      </c>
      <c r="G70" s="297"/>
      <c r="H70" s="297"/>
      <c r="I70" s="298">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294" t="e">
        <f t="shared" si="15"/>
        <v>#DIV/0!</v>
      </c>
      <c r="W70" s="294" t="e">
        <f t="shared" si="11"/>
        <v>#DIV/0!</v>
      </c>
      <c r="X70" s="294" t="e">
        <f t="shared" si="16"/>
        <v>#DIV/0!</v>
      </c>
    </row>
    <row r="71" spans="2:24" ht="13.8" x14ac:dyDescent="0.3">
      <c r="B71" s="296"/>
      <c r="C71" s="296" t="s">
        <v>219</v>
      </c>
      <c r="D71" s="296">
        <v>0</v>
      </c>
      <c r="E71" s="296" t="s">
        <v>206</v>
      </c>
      <c r="F71" s="296" t="s">
        <v>211</v>
      </c>
      <c r="G71" s="297"/>
      <c r="H71" s="297"/>
      <c r="I71" s="298">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294" t="e">
        <f t="shared" si="15"/>
        <v>#DIV/0!</v>
      </c>
      <c r="W71" s="294" t="e">
        <f t="shared" si="11"/>
        <v>#DIV/0!</v>
      </c>
      <c r="X71" s="294" t="e">
        <f t="shared" si="16"/>
        <v>#DIV/0!</v>
      </c>
    </row>
    <row r="72" spans="2:24" ht="13.8" x14ac:dyDescent="0.3">
      <c r="B72" s="296"/>
      <c r="C72" s="296" t="s">
        <v>220</v>
      </c>
      <c r="D72" s="296">
        <v>0</v>
      </c>
      <c r="E72" s="296" t="s">
        <v>206</v>
      </c>
      <c r="F72" s="296" t="s">
        <v>211</v>
      </c>
      <c r="G72" s="297"/>
      <c r="H72" s="297"/>
      <c r="I72" s="298">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294" t="e">
        <f t="shared" si="15"/>
        <v>#DIV/0!</v>
      </c>
      <c r="W72" s="294" t="e">
        <f t="shared" si="11"/>
        <v>#DIV/0!</v>
      </c>
      <c r="X72" s="294" t="e">
        <f t="shared" si="16"/>
        <v>#DIV/0!</v>
      </c>
    </row>
    <row r="73" spans="2:24" ht="13.8" x14ac:dyDescent="0.3">
      <c r="B73" s="296"/>
      <c r="C73" s="296" t="s">
        <v>221</v>
      </c>
      <c r="D73" s="296">
        <v>0</v>
      </c>
      <c r="E73" s="296" t="s">
        <v>206</v>
      </c>
      <c r="F73" s="296" t="s">
        <v>211</v>
      </c>
      <c r="G73" s="297"/>
      <c r="H73" s="297"/>
      <c r="I73" s="298">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294" t="e">
        <f t="shared" si="15"/>
        <v>#DIV/0!</v>
      </c>
      <c r="W73" s="294" t="e">
        <f t="shared" si="11"/>
        <v>#DIV/0!</v>
      </c>
      <c r="X73" s="294" t="e">
        <f t="shared" si="16"/>
        <v>#DIV/0!</v>
      </c>
    </row>
    <row r="74" spans="2:24" ht="13.8" x14ac:dyDescent="0.3">
      <c r="B74" s="296"/>
      <c r="C74" s="296" t="s">
        <v>222</v>
      </c>
      <c r="D74" s="296">
        <v>0</v>
      </c>
      <c r="E74" s="296" t="s">
        <v>206</v>
      </c>
      <c r="F74" s="296" t="s">
        <v>211</v>
      </c>
      <c r="G74" s="297"/>
      <c r="H74" s="297"/>
      <c r="I74" s="298">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294" t="e">
        <f t="shared" si="15"/>
        <v>#DIV/0!</v>
      </c>
      <c r="W74" s="294" t="e">
        <f t="shared" si="11"/>
        <v>#DIV/0!</v>
      </c>
      <c r="X74" s="294" t="e">
        <f t="shared" si="16"/>
        <v>#DIV/0!</v>
      </c>
    </row>
    <row r="75" spans="2:24" ht="13.8" x14ac:dyDescent="0.3">
      <c r="B75" s="296"/>
      <c r="C75" s="296" t="s">
        <v>223</v>
      </c>
      <c r="D75" s="296">
        <v>0</v>
      </c>
      <c r="E75" s="296" t="s">
        <v>206</v>
      </c>
      <c r="F75" s="296" t="s">
        <v>211</v>
      </c>
      <c r="G75" s="297"/>
      <c r="H75" s="297"/>
      <c r="I75" s="298">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294" t="e">
        <f t="shared" si="15"/>
        <v>#DIV/0!</v>
      </c>
      <c r="W75" s="294" t="e">
        <f t="shared" si="11"/>
        <v>#DIV/0!</v>
      </c>
      <c r="X75" s="294" t="e">
        <f t="shared" si="16"/>
        <v>#DIV/0!</v>
      </c>
    </row>
    <row r="76" spans="2:24" ht="13.8" x14ac:dyDescent="0.3">
      <c r="B76" s="296"/>
      <c r="C76" s="296" t="s">
        <v>224</v>
      </c>
      <c r="D76" s="296">
        <v>0</v>
      </c>
      <c r="E76" s="296" t="s">
        <v>206</v>
      </c>
      <c r="F76" s="296" t="s">
        <v>211</v>
      </c>
      <c r="G76" s="297"/>
      <c r="H76" s="297"/>
      <c r="I76" s="298">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294" t="e">
        <f t="shared" si="15"/>
        <v>#DIV/0!</v>
      </c>
      <c r="W76" s="294" t="e">
        <f t="shared" si="11"/>
        <v>#DIV/0!</v>
      </c>
      <c r="X76" s="294" t="e">
        <f t="shared" si="16"/>
        <v>#DIV/0!</v>
      </c>
    </row>
    <row r="77" spans="2:24" ht="13.8" x14ac:dyDescent="0.3">
      <c r="B77" s="296"/>
      <c r="C77" s="296" t="s">
        <v>225</v>
      </c>
      <c r="D77" s="296">
        <v>0</v>
      </c>
      <c r="E77" s="296" t="s">
        <v>206</v>
      </c>
      <c r="F77" s="296" t="s">
        <v>211</v>
      </c>
      <c r="G77" s="297"/>
      <c r="H77" s="297"/>
      <c r="I77" s="298">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294" t="e">
        <f t="shared" si="15"/>
        <v>#DIV/0!</v>
      </c>
      <c r="W77" s="294" t="e">
        <f t="shared" si="11"/>
        <v>#DIV/0!</v>
      </c>
      <c r="X77" s="294" t="e">
        <f t="shared" si="16"/>
        <v>#DIV/0!</v>
      </c>
    </row>
    <row r="78" spans="2:24" ht="13.8" x14ac:dyDescent="0.3">
      <c r="B78" s="296"/>
      <c r="C78" s="296" t="s">
        <v>226</v>
      </c>
      <c r="D78" s="296">
        <v>0</v>
      </c>
      <c r="E78" s="296" t="s">
        <v>206</v>
      </c>
      <c r="F78" s="296" t="s">
        <v>211</v>
      </c>
      <c r="G78" s="297"/>
      <c r="H78" s="297"/>
      <c r="I78" s="298">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294" t="e">
        <f t="shared" si="15"/>
        <v>#DIV/0!</v>
      </c>
      <c r="W78" s="294" t="e">
        <f t="shared" si="11"/>
        <v>#DIV/0!</v>
      </c>
      <c r="X78" s="294" t="e">
        <f t="shared" si="16"/>
        <v>#DIV/0!</v>
      </c>
    </row>
    <row r="79" spans="2:24" ht="13.8" x14ac:dyDescent="0.3">
      <c r="B79" s="296"/>
      <c r="C79" s="296" t="s">
        <v>227</v>
      </c>
      <c r="D79" s="296">
        <v>0</v>
      </c>
      <c r="E79" s="296" t="s">
        <v>206</v>
      </c>
      <c r="F79" s="296" t="s">
        <v>211</v>
      </c>
      <c r="G79" s="297"/>
      <c r="H79" s="297"/>
      <c r="I79" s="298">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294" t="e">
        <f t="shared" si="15"/>
        <v>#DIV/0!</v>
      </c>
      <c r="W79" s="294" t="e">
        <f t="shared" si="11"/>
        <v>#DIV/0!</v>
      </c>
      <c r="X79" s="294" t="e">
        <f t="shared" si="16"/>
        <v>#DIV/0!</v>
      </c>
    </row>
    <row r="80" spans="2:24" ht="13.8" x14ac:dyDescent="0.3">
      <c r="B80" s="296"/>
      <c r="C80" s="296" t="s">
        <v>228</v>
      </c>
      <c r="D80" s="296">
        <v>0</v>
      </c>
      <c r="E80" s="296" t="s">
        <v>206</v>
      </c>
      <c r="F80" s="296" t="s">
        <v>211</v>
      </c>
      <c r="G80" s="297"/>
      <c r="H80" s="297"/>
      <c r="I80" s="298">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294" t="e">
        <f t="shared" si="15"/>
        <v>#DIV/0!</v>
      </c>
      <c r="W80" s="294" t="e">
        <f t="shared" si="11"/>
        <v>#DIV/0!</v>
      </c>
      <c r="X80" s="294" t="e">
        <f t="shared" si="16"/>
        <v>#DIV/0!</v>
      </c>
    </row>
    <row r="81" spans="2:21" ht="13.8" x14ac:dyDescent="0.3">
      <c r="B81" s="296"/>
      <c r="C81" s="296" t="s">
        <v>229</v>
      </c>
      <c r="D81" s="296">
        <v>0</v>
      </c>
      <c r="E81" s="296" t="s">
        <v>206</v>
      </c>
      <c r="F81" s="296" t="s">
        <v>211</v>
      </c>
      <c r="G81" s="297"/>
      <c r="H81" s="297"/>
      <c r="I81" s="298">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298">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298">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298">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298">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298">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298">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298">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298">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298">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298">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298">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298">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298">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298">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298">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298">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298">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298">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298">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298">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298">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298">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2584000</v>
      </c>
      <c r="H104" s="301">
        <f>U104</f>
        <v>2584000</v>
      </c>
      <c r="I104" s="302">
        <f>SUM(I62:I103)</f>
        <v>1</v>
      </c>
      <c r="J104" s="303">
        <f>ROUND(SUMPRODUCT(J62:J103,R12:R53)/R54,0)</f>
        <v>5</v>
      </c>
      <c r="K104" s="274"/>
      <c r="L104" s="304">
        <f>P104/N104</f>
        <v>1.013815299825519</v>
      </c>
      <c r="M104" s="305">
        <f>Q104/O104</f>
        <v>1.1151968298080708</v>
      </c>
      <c r="N104" s="306">
        <f>SUM(N62:N103)</f>
        <v>3321881.154024052</v>
      </c>
      <c r="O104" s="306">
        <f>SUM(O62:O103)</f>
        <v>3321881.154024052</v>
      </c>
      <c r="P104" s="306">
        <f>SUM(P62:P103)</f>
        <v>3367773.9381516352</v>
      </c>
      <c r="Q104" s="306">
        <f>SUM(Q62:Q103)</f>
        <v>3704551.3319667988</v>
      </c>
      <c r="R104" s="307"/>
      <c r="S104" s="308">
        <f>SUM(S62:S103)</f>
        <v>1292000</v>
      </c>
      <c r="T104" s="308">
        <f>SUM(T62:T103)</f>
        <v>1292000</v>
      </c>
      <c r="U104" s="308">
        <f>SUM(U62:U103)</f>
        <v>2584000</v>
      </c>
    </row>
  </sheetData>
  <customSheetViews>
    <customSheetView guid="{074EB09C-6289-46D7-9513-012B68BCA7BF}" showPageBreaks="1" topLeftCell="H1">
      <selection activeCell="B7" sqref="B7"/>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4" right="0.28999999999999998" top="0.38" bottom="0.33" header="0.3" footer="0.3"/>
  <pageSetup paperSize="17" scale="52" orientation="landscape" r:id="rId2"/>
  <drawing r:id="rId3"/>
  <legacyDrawing r:id="rId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B18" sqref="B18:C18"/>
    </sheetView>
  </sheetViews>
  <sheetFormatPr defaultRowHeight="13.2" x14ac:dyDescent="0.25"/>
  <cols>
    <col min="1" max="1" width="15.5546875" customWidth="1"/>
    <col min="2" max="3" width="23.6640625" customWidth="1"/>
    <col min="4" max="4" width="33.109375" customWidth="1"/>
    <col min="5" max="5" width="19.44140625" customWidth="1"/>
    <col min="6" max="6" width="19.5546875" customWidth="1"/>
    <col min="7" max="7" width="23.6640625" customWidth="1"/>
    <col min="8" max="8" width="19.6640625" customWidth="1"/>
    <col min="9" max="9" width="18.33203125" customWidth="1"/>
    <col min="10" max="11" width="23.6640625" customWidth="1"/>
    <col min="12" max="12" width="16.5546875" customWidth="1"/>
    <col min="13" max="13" width="23.6640625" customWidth="1"/>
    <col min="14" max="14" width="13.109375" customWidth="1"/>
    <col min="15" max="15" width="18.44140625" customWidth="1"/>
  </cols>
  <sheetData>
    <row r="1" spans="1:15" ht="43.5" customHeight="1" x14ac:dyDescent="0.25"/>
    <row r="2" spans="1:15" ht="18" thickBot="1" x14ac:dyDescent="0.35">
      <c r="B2" s="1" t="s">
        <v>88</v>
      </c>
      <c r="C2" s="170"/>
      <c r="D2" s="2"/>
      <c r="E2" s="3"/>
    </row>
    <row r="3" spans="1:15" ht="15.6" thickBot="1" x14ac:dyDescent="0.3">
      <c r="B3" s="5" t="s">
        <v>118</v>
      </c>
      <c r="C3" s="171"/>
      <c r="D3" s="6" t="s">
        <v>78</v>
      </c>
      <c r="E3" s="104">
        <v>18230699</v>
      </c>
    </row>
    <row r="5" spans="1:15" ht="13.8" thickBot="1" x14ac:dyDescent="0.3">
      <c r="A5" s="71"/>
      <c r="D5" s="2"/>
      <c r="E5" s="107" t="s">
        <v>1286</v>
      </c>
    </row>
    <row r="6" spans="1:15" ht="39.6" x14ac:dyDescent="0.3">
      <c r="B6" s="3882"/>
      <c r="E6" s="108" t="s">
        <v>9</v>
      </c>
      <c r="F6" s="108" t="s">
        <v>10</v>
      </c>
      <c r="G6" s="108" t="s">
        <v>11</v>
      </c>
      <c r="H6" s="109" t="s">
        <v>12</v>
      </c>
      <c r="I6" s="110" t="s">
        <v>13</v>
      </c>
      <c r="J6" s="108" t="s">
        <v>14</v>
      </c>
      <c r="K6" s="108" t="s">
        <v>15</v>
      </c>
      <c r="L6" s="108" t="s">
        <v>16</v>
      </c>
      <c r="M6" s="108" t="s">
        <v>17</v>
      </c>
      <c r="N6" s="111" t="s">
        <v>18</v>
      </c>
      <c r="O6" s="18" t="s">
        <v>19</v>
      </c>
    </row>
    <row r="7" spans="1:15" s="55" customFormat="1" x14ac:dyDescent="0.25">
      <c r="A7" s="112"/>
      <c r="D7" s="114" t="s">
        <v>20</v>
      </c>
      <c r="E7" s="115"/>
      <c r="F7" s="115"/>
      <c r="G7" s="115"/>
      <c r="H7" s="116"/>
      <c r="I7" s="117"/>
      <c r="J7" s="115"/>
      <c r="K7" s="115"/>
      <c r="L7" s="115"/>
      <c r="M7" s="115"/>
      <c r="N7" s="118">
        <v>241701</v>
      </c>
      <c r="O7" s="26" t="s">
        <v>21</v>
      </c>
    </row>
    <row r="8" spans="1:15" s="55" customFormat="1" x14ac:dyDescent="0.25">
      <c r="A8" s="112"/>
      <c r="D8" s="114" t="s">
        <v>22</v>
      </c>
      <c r="E8" s="119">
        <v>57500</v>
      </c>
      <c r="F8" s="28">
        <v>0</v>
      </c>
      <c r="G8" s="28">
        <v>36225</v>
      </c>
      <c r="H8" s="28">
        <v>0</v>
      </c>
      <c r="I8" s="28">
        <v>2000</v>
      </c>
      <c r="J8" s="28">
        <v>300000</v>
      </c>
      <c r="K8" s="28">
        <v>1500</v>
      </c>
      <c r="L8" s="28">
        <v>250</v>
      </c>
      <c r="M8" s="172">
        <v>0</v>
      </c>
      <c r="N8" s="89">
        <v>397475</v>
      </c>
      <c r="O8" s="30">
        <f>(N8-N7)/N7</f>
        <v>0.64449050686592113</v>
      </c>
    </row>
    <row r="9" spans="1:15" s="55" customFormat="1" x14ac:dyDescent="0.25">
      <c r="A9" s="112"/>
      <c r="D9" s="55">
        <v>2012</v>
      </c>
      <c r="E9" s="121">
        <f>SUM(B23:B25)</f>
        <v>46000</v>
      </c>
      <c r="F9" s="121">
        <f>SUM(B29:B31)</f>
        <v>0</v>
      </c>
      <c r="G9" s="121">
        <f>(SUM(B23:B25)+SUM(B29:B31))*0.63</f>
        <v>28980</v>
      </c>
      <c r="H9" s="121">
        <f>SUM(B44:B48)+SUM(B52:B57)</f>
        <v>0</v>
      </c>
      <c r="I9" s="122">
        <f>SUM(B60:B64)</f>
        <v>3500</v>
      </c>
      <c r="J9" s="121">
        <f>SUM(B68:B73)</f>
        <v>430000</v>
      </c>
      <c r="K9" s="121">
        <f>SUM(B76:B82)</f>
        <v>0</v>
      </c>
      <c r="L9" s="121">
        <f>SUM(B85:B90)</f>
        <v>0</v>
      </c>
      <c r="M9" s="123"/>
      <c r="N9" s="124">
        <f>SUM(E9:M9)</f>
        <v>508480</v>
      </c>
      <c r="O9" s="30">
        <f>(N9-N8)/N8</f>
        <v>0.27927542612742939</v>
      </c>
    </row>
    <row r="10" spans="1:15" s="55" customFormat="1" x14ac:dyDescent="0.25">
      <c r="A10" s="112"/>
      <c r="D10" s="55">
        <v>2013</v>
      </c>
      <c r="E10" s="121">
        <f>SUM(C23:C25)</f>
        <v>47380</v>
      </c>
      <c r="F10" s="121">
        <f>SUM(C29:C31)</f>
        <v>0</v>
      </c>
      <c r="G10" s="121">
        <f>(SUM(C23:C25)+SUM(C29:C31))*0.63</f>
        <v>29849.4</v>
      </c>
      <c r="H10" s="121">
        <f>SUM(C44:C48)+SUM(C52:C57)</f>
        <v>0</v>
      </c>
      <c r="I10" s="122">
        <f>SUM(C60:C64)</f>
        <v>3500</v>
      </c>
      <c r="J10" s="121">
        <f>SUM(C68:C73)</f>
        <v>360000</v>
      </c>
      <c r="K10" s="121">
        <f>SUM(C76:C82)</f>
        <v>0</v>
      </c>
      <c r="L10" s="121">
        <f>SUM(C85:C90)</f>
        <v>0</v>
      </c>
      <c r="M10" s="123"/>
      <c r="N10" s="124">
        <f>SUM(E10:M10)</f>
        <v>440729.4</v>
      </c>
      <c r="O10" s="30">
        <f>(N10-N9)/N9</f>
        <v>-0.13324142542479542</v>
      </c>
    </row>
    <row r="11" spans="1:15" s="19" customFormat="1" ht="13.8" thickBot="1" x14ac:dyDescent="0.3">
      <c r="A11" s="71"/>
      <c r="D11" s="126" t="s">
        <v>23</v>
      </c>
      <c r="E11" s="127">
        <f>SUM(E9:E10)</f>
        <v>93380</v>
      </c>
      <c r="F11" s="127">
        <f t="shared" ref="F11:M11" si="0">SUM(F9:F10)</f>
        <v>0</v>
      </c>
      <c r="G11" s="127">
        <f t="shared" si="0"/>
        <v>58829.4</v>
      </c>
      <c r="H11" s="127">
        <f t="shared" si="0"/>
        <v>0</v>
      </c>
      <c r="I11" s="127">
        <f t="shared" si="0"/>
        <v>7000</v>
      </c>
      <c r="J11" s="127">
        <f t="shared" si="0"/>
        <v>790000</v>
      </c>
      <c r="K11" s="127">
        <f t="shared" si="0"/>
        <v>0</v>
      </c>
      <c r="L11" s="127">
        <f t="shared" si="0"/>
        <v>0</v>
      </c>
      <c r="M11" s="128">
        <f t="shared" si="0"/>
        <v>0</v>
      </c>
      <c r="N11" s="129">
        <f>SUM(N9:N10)</f>
        <v>949209.4</v>
      </c>
    </row>
    <row r="12" spans="1:15" ht="18" customHeight="1" x14ac:dyDescent="0.25">
      <c r="A12" s="71"/>
      <c r="D12" s="2"/>
      <c r="E12" s="3"/>
      <c r="M12" s="71" t="s">
        <v>24</v>
      </c>
    </row>
    <row r="13" spans="1:15" x14ac:dyDescent="0.25">
      <c r="A13" s="71"/>
      <c r="D13" s="2"/>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174">
        <v>2012</v>
      </c>
      <c r="C19" s="174">
        <v>2013</v>
      </c>
      <c r="D19" s="71" t="s">
        <v>89</v>
      </c>
      <c r="E19" s="134" t="s">
        <v>32</v>
      </c>
    </row>
    <row r="20" spans="1:6" x14ac:dyDescent="0.25">
      <c r="A20" s="71"/>
      <c r="B20" s="178" t="s">
        <v>9</v>
      </c>
      <c r="C20" s="178" t="s">
        <v>9</v>
      </c>
      <c r="D20" s="141"/>
      <c r="E20" s="142">
        <f>SUM(B23:B25)+SUM(C23:C25)</f>
        <v>93380</v>
      </c>
    </row>
    <row r="21" spans="1:6" ht="7.5" customHeight="1" x14ac:dyDescent="0.25">
      <c r="A21" s="71"/>
      <c r="B21" s="179"/>
      <c r="C21" s="179"/>
      <c r="D21" s="2"/>
      <c r="E21" s="54"/>
    </row>
    <row r="22" spans="1:6" x14ac:dyDescent="0.25">
      <c r="A22" s="71"/>
      <c r="B22" s="180" t="s">
        <v>33</v>
      </c>
      <c r="C22" s="180" t="s">
        <v>33</v>
      </c>
      <c r="D22" s="146" t="s">
        <v>7</v>
      </c>
      <c r="E22" s="54"/>
      <c r="F22" s="147" t="s">
        <v>7</v>
      </c>
    </row>
    <row r="23" spans="1:6" x14ac:dyDescent="0.25">
      <c r="A23" s="71"/>
      <c r="B23" s="71"/>
      <c r="C23" s="19"/>
      <c r="D23" s="3"/>
      <c r="E23" s="54"/>
      <c r="F23" s="149"/>
    </row>
    <row r="24" spans="1:6" x14ac:dyDescent="0.25">
      <c r="A24" s="71"/>
      <c r="B24" s="3919">
        <v>46000</v>
      </c>
      <c r="C24" s="3919">
        <v>47380</v>
      </c>
      <c r="D24" s="2"/>
      <c r="E24" s="54"/>
    </row>
    <row r="25" spans="1:6" x14ac:dyDescent="0.25">
      <c r="A25" s="71"/>
      <c r="D25" s="2"/>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58829.4</v>
      </c>
    </row>
    <row r="34" spans="1:6" ht="7.5" customHeight="1" x14ac:dyDescent="0.25">
      <c r="A34" s="71"/>
      <c r="B34" s="179"/>
      <c r="C34" s="179"/>
      <c r="D34" s="2"/>
      <c r="E34" s="70"/>
    </row>
    <row r="35" spans="1:6" x14ac:dyDescent="0.25">
      <c r="A35" s="191"/>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26.2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E51" s="75"/>
    </row>
    <row r="52" spans="1:5" x14ac:dyDescent="0.25">
      <c r="A52" s="71"/>
      <c r="B52" s="188"/>
      <c r="C52" s="188"/>
      <c r="E52" s="75"/>
    </row>
    <row r="53" spans="1:5" ht="12.75" customHeight="1"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E56" s="75"/>
    </row>
    <row r="57" spans="1:5" x14ac:dyDescent="0.25">
      <c r="A57" s="71"/>
      <c r="D57" s="2"/>
      <c r="E57" s="54"/>
    </row>
    <row r="58" spans="1:5" x14ac:dyDescent="0.25">
      <c r="A58" s="71"/>
      <c r="B58" s="178" t="s">
        <v>13</v>
      </c>
      <c r="C58" s="178" t="s">
        <v>13</v>
      </c>
      <c r="D58" s="141"/>
      <c r="E58" s="142">
        <f>SUM(B60:B65)+SUM(C60:C65)</f>
        <v>7000</v>
      </c>
    </row>
    <row r="59" spans="1:5" ht="6.75" customHeight="1" x14ac:dyDescent="0.25">
      <c r="A59" s="71"/>
      <c r="B59" s="179"/>
      <c r="C59" s="179"/>
      <c r="D59" s="2"/>
      <c r="E59" s="54"/>
    </row>
    <row r="60" spans="1:5" x14ac:dyDescent="0.25">
      <c r="A60" s="71"/>
      <c r="B60" s="3919">
        <v>2000</v>
      </c>
      <c r="C60" s="3919">
        <v>2000</v>
      </c>
      <c r="D60" s="164" t="s">
        <v>72</v>
      </c>
      <c r="E60" s="54"/>
    </row>
    <row r="61" spans="1:5" x14ac:dyDescent="0.25">
      <c r="A61" s="71"/>
      <c r="B61" s="3919">
        <v>200</v>
      </c>
      <c r="C61" s="3919">
        <v>200</v>
      </c>
      <c r="D61" s="164" t="s">
        <v>42</v>
      </c>
      <c r="E61" s="54"/>
    </row>
    <row r="62" spans="1:5" x14ac:dyDescent="0.25">
      <c r="A62" s="71"/>
      <c r="B62" s="3919">
        <v>300</v>
      </c>
      <c r="C62" s="3919">
        <v>300</v>
      </c>
      <c r="D62" s="164" t="s">
        <v>43</v>
      </c>
      <c r="E62" s="54"/>
    </row>
    <row r="63" spans="1:5" x14ac:dyDescent="0.25">
      <c r="A63" s="71"/>
      <c r="B63" s="3919">
        <v>1000</v>
      </c>
      <c r="C63" s="3919">
        <v>1000</v>
      </c>
      <c r="D63" s="164" t="s">
        <v>62</v>
      </c>
      <c r="E63" s="54"/>
    </row>
    <row r="64" spans="1:5" x14ac:dyDescent="0.25">
      <c r="A64" s="71"/>
      <c r="B64" s="3929"/>
      <c r="C64" s="3929"/>
      <c r="D64" s="164" t="s">
        <v>45</v>
      </c>
      <c r="E64" s="54"/>
    </row>
    <row r="65" spans="1:5" x14ac:dyDescent="0.25">
      <c r="A65" s="71"/>
      <c r="B65" s="3929"/>
      <c r="C65" s="3929"/>
      <c r="D65" s="164"/>
      <c r="E65" s="54"/>
    </row>
    <row r="66" spans="1:5" x14ac:dyDescent="0.25">
      <c r="A66" s="71"/>
      <c r="B66" s="178" t="s">
        <v>14</v>
      </c>
      <c r="C66" s="178" t="s">
        <v>14</v>
      </c>
      <c r="D66" s="141"/>
      <c r="E66" s="142">
        <f>SUM(B68:B73)+SUM(C68:C73)</f>
        <v>790000</v>
      </c>
    </row>
    <row r="67" spans="1:5" ht="6" customHeight="1" x14ac:dyDescent="0.25">
      <c r="A67" s="166"/>
      <c r="B67" s="179"/>
      <c r="C67" s="179"/>
      <c r="D67" s="2"/>
      <c r="E67" s="54"/>
    </row>
    <row r="68" spans="1:5" x14ac:dyDescent="0.25">
      <c r="A68" s="71"/>
      <c r="B68" s="3919" t="s">
        <v>7</v>
      </c>
      <c r="C68" s="3919"/>
      <c r="D68" s="2"/>
      <c r="E68" s="54"/>
    </row>
    <row r="69" spans="1:5" x14ac:dyDescent="0.25">
      <c r="A69" s="71"/>
      <c r="B69" s="3919">
        <v>430000</v>
      </c>
      <c r="C69" s="3919">
        <v>360000</v>
      </c>
      <c r="D69" s="4513" t="s">
        <v>1293</v>
      </c>
      <c r="E69" s="54"/>
    </row>
    <row r="70" spans="1:5" x14ac:dyDescent="0.25">
      <c r="A70" s="71"/>
      <c r="B70" s="3919"/>
      <c r="C70" s="3919"/>
      <c r="D70" s="2"/>
      <c r="E70" s="54"/>
    </row>
    <row r="71" spans="1:5" x14ac:dyDescent="0.25">
      <c r="A71" s="71"/>
      <c r="B71" s="3919"/>
      <c r="C71" s="3919"/>
      <c r="D71" s="2"/>
      <c r="E71" s="54"/>
    </row>
    <row r="72" spans="1:5" x14ac:dyDescent="0.25">
      <c r="A72" s="71"/>
      <c r="B72" s="3919"/>
      <c r="C72" s="3919"/>
      <c r="D72" s="2"/>
      <c r="E72" s="54"/>
    </row>
    <row r="73" spans="1:5" x14ac:dyDescent="0.25">
      <c r="A73" s="71"/>
      <c r="B73" s="3919" t="s">
        <v>7</v>
      </c>
      <c r="C73" s="3919"/>
      <c r="D73" s="2"/>
      <c r="E73" s="54"/>
    </row>
    <row r="74" spans="1:5" x14ac:dyDescent="0.25">
      <c r="A74" s="71"/>
      <c r="B74" s="178" t="s">
        <v>15</v>
      </c>
      <c r="C74" s="178" t="s">
        <v>15</v>
      </c>
      <c r="D74" s="141"/>
      <c r="E74" s="142">
        <f>SUM(B76:B82)+SUM(C76:C82)</f>
        <v>0</v>
      </c>
    </row>
    <row r="75" spans="1:5" ht="6.75" customHeight="1" x14ac:dyDescent="0.25">
      <c r="A75" s="71"/>
      <c r="B75" s="184"/>
      <c r="C75" s="184"/>
      <c r="D75" s="2"/>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D81" s="153"/>
      <c r="E81" s="54"/>
    </row>
    <row r="82" spans="1:5" x14ac:dyDescent="0.25">
      <c r="A82" s="71"/>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D90" s="2"/>
      <c r="E90" s="54"/>
    </row>
    <row r="91" spans="1:5" ht="26.4" x14ac:dyDescent="0.25">
      <c r="A91" s="71"/>
      <c r="B91" s="178" t="s">
        <v>17</v>
      </c>
      <c r="C91" s="178" t="s">
        <v>17</v>
      </c>
      <c r="D91" s="2"/>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D94" s="2"/>
      <c r="E94" s="3"/>
    </row>
    <row r="95" spans="1:5" x14ac:dyDescent="0.25">
      <c r="A95" s="71"/>
      <c r="B95" s="88" t="s">
        <v>56</v>
      </c>
      <c r="D95" s="2"/>
      <c r="E95" s="3"/>
    </row>
    <row r="96" spans="1:5" x14ac:dyDescent="0.25">
      <c r="A96" s="71"/>
      <c r="B96" s="88" t="s">
        <v>57</v>
      </c>
      <c r="D96" s="2"/>
      <c r="E96" s="3"/>
    </row>
  </sheetData>
  <customSheetViews>
    <customSheetView guid="{074EB09C-6289-46D7-9513-012B68BCA7BF}" showPageBreaks="1">
      <selection activeCell="A6" sqref="A6"/>
      <pageMargins left="0.7" right="0.7" top="0.75" bottom="0.75" header="0.3" footer="0.3"/>
      <pageSetup orientation="portrait" r:id="rId1"/>
    </customSheetView>
  </customSheetViews>
  <mergeCells count="3">
    <mergeCell ref="B17:C17"/>
    <mergeCell ref="B18:C18"/>
    <mergeCell ref="B14:E14"/>
  </mergeCells>
  <pageMargins left="0.28000000000000003" right="0.7" top="0.37" bottom="0.36" header="0.3" footer="0.3"/>
  <pageSetup paperSize="17" scale="55" orientation="landscape"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workbookViewId="0">
      <pane xSplit="1" ySplit="1" topLeftCell="B2" activePane="bottomRight" state="frozen"/>
      <selection pane="topRight" activeCell="B1" sqref="B1"/>
      <selection pane="bottomLeft" activeCell="A2" sqref="A2"/>
      <selection pane="bottomRight" activeCell="F19" sqref="F19"/>
    </sheetView>
  </sheetViews>
  <sheetFormatPr defaultRowHeight="13.2" x14ac:dyDescent="0.25"/>
  <cols>
    <col min="1" max="1" width="15.88671875" style="2410" customWidth="1"/>
    <col min="2" max="3" width="22.33203125" style="2410" customWidth="1"/>
    <col min="4" max="4" width="23.88671875" style="2410" customWidth="1"/>
    <col min="5" max="10" width="23.6640625" style="2410" customWidth="1"/>
    <col min="11" max="11" width="19.109375" style="2410" customWidth="1"/>
    <col min="12" max="12" width="14.33203125" style="2410" customWidth="1"/>
    <col min="13" max="13" width="23.6640625" style="2410" customWidth="1"/>
    <col min="14" max="14" width="16.109375" style="2410" customWidth="1"/>
    <col min="15" max="15" width="15.109375" style="2410" customWidth="1"/>
    <col min="16" max="256" width="9.109375" style="2410"/>
    <col min="257" max="257" width="48.5546875" style="2410" customWidth="1"/>
    <col min="258" max="259" width="23.6640625" style="2410" customWidth="1"/>
    <col min="260" max="260" width="29.5546875" style="2410" customWidth="1"/>
    <col min="261" max="266" width="23.6640625" style="2410" customWidth="1"/>
    <col min="267" max="267" width="19.109375" style="2410" customWidth="1"/>
    <col min="268" max="268" width="14.33203125" style="2410" customWidth="1"/>
    <col min="269" max="269" width="23.6640625" style="2410" customWidth="1"/>
    <col min="270" max="270" width="16.109375" style="2410" customWidth="1"/>
    <col min="271" max="271" width="15.109375" style="2410" customWidth="1"/>
    <col min="272" max="512" width="9.109375" style="2410"/>
    <col min="513" max="513" width="48.5546875" style="2410" customWidth="1"/>
    <col min="514" max="515" width="23.6640625" style="2410" customWidth="1"/>
    <col min="516" max="516" width="29.5546875" style="2410" customWidth="1"/>
    <col min="517" max="522" width="23.6640625" style="2410" customWidth="1"/>
    <col min="523" max="523" width="19.109375" style="2410" customWidth="1"/>
    <col min="524" max="524" width="14.33203125" style="2410" customWidth="1"/>
    <col min="525" max="525" width="23.6640625" style="2410" customWidth="1"/>
    <col min="526" max="526" width="16.109375" style="2410" customWidth="1"/>
    <col min="527" max="527" width="15.109375" style="2410" customWidth="1"/>
    <col min="528" max="768" width="9.109375" style="2410"/>
    <col min="769" max="769" width="48.5546875" style="2410" customWidth="1"/>
    <col min="770" max="771" width="23.6640625" style="2410" customWidth="1"/>
    <col min="772" max="772" width="29.5546875" style="2410" customWidth="1"/>
    <col min="773" max="778" width="23.6640625" style="2410" customWidth="1"/>
    <col min="779" max="779" width="19.109375" style="2410" customWidth="1"/>
    <col min="780" max="780" width="14.33203125" style="2410" customWidth="1"/>
    <col min="781" max="781" width="23.6640625" style="2410" customWidth="1"/>
    <col min="782" max="782" width="16.109375" style="2410" customWidth="1"/>
    <col min="783" max="783" width="15.109375" style="2410" customWidth="1"/>
    <col min="784" max="1024" width="9.109375" style="2410"/>
    <col min="1025" max="1025" width="48.5546875" style="2410" customWidth="1"/>
    <col min="1026" max="1027" width="23.6640625" style="2410" customWidth="1"/>
    <col min="1028" max="1028" width="29.5546875" style="2410" customWidth="1"/>
    <col min="1029" max="1034" width="23.6640625" style="2410" customWidth="1"/>
    <col min="1035" max="1035" width="19.109375" style="2410" customWidth="1"/>
    <col min="1036" max="1036" width="14.33203125" style="2410" customWidth="1"/>
    <col min="1037" max="1037" width="23.6640625" style="2410" customWidth="1"/>
    <col min="1038" max="1038" width="16.109375" style="2410" customWidth="1"/>
    <col min="1039" max="1039" width="15.109375" style="2410" customWidth="1"/>
    <col min="1040" max="1280" width="9.109375" style="2410"/>
    <col min="1281" max="1281" width="48.5546875" style="2410" customWidth="1"/>
    <col min="1282" max="1283" width="23.6640625" style="2410" customWidth="1"/>
    <col min="1284" max="1284" width="29.5546875" style="2410" customWidth="1"/>
    <col min="1285" max="1290" width="23.6640625" style="2410" customWidth="1"/>
    <col min="1291" max="1291" width="19.109375" style="2410" customWidth="1"/>
    <col min="1292" max="1292" width="14.33203125" style="2410" customWidth="1"/>
    <col min="1293" max="1293" width="23.6640625" style="2410" customWidth="1"/>
    <col min="1294" max="1294" width="16.109375" style="2410" customWidth="1"/>
    <col min="1295" max="1295" width="15.109375" style="2410" customWidth="1"/>
    <col min="1296" max="1536" width="9.109375" style="2410"/>
    <col min="1537" max="1537" width="48.5546875" style="2410" customWidth="1"/>
    <col min="1538" max="1539" width="23.6640625" style="2410" customWidth="1"/>
    <col min="1540" max="1540" width="29.5546875" style="2410" customWidth="1"/>
    <col min="1541" max="1546" width="23.6640625" style="2410" customWidth="1"/>
    <col min="1547" max="1547" width="19.109375" style="2410" customWidth="1"/>
    <col min="1548" max="1548" width="14.33203125" style="2410" customWidth="1"/>
    <col min="1549" max="1549" width="23.6640625" style="2410" customWidth="1"/>
    <col min="1550" max="1550" width="16.109375" style="2410" customWidth="1"/>
    <col min="1551" max="1551" width="15.109375" style="2410" customWidth="1"/>
    <col min="1552" max="1792" width="9.109375" style="2410"/>
    <col min="1793" max="1793" width="48.5546875" style="2410" customWidth="1"/>
    <col min="1794" max="1795" width="23.6640625" style="2410" customWidth="1"/>
    <col min="1796" max="1796" width="29.5546875" style="2410" customWidth="1"/>
    <col min="1797" max="1802" width="23.6640625" style="2410" customWidth="1"/>
    <col min="1803" max="1803" width="19.109375" style="2410" customWidth="1"/>
    <col min="1804" max="1804" width="14.33203125" style="2410" customWidth="1"/>
    <col min="1805" max="1805" width="23.6640625" style="2410" customWidth="1"/>
    <col min="1806" max="1806" width="16.109375" style="2410" customWidth="1"/>
    <col min="1807" max="1807" width="15.109375" style="2410" customWidth="1"/>
    <col min="1808" max="2048" width="9.109375" style="2410"/>
    <col min="2049" max="2049" width="48.5546875" style="2410" customWidth="1"/>
    <col min="2050" max="2051" width="23.6640625" style="2410" customWidth="1"/>
    <col min="2052" max="2052" width="29.5546875" style="2410" customWidth="1"/>
    <col min="2053" max="2058" width="23.6640625" style="2410" customWidth="1"/>
    <col min="2059" max="2059" width="19.109375" style="2410" customWidth="1"/>
    <col min="2060" max="2060" width="14.33203125" style="2410" customWidth="1"/>
    <col min="2061" max="2061" width="23.6640625" style="2410" customWidth="1"/>
    <col min="2062" max="2062" width="16.109375" style="2410" customWidth="1"/>
    <col min="2063" max="2063" width="15.109375" style="2410" customWidth="1"/>
    <col min="2064" max="2304" width="9.109375" style="2410"/>
    <col min="2305" max="2305" width="48.5546875" style="2410" customWidth="1"/>
    <col min="2306" max="2307" width="23.6640625" style="2410" customWidth="1"/>
    <col min="2308" max="2308" width="29.5546875" style="2410" customWidth="1"/>
    <col min="2309" max="2314" width="23.6640625" style="2410" customWidth="1"/>
    <col min="2315" max="2315" width="19.109375" style="2410" customWidth="1"/>
    <col min="2316" max="2316" width="14.33203125" style="2410" customWidth="1"/>
    <col min="2317" max="2317" width="23.6640625" style="2410" customWidth="1"/>
    <col min="2318" max="2318" width="16.109375" style="2410" customWidth="1"/>
    <col min="2319" max="2319" width="15.109375" style="2410" customWidth="1"/>
    <col min="2320" max="2560" width="9.109375" style="2410"/>
    <col min="2561" max="2561" width="48.5546875" style="2410" customWidth="1"/>
    <col min="2562" max="2563" width="23.6640625" style="2410" customWidth="1"/>
    <col min="2564" max="2564" width="29.5546875" style="2410" customWidth="1"/>
    <col min="2565" max="2570" width="23.6640625" style="2410" customWidth="1"/>
    <col min="2571" max="2571" width="19.109375" style="2410" customWidth="1"/>
    <col min="2572" max="2572" width="14.33203125" style="2410" customWidth="1"/>
    <col min="2573" max="2573" width="23.6640625" style="2410" customWidth="1"/>
    <col min="2574" max="2574" width="16.109375" style="2410" customWidth="1"/>
    <col min="2575" max="2575" width="15.109375" style="2410" customWidth="1"/>
    <col min="2576" max="2816" width="9.109375" style="2410"/>
    <col min="2817" max="2817" width="48.5546875" style="2410" customWidth="1"/>
    <col min="2818" max="2819" width="23.6640625" style="2410" customWidth="1"/>
    <col min="2820" max="2820" width="29.5546875" style="2410" customWidth="1"/>
    <col min="2821" max="2826" width="23.6640625" style="2410" customWidth="1"/>
    <col min="2827" max="2827" width="19.109375" style="2410" customWidth="1"/>
    <col min="2828" max="2828" width="14.33203125" style="2410" customWidth="1"/>
    <col min="2829" max="2829" width="23.6640625" style="2410" customWidth="1"/>
    <col min="2830" max="2830" width="16.109375" style="2410" customWidth="1"/>
    <col min="2831" max="2831" width="15.109375" style="2410" customWidth="1"/>
    <col min="2832" max="3072" width="9.109375" style="2410"/>
    <col min="3073" max="3073" width="48.5546875" style="2410" customWidth="1"/>
    <col min="3074" max="3075" width="23.6640625" style="2410" customWidth="1"/>
    <col min="3076" max="3076" width="29.5546875" style="2410" customWidth="1"/>
    <col min="3077" max="3082" width="23.6640625" style="2410" customWidth="1"/>
    <col min="3083" max="3083" width="19.109375" style="2410" customWidth="1"/>
    <col min="3084" max="3084" width="14.33203125" style="2410" customWidth="1"/>
    <col min="3085" max="3085" width="23.6640625" style="2410" customWidth="1"/>
    <col min="3086" max="3086" width="16.109375" style="2410" customWidth="1"/>
    <col min="3087" max="3087" width="15.109375" style="2410" customWidth="1"/>
    <col min="3088" max="3328" width="9.109375" style="2410"/>
    <col min="3329" max="3329" width="48.5546875" style="2410" customWidth="1"/>
    <col min="3330" max="3331" width="23.6640625" style="2410" customWidth="1"/>
    <col min="3332" max="3332" width="29.5546875" style="2410" customWidth="1"/>
    <col min="3333" max="3338" width="23.6640625" style="2410" customWidth="1"/>
    <col min="3339" max="3339" width="19.109375" style="2410" customWidth="1"/>
    <col min="3340" max="3340" width="14.33203125" style="2410" customWidth="1"/>
    <col min="3341" max="3341" width="23.6640625" style="2410" customWidth="1"/>
    <col min="3342" max="3342" width="16.109375" style="2410" customWidth="1"/>
    <col min="3343" max="3343" width="15.109375" style="2410" customWidth="1"/>
    <col min="3344" max="3584" width="9.109375" style="2410"/>
    <col min="3585" max="3585" width="48.5546875" style="2410" customWidth="1"/>
    <col min="3586" max="3587" width="23.6640625" style="2410" customWidth="1"/>
    <col min="3588" max="3588" width="29.5546875" style="2410" customWidth="1"/>
    <col min="3589" max="3594" width="23.6640625" style="2410" customWidth="1"/>
    <col min="3595" max="3595" width="19.109375" style="2410" customWidth="1"/>
    <col min="3596" max="3596" width="14.33203125" style="2410" customWidth="1"/>
    <col min="3597" max="3597" width="23.6640625" style="2410" customWidth="1"/>
    <col min="3598" max="3598" width="16.109375" style="2410" customWidth="1"/>
    <col min="3599" max="3599" width="15.109375" style="2410" customWidth="1"/>
    <col min="3600" max="3840" width="9.109375" style="2410"/>
    <col min="3841" max="3841" width="48.5546875" style="2410" customWidth="1"/>
    <col min="3842" max="3843" width="23.6640625" style="2410" customWidth="1"/>
    <col min="3844" max="3844" width="29.5546875" style="2410" customWidth="1"/>
    <col min="3845" max="3850" width="23.6640625" style="2410" customWidth="1"/>
    <col min="3851" max="3851" width="19.109375" style="2410" customWidth="1"/>
    <col min="3852" max="3852" width="14.33203125" style="2410" customWidth="1"/>
    <col min="3853" max="3853" width="23.6640625" style="2410" customWidth="1"/>
    <col min="3854" max="3854" width="16.109375" style="2410" customWidth="1"/>
    <col min="3855" max="3855" width="15.109375" style="2410" customWidth="1"/>
    <col min="3856" max="4096" width="9.109375" style="2410"/>
    <col min="4097" max="4097" width="48.5546875" style="2410" customWidth="1"/>
    <col min="4098" max="4099" width="23.6640625" style="2410" customWidth="1"/>
    <col min="4100" max="4100" width="29.5546875" style="2410" customWidth="1"/>
    <col min="4101" max="4106" width="23.6640625" style="2410" customWidth="1"/>
    <col min="4107" max="4107" width="19.109375" style="2410" customWidth="1"/>
    <col min="4108" max="4108" width="14.33203125" style="2410" customWidth="1"/>
    <col min="4109" max="4109" width="23.6640625" style="2410" customWidth="1"/>
    <col min="4110" max="4110" width="16.109375" style="2410" customWidth="1"/>
    <col min="4111" max="4111" width="15.109375" style="2410" customWidth="1"/>
    <col min="4112" max="4352" width="9.109375" style="2410"/>
    <col min="4353" max="4353" width="48.5546875" style="2410" customWidth="1"/>
    <col min="4354" max="4355" width="23.6640625" style="2410" customWidth="1"/>
    <col min="4356" max="4356" width="29.5546875" style="2410" customWidth="1"/>
    <col min="4357" max="4362" width="23.6640625" style="2410" customWidth="1"/>
    <col min="4363" max="4363" width="19.109375" style="2410" customWidth="1"/>
    <col min="4364" max="4364" width="14.33203125" style="2410" customWidth="1"/>
    <col min="4365" max="4365" width="23.6640625" style="2410" customWidth="1"/>
    <col min="4366" max="4366" width="16.109375" style="2410" customWidth="1"/>
    <col min="4367" max="4367" width="15.109375" style="2410" customWidth="1"/>
    <col min="4368" max="4608" width="9.109375" style="2410"/>
    <col min="4609" max="4609" width="48.5546875" style="2410" customWidth="1"/>
    <col min="4610" max="4611" width="23.6640625" style="2410" customWidth="1"/>
    <col min="4612" max="4612" width="29.5546875" style="2410" customWidth="1"/>
    <col min="4613" max="4618" width="23.6640625" style="2410" customWidth="1"/>
    <col min="4619" max="4619" width="19.109375" style="2410" customWidth="1"/>
    <col min="4620" max="4620" width="14.33203125" style="2410" customWidth="1"/>
    <col min="4621" max="4621" width="23.6640625" style="2410" customWidth="1"/>
    <col min="4622" max="4622" width="16.109375" style="2410" customWidth="1"/>
    <col min="4623" max="4623" width="15.109375" style="2410" customWidth="1"/>
    <col min="4624" max="4864" width="9.109375" style="2410"/>
    <col min="4865" max="4865" width="48.5546875" style="2410" customWidth="1"/>
    <col min="4866" max="4867" width="23.6640625" style="2410" customWidth="1"/>
    <col min="4868" max="4868" width="29.5546875" style="2410" customWidth="1"/>
    <col min="4869" max="4874" width="23.6640625" style="2410" customWidth="1"/>
    <col min="4875" max="4875" width="19.109375" style="2410" customWidth="1"/>
    <col min="4876" max="4876" width="14.33203125" style="2410" customWidth="1"/>
    <col min="4877" max="4877" width="23.6640625" style="2410" customWidth="1"/>
    <col min="4878" max="4878" width="16.109375" style="2410" customWidth="1"/>
    <col min="4879" max="4879" width="15.109375" style="2410" customWidth="1"/>
    <col min="4880" max="5120" width="9.109375" style="2410"/>
    <col min="5121" max="5121" width="48.5546875" style="2410" customWidth="1"/>
    <col min="5122" max="5123" width="23.6640625" style="2410" customWidth="1"/>
    <col min="5124" max="5124" width="29.5546875" style="2410" customWidth="1"/>
    <col min="5125" max="5130" width="23.6640625" style="2410" customWidth="1"/>
    <col min="5131" max="5131" width="19.109375" style="2410" customWidth="1"/>
    <col min="5132" max="5132" width="14.33203125" style="2410" customWidth="1"/>
    <col min="5133" max="5133" width="23.6640625" style="2410" customWidth="1"/>
    <col min="5134" max="5134" width="16.109375" style="2410" customWidth="1"/>
    <col min="5135" max="5135" width="15.109375" style="2410" customWidth="1"/>
    <col min="5136" max="5376" width="9.109375" style="2410"/>
    <col min="5377" max="5377" width="48.5546875" style="2410" customWidth="1"/>
    <col min="5378" max="5379" width="23.6640625" style="2410" customWidth="1"/>
    <col min="5380" max="5380" width="29.5546875" style="2410" customWidth="1"/>
    <col min="5381" max="5386" width="23.6640625" style="2410" customWidth="1"/>
    <col min="5387" max="5387" width="19.109375" style="2410" customWidth="1"/>
    <col min="5388" max="5388" width="14.33203125" style="2410" customWidth="1"/>
    <col min="5389" max="5389" width="23.6640625" style="2410" customWidth="1"/>
    <col min="5390" max="5390" width="16.109375" style="2410" customWidth="1"/>
    <col min="5391" max="5391" width="15.109375" style="2410" customWidth="1"/>
    <col min="5392" max="5632" width="9.109375" style="2410"/>
    <col min="5633" max="5633" width="48.5546875" style="2410" customWidth="1"/>
    <col min="5634" max="5635" width="23.6640625" style="2410" customWidth="1"/>
    <col min="5636" max="5636" width="29.5546875" style="2410" customWidth="1"/>
    <col min="5637" max="5642" width="23.6640625" style="2410" customWidth="1"/>
    <col min="5643" max="5643" width="19.109375" style="2410" customWidth="1"/>
    <col min="5644" max="5644" width="14.33203125" style="2410" customWidth="1"/>
    <col min="5645" max="5645" width="23.6640625" style="2410" customWidth="1"/>
    <col min="5646" max="5646" width="16.109375" style="2410" customWidth="1"/>
    <col min="5647" max="5647" width="15.109375" style="2410" customWidth="1"/>
    <col min="5648" max="5888" width="9.109375" style="2410"/>
    <col min="5889" max="5889" width="48.5546875" style="2410" customWidth="1"/>
    <col min="5890" max="5891" width="23.6640625" style="2410" customWidth="1"/>
    <col min="5892" max="5892" width="29.5546875" style="2410" customWidth="1"/>
    <col min="5893" max="5898" width="23.6640625" style="2410" customWidth="1"/>
    <col min="5899" max="5899" width="19.109375" style="2410" customWidth="1"/>
    <col min="5900" max="5900" width="14.33203125" style="2410" customWidth="1"/>
    <col min="5901" max="5901" width="23.6640625" style="2410" customWidth="1"/>
    <col min="5902" max="5902" width="16.109375" style="2410" customWidth="1"/>
    <col min="5903" max="5903" width="15.109375" style="2410" customWidth="1"/>
    <col min="5904" max="6144" width="9.109375" style="2410"/>
    <col min="6145" max="6145" width="48.5546875" style="2410" customWidth="1"/>
    <col min="6146" max="6147" width="23.6640625" style="2410" customWidth="1"/>
    <col min="6148" max="6148" width="29.5546875" style="2410" customWidth="1"/>
    <col min="6149" max="6154" width="23.6640625" style="2410" customWidth="1"/>
    <col min="6155" max="6155" width="19.109375" style="2410" customWidth="1"/>
    <col min="6156" max="6156" width="14.33203125" style="2410" customWidth="1"/>
    <col min="6157" max="6157" width="23.6640625" style="2410" customWidth="1"/>
    <col min="6158" max="6158" width="16.109375" style="2410" customWidth="1"/>
    <col min="6159" max="6159" width="15.109375" style="2410" customWidth="1"/>
    <col min="6160" max="6400" width="9.109375" style="2410"/>
    <col min="6401" max="6401" width="48.5546875" style="2410" customWidth="1"/>
    <col min="6402" max="6403" width="23.6640625" style="2410" customWidth="1"/>
    <col min="6404" max="6404" width="29.5546875" style="2410" customWidth="1"/>
    <col min="6405" max="6410" width="23.6640625" style="2410" customWidth="1"/>
    <col min="6411" max="6411" width="19.109375" style="2410" customWidth="1"/>
    <col min="6412" max="6412" width="14.33203125" style="2410" customWidth="1"/>
    <col min="6413" max="6413" width="23.6640625" style="2410" customWidth="1"/>
    <col min="6414" max="6414" width="16.109375" style="2410" customWidth="1"/>
    <col min="6415" max="6415" width="15.109375" style="2410" customWidth="1"/>
    <col min="6416" max="6656" width="9.109375" style="2410"/>
    <col min="6657" max="6657" width="48.5546875" style="2410" customWidth="1"/>
    <col min="6658" max="6659" width="23.6640625" style="2410" customWidth="1"/>
    <col min="6660" max="6660" width="29.5546875" style="2410" customWidth="1"/>
    <col min="6661" max="6666" width="23.6640625" style="2410" customWidth="1"/>
    <col min="6667" max="6667" width="19.109375" style="2410" customWidth="1"/>
    <col min="6668" max="6668" width="14.33203125" style="2410" customWidth="1"/>
    <col min="6669" max="6669" width="23.6640625" style="2410" customWidth="1"/>
    <col min="6670" max="6670" width="16.109375" style="2410" customWidth="1"/>
    <col min="6671" max="6671" width="15.109375" style="2410" customWidth="1"/>
    <col min="6672" max="6912" width="9.109375" style="2410"/>
    <col min="6913" max="6913" width="48.5546875" style="2410" customWidth="1"/>
    <col min="6914" max="6915" width="23.6640625" style="2410" customWidth="1"/>
    <col min="6916" max="6916" width="29.5546875" style="2410" customWidth="1"/>
    <col min="6917" max="6922" width="23.6640625" style="2410" customWidth="1"/>
    <col min="6923" max="6923" width="19.109375" style="2410" customWidth="1"/>
    <col min="6924" max="6924" width="14.33203125" style="2410" customWidth="1"/>
    <col min="6925" max="6925" width="23.6640625" style="2410" customWidth="1"/>
    <col min="6926" max="6926" width="16.109375" style="2410" customWidth="1"/>
    <col min="6927" max="6927" width="15.109375" style="2410" customWidth="1"/>
    <col min="6928" max="7168" width="9.109375" style="2410"/>
    <col min="7169" max="7169" width="48.5546875" style="2410" customWidth="1"/>
    <col min="7170" max="7171" width="23.6640625" style="2410" customWidth="1"/>
    <col min="7172" max="7172" width="29.5546875" style="2410" customWidth="1"/>
    <col min="7173" max="7178" width="23.6640625" style="2410" customWidth="1"/>
    <col min="7179" max="7179" width="19.109375" style="2410" customWidth="1"/>
    <col min="7180" max="7180" width="14.33203125" style="2410" customWidth="1"/>
    <col min="7181" max="7181" width="23.6640625" style="2410" customWidth="1"/>
    <col min="7182" max="7182" width="16.109375" style="2410" customWidth="1"/>
    <col min="7183" max="7183" width="15.109375" style="2410" customWidth="1"/>
    <col min="7184" max="7424" width="9.109375" style="2410"/>
    <col min="7425" max="7425" width="48.5546875" style="2410" customWidth="1"/>
    <col min="7426" max="7427" width="23.6640625" style="2410" customWidth="1"/>
    <col min="7428" max="7428" width="29.5546875" style="2410" customWidth="1"/>
    <col min="7429" max="7434" width="23.6640625" style="2410" customWidth="1"/>
    <col min="7435" max="7435" width="19.109375" style="2410" customWidth="1"/>
    <col min="7436" max="7436" width="14.33203125" style="2410" customWidth="1"/>
    <col min="7437" max="7437" width="23.6640625" style="2410" customWidth="1"/>
    <col min="7438" max="7438" width="16.109375" style="2410" customWidth="1"/>
    <col min="7439" max="7439" width="15.109375" style="2410" customWidth="1"/>
    <col min="7440" max="7680" width="9.109375" style="2410"/>
    <col min="7681" max="7681" width="48.5546875" style="2410" customWidth="1"/>
    <col min="7682" max="7683" width="23.6640625" style="2410" customWidth="1"/>
    <col min="7684" max="7684" width="29.5546875" style="2410" customWidth="1"/>
    <col min="7685" max="7690" width="23.6640625" style="2410" customWidth="1"/>
    <col min="7691" max="7691" width="19.109375" style="2410" customWidth="1"/>
    <col min="7692" max="7692" width="14.33203125" style="2410" customWidth="1"/>
    <col min="7693" max="7693" width="23.6640625" style="2410" customWidth="1"/>
    <col min="7694" max="7694" width="16.109375" style="2410" customWidth="1"/>
    <col min="7695" max="7695" width="15.109375" style="2410" customWidth="1"/>
    <col min="7696" max="7936" width="9.109375" style="2410"/>
    <col min="7937" max="7937" width="48.5546875" style="2410" customWidth="1"/>
    <col min="7938" max="7939" width="23.6640625" style="2410" customWidth="1"/>
    <col min="7940" max="7940" width="29.5546875" style="2410" customWidth="1"/>
    <col min="7941" max="7946" width="23.6640625" style="2410" customWidth="1"/>
    <col min="7947" max="7947" width="19.109375" style="2410" customWidth="1"/>
    <col min="7948" max="7948" width="14.33203125" style="2410" customWidth="1"/>
    <col min="7949" max="7949" width="23.6640625" style="2410" customWidth="1"/>
    <col min="7950" max="7950" width="16.109375" style="2410" customWidth="1"/>
    <col min="7951" max="7951" width="15.109375" style="2410" customWidth="1"/>
    <col min="7952" max="8192" width="9.109375" style="2410"/>
    <col min="8193" max="8193" width="48.5546875" style="2410" customWidth="1"/>
    <col min="8194" max="8195" width="23.6640625" style="2410" customWidth="1"/>
    <col min="8196" max="8196" width="29.5546875" style="2410" customWidth="1"/>
    <col min="8197" max="8202" width="23.6640625" style="2410" customWidth="1"/>
    <col min="8203" max="8203" width="19.109375" style="2410" customWidth="1"/>
    <col min="8204" max="8204" width="14.33203125" style="2410" customWidth="1"/>
    <col min="8205" max="8205" width="23.6640625" style="2410" customWidth="1"/>
    <col min="8206" max="8206" width="16.109375" style="2410" customWidth="1"/>
    <col min="8207" max="8207" width="15.109375" style="2410" customWidth="1"/>
    <col min="8208" max="8448" width="9.109375" style="2410"/>
    <col min="8449" max="8449" width="48.5546875" style="2410" customWidth="1"/>
    <col min="8450" max="8451" width="23.6640625" style="2410" customWidth="1"/>
    <col min="8452" max="8452" width="29.5546875" style="2410" customWidth="1"/>
    <col min="8453" max="8458" width="23.6640625" style="2410" customWidth="1"/>
    <col min="8459" max="8459" width="19.109375" style="2410" customWidth="1"/>
    <col min="8460" max="8460" width="14.33203125" style="2410" customWidth="1"/>
    <col min="8461" max="8461" width="23.6640625" style="2410" customWidth="1"/>
    <col min="8462" max="8462" width="16.109375" style="2410" customWidth="1"/>
    <col min="8463" max="8463" width="15.109375" style="2410" customWidth="1"/>
    <col min="8464" max="8704" width="9.109375" style="2410"/>
    <col min="8705" max="8705" width="48.5546875" style="2410" customWidth="1"/>
    <col min="8706" max="8707" width="23.6640625" style="2410" customWidth="1"/>
    <col min="8708" max="8708" width="29.5546875" style="2410" customWidth="1"/>
    <col min="8709" max="8714" width="23.6640625" style="2410" customWidth="1"/>
    <col min="8715" max="8715" width="19.109375" style="2410" customWidth="1"/>
    <col min="8716" max="8716" width="14.33203125" style="2410" customWidth="1"/>
    <col min="8717" max="8717" width="23.6640625" style="2410" customWidth="1"/>
    <col min="8718" max="8718" width="16.109375" style="2410" customWidth="1"/>
    <col min="8719" max="8719" width="15.109375" style="2410" customWidth="1"/>
    <col min="8720" max="8960" width="9.109375" style="2410"/>
    <col min="8961" max="8961" width="48.5546875" style="2410" customWidth="1"/>
    <col min="8962" max="8963" width="23.6640625" style="2410" customWidth="1"/>
    <col min="8964" max="8964" width="29.5546875" style="2410" customWidth="1"/>
    <col min="8965" max="8970" width="23.6640625" style="2410" customWidth="1"/>
    <col min="8971" max="8971" width="19.109375" style="2410" customWidth="1"/>
    <col min="8972" max="8972" width="14.33203125" style="2410" customWidth="1"/>
    <col min="8973" max="8973" width="23.6640625" style="2410" customWidth="1"/>
    <col min="8974" max="8974" width="16.109375" style="2410" customWidth="1"/>
    <col min="8975" max="8975" width="15.109375" style="2410" customWidth="1"/>
    <col min="8976" max="9216" width="9.109375" style="2410"/>
    <col min="9217" max="9217" width="48.5546875" style="2410" customWidth="1"/>
    <col min="9218" max="9219" width="23.6640625" style="2410" customWidth="1"/>
    <col min="9220" max="9220" width="29.5546875" style="2410" customWidth="1"/>
    <col min="9221" max="9226" width="23.6640625" style="2410" customWidth="1"/>
    <col min="9227" max="9227" width="19.109375" style="2410" customWidth="1"/>
    <col min="9228" max="9228" width="14.33203125" style="2410" customWidth="1"/>
    <col min="9229" max="9229" width="23.6640625" style="2410" customWidth="1"/>
    <col min="9230" max="9230" width="16.109375" style="2410" customWidth="1"/>
    <col min="9231" max="9231" width="15.109375" style="2410" customWidth="1"/>
    <col min="9232" max="9472" width="9.109375" style="2410"/>
    <col min="9473" max="9473" width="48.5546875" style="2410" customWidth="1"/>
    <col min="9474" max="9475" width="23.6640625" style="2410" customWidth="1"/>
    <col min="9476" max="9476" width="29.5546875" style="2410" customWidth="1"/>
    <col min="9477" max="9482" width="23.6640625" style="2410" customWidth="1"/>
    <col min="9483" max="9483" width="19.109375" style="2410" customWidth="1"/>
    <col min="9484" max="9484" width="14.33203125" style="2410" customWidth="1"/>
    <col min="9485" max="9485" width="23.6640625" style="2410" customWidth="1"/>
    <col min="9486" max="9486" width="16.109375" style="2410" customWidth="1"/>
    <col min="9487" max="9487" width="15.109375" style="2410" customWidth="1"/>
    <col min="9488" max="9728" width="9.109375" style="2410"/>
    <col min="9729" max="9729" width="48.5546875" style="2410" customWidth="1"/>
    <col min="9730" max="9731" width="23.6640625" style="2410" customWidth="1"/>
    <col min="9732" max="9732" width="29.5546875" style="2410" customWidth="1"/>
    <col min="9733" max="9738" width="23.6640625" style="2410" customWidth="1"/>
    <col min="9739" max="9739" width="19.109375" style="2410" customWidth="1"/>
    <col min="9740" max="9740" width="14.33203125" style="2410" customWidth="1"/>
    <col min="9741" max="9741" width="23.6640625" style="2410" customWidth="1"/>
    <col min="9742" max="9742" width="16.109375" style="2410" customWidth="1"/>
    <col min="9743" max="9743" width="15.109375" style="2410" customWidth="1"/>
    <col min="9744" max="9984" width="9.109375" style="2410"/>
    <col min="9985" max="9985" width="48.5546875" style="2410" customWidth="1"/>
    <col min="9986" max="9987" width="23.6640625" style="2410" customWidth="1"/>
    <col min="9988" max="9988" width="29.5546875" style="2410" customWidth="1"/>
    <col min="9989" max="9994" width="23.6640625" style="2410" customWidth="1"/>
    <col min="9995" max="9995" width="19.109375" style="2410" customWidth="1"/>
    <col min="9996" max="9996" width="14.33203125" style="2410" customWidth="1"/>
    <col min="9997" max="9997" width="23.6640625" style="2410" customWidth="1"/>
    <col min="9998" max="9998" width="16.109375" style="2410" customWidth="1"/>
    <col min="9999" max="9999" width="15.109375" style="2410" customWidth="1"/>
    <col min="10000" max="10240" width="9.109375" style="2410"/>
    <col min="10241" max="10241" width="48.5546875" style="2410" customWidth="1"/>
    <col min="10242" max="10243" width="23.6640625" style="2410" customWidth="1"/>
    <col min="10244" max="10244" width="29.5546875" style="2410" customWidth="1"/>
    <col min="10245" max="10250" width="23.6640625" style="2410" customWidth="1"/>
    <col min="10251" max="10251" width="19.109375" style="2410" customWidth="1"/>
    <col min="10252" max="10252" width="14.33203125" style="2410" customWidth="1"/>
    <col min="10253" max="10253" width="23.6640625" style="2410" customWidth="1"/>
    <col min="10254" max="10254" width="16.109375" style="2410" customWidth="1"/>
    <col min="10255" max="10255" width="15.109375" style="2410" customWidth="1"/>
    <col min="10256" max="10496" width="9.109375" style="2410"/>
    <col min="10497" max="10497" width="48.5546875" style="2410" customWidth="1"/>
    <col min="10498" max="10499" width="23.6640625" style="2410" customWidth="1"/>
    <col min="10500" max="10500" width="29.5546875" style="2410" customWidth="1"/>
    <col min="10501" max="10506" width="23.6640625" style="2410" customWidth="1"/>
    <col min="10507" max="10507" width="19.109375" style="2410" customWidth="1"/>
    <col min="10508" max="10508" width="14.33203125" style="2410" customWidth="1"/>
    <col min="10509" max="10509" width="23.6640625" style="2410" customWidth="1"/>
    <col min="10510" max="10510" width="16.109375" style="2410" customWidth="1"/>
    <col min="10511" max="10511" width="15.109375" style="2410" customWidth="1"/>
    <col min="10512" max="10752" width="9.109375" style="2410"/>
    <col min="10753" max="10753" width="48.5546875" style="2410" customWidth="1"/>
    <col min="10754" max="10755" width="23.6640625" style="2410" customWidth="1"/>
    <col min="10756" max="10756" width="29.5546875" style="2410" customWidth="1"/>
    <col min="10757" max="10762" width="23.6640625" style="2410" customWidth="1"/>
    <col min="10763" max="10763" width="19.109375" style="2410" customWidth="1"/>
    <col min="10764" max="10764" width="14.33203125" style="2410" customWidth="1"/>
    <col min="10765" max="10765" width="23.6640625" style="2410" customWidth="1"/>
    <col min="10766" max="10766" width="16.109375" style="2410" customWidth="1"/>
    <col min="10767" max="10767" width="15.109375" style="2410" customWidth="1"/>
    <col min="10768" max="11008" width="9.109375" style="2410"/>
    <col min="11009" max="11009" width="48.5546875" style="2410" customWidth="1"/>
    <col min="11010" max="11011" width="23.6640625" style="2410" customWidth="1"/>
    <col min="11012" max="11012" width="29.5546875" style="2410" customWidth="1"/>
    <col min="11013" max="11018" width="23.6640625" style="2410" customWidth="1"/>
    <col min="11019" max="11019" width="19.109375" style="2410" customWidth="1"/>
    <col min="11020" max="11020" width="14.33203125" style="2410" customWidth="1"/>
    <col min="11021" max="11021" width="23.6640625" style="2410" customWidth="1"/>
    <col min="11022" max="11022" width="16.109375" style="2410" customWidth="1"/>
    <col min="11023" max="11023" width="15.109375" style="2410" customWidth="1"/>
    <col min="11024" max="11264" width="9.109375" style="2410"/>
    <col min="11265" max="11265" width="48.5546875" style="2410" customWidth="1"/>
    <col min="11266" max="11267" width="23.6640625" style="2410" customWidth="1"/>
    <col min="11268" max="11268" width="29.5546875" style="2410" customWidth="1"/>
    <col min="11269" max="11274" width="23.6640625" style="2410" customWidth="1"/>
    <col min="11275" max="11275" width="19.109375" style="2410" customWidth="1"/>
    <col min="11276" max="11276" width="14.33203125" style="2410" customWidth="1"/>
    <col min="11277" max="11277" width="23.6640625" style="2410" customWidth="1"/>
    <col min="11278" max="11278" width="16.109375" style="2410" customWidth="1"/>
    <col min="11279" max="11279" width="15.109375" style="2410" customWidth="1"/>
    <col min="11280" max="11520" width="9.109375" style="2410"/>
    <col min="11521" max="11521" width="48.5546875" style="2410" customWidth="1"/>
    <col min="11522" max="11523" width="23.6640625" style="2410" customWidth="1"/>
    <col min="11524" max="11524" width="29.5546875" style="2410" customWidth="1"/>
    <col min="11525" max="11530" width="23.6640625" style="2410" customWidth="1"/>
    <col min="11531" max="11531" width="19.109375" style="2410" customWidth="1"/>
    <col min="11532" max="11532" width="14.33203125" style="2410" customWidth="1"/>
    <col min="11533" max="11533" width="23.6640625" style="2410" customWidth="1"/>
    <col min="11534" max="11534" width="16.109375" style="2410" customWidth="1"/>
    <col min="11535" max="11535" width="15.109375" style="2410" customWidth="1"/>
    <col min="11536" max="11776" width="9.109375" style="2410"/>
    <col min="11777" max="11777" width="48.5546875" style="2410" customWidth="1"/>
    <col min="11778" max="11779" width="23.6640625" style="2410" customWidth="1"/>
    <col min="11780" max="11780" width="29.5546875" style="2410" customWidth="1"/>
    <col min="11781" max="11786" width="23.6640625" style="2410" customWidth="1"/>
    <col min="11787" max="11787" width="19.109375" style="2410" customWidth="1"/>
    <col min="11788" max="11788" width="14.33203125" style="2410" customWidth="1"/>
    <col min="11789" max="11789" width="23.6640625" style="2410" customWidth="1"/>
    <col min="11790" max="11790" width="16.109375" style="2410" customWidth="1"/>
    <col min="11791" max="11791" width="15.109375" style="2410" customWidth="1"/>
    <col min="11792" max="12032" width="9.109375" style="2410"/>
    <col min="12033" max="12033" width="48.5546875" style="2410" customWidth="1"/>
    <col min="12034" max="12035" width="23.6640625" style="2410" customWidth="1"/>
    <col min="12036" max="12036" width="29.5546875" style="2410" customWidth="1"/>
    <col min="12037" max="12042" width="23.6640625" style="2410" customWidth="1"/>
    <col min="12043" max="12043" width="19.109375" style="2410" customWidth="1"/>
    <col min="12044" max="12044" width="14.33203125" style="2410" customWidth="1"/>
    <col min="12045" max="12045" width="23.6640625" style="2410" customWidth="1"/>
    <col min="12046" max="12046" width="16.109375" style="2410" customWidth="1"/>
    <col min="12047" max="12047" width="15.109375" style="2410" customWidth="1"/>
    <col min="12048" max="12288" width="9.109375" style="2410"/>
    <col min="12289" max="12289" width="48.5546875" style="2410" customWidth="1"/>
    <col min="12290" max="12291" width="23.6640625" style="2410" customWidth="1"/>
    <col min="12292" max="12292" width="29.5546875" style="2410" customWidth="1"/>
    <col min="12293" max="12298" width="23.6640625" style="2410" customWidth="1"/>
    <col min="12299" max="12299" width="19.109375" style="2410" customWidth="1"/>
    <col min="12300" max="12300" width="14.33203125" style="2410" customWidth="1"/>
    <col min="12301" max="12301" width="23.6640625" style="2410" customWidth="1"/>
    <col min="12302" max="12302" width="16.109375" style="2410" customWidth="1"/>
    <col min="12303" max="12303" width="15.109375" style="2410" customWidth="1"/>
    <col min="12304" max="12544" width="9.109375" style="2410"/>
    <col min="12545" max="12545" width="48.5546875" style="2410" customWidth="1"/>
    <col min="12546" max="12547" width="23.6640625" style="2410" customWidth="1"/>
    <col min="12548" max="12548" width="29.5546875" style="2410" customWidth="1"/>
    <col min="12549" max="12554" width="23.6640625" style="2410" customWidth="1"/>
    <col min="12555" max="12555" width="19.109375" style="2410" customWidth="1"/>
    <col min="12556" max="12556" width="14.33203125" style="2410" customWidth="1"/>
    <col min="12557" max="12557" width="23.6640625" style="2410" customWidth="1"/>
    <col min="12558" max="12558" width="16.109375" style="2410" customWidth="1"/>
    <col min="12559" max="12559" width="15.109375" style="2410" customWidth="1"/>
    <col min="12560" max="12800" width="9.109375" style="2410"/>
    <col min="12801" max="12801" width="48.5546875" style="2410" customWidth="1"/>
    <col min="12802" max="12803" width="23.6640625" style="2410" customWidth="1"/>
    <col min="12804" max="12804" width="29.5546875" style="2410" customWidth="1"/>
    <col min="12805" max="12810" width="23.6640625" style="2410" customWidth="1"/>
    <col min="12811" max="12811" width="19.109375" style="2410" customWidth="1"/>
    <col min="12812" max="12812" width="14.33203125" style="2410" customWidth="1"/>
    <col min="12813" max="12813" width="23.6640625" style="2410" customWidth="1"/>
    <col min="12814" max="12814" width="16.109375" style="2410" customWidth="1"/>
    <col min="12815" max="12815" width="15.109375" style="2410" customWidth="1"/>
    <col min="12816" max="13056" width="9.109375" style="2410"/>
    <col min="13057" max="13057" width="48.5546875" style="2410" customWidth="1"/>
    <col min="13058" max="13059" width="23.6640625" style="2410" customWidth="1"/>
    <col min="13060" max="13060" width="29.5546875" style="2410" customWidth="1"/>
    <col min="13061" max="13066" width="23.6640625" style="2410" customWidth="1"/>
    <col min="13067" max="13067" width="19.109375" style="2410" customWidth="1"/>
    <col min="13068" max="13068" width="14.33203125" style="2410" customWidth="1"/>
    <col min="13069" max="13069" width="23.6640625" style="2410" customWidth="1"/>
    <col min="13070" max="13070" width="16.109375" style="2410" customWidth="1"/>
    <col min="13071" max="13071" width="15.109375" style="2410" customWidth="1"/>
    <col min="13072" max="13312" width="9.109375" style="2410"/>
    <col min="13313" max="13313" width="48.5546875" style="2410" customWidth="1"/>
    <col min="13314" max="13315" width="23.6640625" style="2410" customWidth="1"/>
    <col min="13316" max="13316" width="29.5546875" style="2410" customWidth="1"/>
    <col min="13317" max="13322" width="23.6640625" style="2410" customWidth="1"/>
    <col min="13323" max="13323" width="19.109375" style="2410" customWidth="1"/>
    <col min="13324" max="13324" width="14.33203125" style="2410" customWidth="1"/>
    <col min="13325" max="13325" width="23.6640625" style="2410" customWidth="1"/>
    <col min="13326" max="13326" width="16.109375" style="2410" customWidth="1"/>
    <col min="13327" max="13327" width="15.109375" style="2410" customWidth="1"/>
    <col min="13328" max="13568" width="9.109375" style="2410"/>
    <col min="13569" max="13569" width="48.5546875" style="2410" customWidth="1"/>
    <col min="13570" max="13571" width="23.6640625" style="2410" customWidth="1"/>
    <col min="13572" max="13572" width="29.5546875" style="2410" customWidth="1"/>
    <col min="13573" max="13578" width="23.6640625" style="2410" customWidth="1"/>
    <col min="13579" max="13579" width="19.109375" style="2410" customWidth="1"/>
    <col min="13580" max="13580" width="14.33203125" style="2410" customWidth="1"/>
    <col min="13581" max="13581" width="23.6640625" style="2410" customWidth="1"/>
    <col min="13582" max="13582" width="16.109375" style="2410" customWidth="1"/>
    <col min="13583" max="13583" width="15.109375" style="2410" customWidth="1"/>
    <col min="13584" max="13824" width="9.109375" style="2410"/>
    <col min="13825" max="13825" width="48.5546875" style="2410" customWidth="1"/>
    <col min="13826" max="13827" width="23.6640625" style="2410" customWidth="1"/>
    <col min="13828" max="13828" width="29.5546875" style="2410" customWidth="1"/>
    <col min="13829" max="13834" width="23.6640625" style="2410" customWidth="1"/>
    <col min="13835" max="13835" width="19.109375" style="2410" customWidth="1"/>
    <col min="13836" max="13836" width="14.33203125" style="2410" customWidth="1"/>
    <col min="13837" max="13837" width="23.6640625" style="2410" customWidth="1"/>
    <col min="13838" max="13838" width="16.109375" style="2410" customWidth="1"/>
    <col min="13839" max="13839" width="15.109375" style="2410" customWidth="1"/>
    <col min="13840" max="14080" width="9.109375" style="2410"/>
    <col min="14081" max="14081" width="48.5546875" style="2410" customWidth="1"/>
    <col min="14082" max="14083" width="23.6640625" style="2410" customWidth="1"/>
    <col min="14084" max="14084" width="29.5546875" style="2410" customWidth="1"/>
    <col min="14085" max="14090" width="23.6640625" style="2410" customWidth="1"/>
    <col min="14091" max="14091" width="19.109375" style="2410" customWidth="1"/>
    <col min="14092" max="14092" width="14.33203125" style="2410" customWidth="1"/>
    <col min="14093" max="14093" width="23.6640625" style="2410" customWidth="1"/>
    <col min="14094" max="14094" width="16.109375" style="2410" customWidth="1"/>
    <col min="14095" max="14095" width="15.109375" style="2410" customWidth="1"/>
    <col min="14096" max="14336" width="9.109375" style="2410"/>
    <col min="14337" max="14337" width="48.5546875" style="2410" customWidth="1"/>
    <col min="14338" max="14339" width="23.6640625" style="2410" customWidth="1"/>
    <col min="14340" max="14340" width="29.5546875" style="2410" customWidth="1"/>
    <col min="14341" max="14346" width="23.6640625" style="2410" customWidth="1"/>
    <col min="14347" max="14347" width="19.109375" style="2410" customWidth="1"/>
    <col min="14348" max="14348" width="14.33203125" style="2410" customWidth="1"/>
    <col min="14349" max="14349" width="23.6640625" style="2410" customWidth="1"/>
    <col min="14350" max="14350" width="16.109375" style="2410" customWidth="1"/>
    <col min="14351" max="14351" width="15.109375" style="2410" customWidth="1"/>
    <col min="14352" max="14592" width="9.109375" style="2410"/>
    <col min="14593" max="14593" width="48.5546875" style="2410" customWidth="1"/>
    <col min="14594" max="14595" width="23.6640625" style="2410" customWidth="1"/>
    <col min="14596" max="14596" width="29.5546875" style="2410" customWidth="1"/>
    <col min="14597" max="14602" width="23.6640625" style="2410" customWidth="1"/>
    <col min="14603" max="14603" width="19.109375" style="2410" customWidth="1"/>
    <col min="14604" max="14604" width="14.33203125" style="2410" customWidth="1"/>
    <col min="14605" max="14605" width="23.6640625" style="2410" customWidth="1"/>
    <col min="14606" max="14606" width="16.109375" style="2410" customWidth="1"/>
    <col min="14607" max="14607" width="15.109375" style="2410" customWidth="1"/>
    <col min="14608" max="14848" width="9.109375" style="2410"/>
    <col min="14849" max="14849" width="48.5546875" style="2410" customWidth="1"/>
    <col min="14850" max="14851" width="23.6640625" style="2410" customWidth="1"/>
    <col min="14852" max="14852" width="29.5546875" style="2410" customWidth="1"/>
    <col min="14853" max="14858" width="23.6640625" style="2410" customWidth="1"/>
    <col min="14859" max="14859" width="19.109375" style="2410" customWidth="1"/>
    <col min="14860" max="14860" width="14.33203125" style="2410" customWidth="1"/>
    <col min="14861" max="14861" width="23.6640625" style="2410" customWidth="1"/>
    <col min="14862" max="14862" width="16.109375" style="2410" customWidth="1"/>
    <col min="14863" max="14863" width="15.109375" style="2410" customWidth="1"/>
    <col min="14864" max="15104" width="9.109375" style="2410"/>
    <col min="15105" max="15105" width="48.5546875" style="2410" customWidth="1"/>
    <col min="15106" max="15107" width="23.6640625" style="2410" customWidth="1"/>
    <col min="15108" max="15108" width="29.5546875" style="2410" customWidth="1"/>
    <col min="15109" max="15114" width="23.6640625" style="2410" customWidth="1"/>
    <col min="15115" max="15115" width="19.109375" style="2410" customWidth="1"/>
    <col min="15116" max="15116" width="14.33203125" style="2410" customWidth="1"/>
    <col min="15117" max="15117" width="23.6640625" style="2410" customWidth="1"/>
    <col min="15118" max="15118" width="16.109375" style="2410" customWidth="1"/>
    <col min="15119" max="15119" width="15.109375" style="2410" customWidth="1"/>
    <col min="15120" max="15360" width="9.109375" style="2410"/>
    <col min="15361" max="15361" width="48.5546875" style="2410" customWidth="1"/>
    <col min="15362" max="15363" width="23.6640625" style="2410" customWidth="1"/>
    <col min="15364" max="15364" width="29.5546875" style="2410" customWidth="1"/>
    <col min="15365" max="15370" width="23.6640625" style="2410" customWidth="1"/>
    <col min="15371" max="15371" width="19.109375" style="2410" customWidth="1"/>
    <col min="15372" max="15372" width="14.33203125" style="2410" customWidth="1"/>
    <col min="15373" max="15373" width="23.6640625" style="2410" customWidth="1"/>
    <col min="15374" max="15374" width="16.109375" style="2410" customWidth="1"/>
    <col min="15375" max="15375" width="15.109375" style="2410" customWidth="1"/>
    <col min="15376" max="15616" width="9.109375" style="2410"/>
    <col min="15617" max="15617" width="48.5546875" style="2410" customWidth="1"/>
    <col min="15618" max="15619" width="23.6640625" style="2410" customWidth="1"/>
    <col min="15620" max="15620" width="29.5546875" style="2410" customWidth="1"/>
    <col min="15621" max="15626" width="23.6640625" style="2410" customWidth="1"/>
    <col min="15627" max="15627" width="19.109375" style="2410" customWidth="1"/>
    <col min="15628" max="15628" width="14.33203125" style="2410" customWidth="1"/>
    <col min="15629" max="15629" width="23.6640625" style="2410" customWidth="1"/>
    <col min="15630" max="15630" width="16.109375" style="2410" customWidth="1"/>
    <col min="15631" max="15631" width="15.109375" style="2410" customWidth="1"/>
    <col min="15632" max="15872" width="9.109375" style="2410"/>
    <col min="15873" max="15873" width="48.5546875" style="2410" customWidth="1"/>
    <col min="15874" max="15875" width="23.6640625" style="2410" customWidth="1"/>
    <col min="15876" max="15876" width="29.5546875" style="2410" customWidth="1"/>
    <col min="15877" max="15882" width="23.6640625" style="2410" customWidth="1"/>
    <col min="15883" max="15883" width="19.109375" style="2410" customWidth="1"/>
    <col min="15884" max="15884" width="14.33203125" style="2410" customWidth="1"/>
    <col min="15885" max="15885" width="23.6640625" style="2410" customWidth="1"/>
    <col min="15886" max="15886" width="16.109375" style="2410" customWidth="1"/>
    <col min="15887" max="15887" width="15.109375" style="2410" customWidth="1"/>
    <col min="15888" max="16128" width="9.109375" style="2410"/>
    <col min="16129" max="16129" width="48.5546875" style="2410" customWidth="1"/>
    <col min="16130" max="16131" width="23.6640625" style="2410" customWidth="1"/>
    <col min="16132" max="16132" width="29.5546875" style="2410" customWidth="1"/>
    <col min="16133" max="16138" width="23.6640625" style="2410" customWidth="1"/>
    <col min="16139" max="16139" width="19.109375" style="2410" customWidth="1"/>
    <col min="16140" max="16140" width="14.33203125" style="2410" customWidth="1"/>
    <col min="16141" max="16141" width="23.6640625" style="2410" customWidth="1"/>
    <col min="16142" max="16142" width="16.109375" style="2410" customWidth="1"/>
    <col min="16143" max="16143" width="15.109375" style="2410" customWidth="1"/>
    <col min="16144" max="16384" width="9.109375" style="2410"/>
  </cols>
  <sheetData>
    <row r="1" spans="1:15" ht="43.5" customHeight="1" x14ac:dyDescent="0.25"/>
    <row r="2" spans="1:15" ht="18" thickBot="1" x14ac:dyDescent="0.35">
      <c r="B2" s="1" t="s">
        <v>861</v>
      </c>
      <c r="C2" s="2296"/>
      <c r="D2" s="2411"/>
      <c r="E2" s="3"/>
    </row>
    <row r="3" spans="1:15" ht="15.6" thickBot="1" x14ac:dyDescent="0.3">
      <c r="B3" s="5" t="s">
        <v>118</v>
      </c>
      <c r="C3" s="171"/>
      <c r="D3" s="6" t="s">
        <v>1049</v>
      </c>
      <c r="E3" s="104">
        <v>18230688</v>
      </c>
    </row>
    <row r="5" spans="1:15" ht="13.8" thickBot="1" x14ac:dyDescent="0.3">
      <c r="A5" s="71"/>
      <c r="D5" s="2411"/>
      <c r="E5" s="107" t="s">
        <v>8</v>
      </c>
    </row>
    <row r="6" spans="1:15" ht="39.6" x14ac:dyDescent="0.3">
      <c r="A6" s="71"/>
      <c r="B6" s="3881"/>
      <c r="E6" s="108" t="s">
        <v>9</v>
      </c>
      <c r="F6" s="108" t="s">
        <v>10</v>
      </c>
      <c r="G6" s="108" t="s">
        <v>11</v>
      </c>
      <c r="H6" s="109" t="s">
        <v>12</v>
      </c>
      <c r="I6" s="110" t="s">
        <v>13</v>
      </c>
      <c r="J6" s="108" t="s">
        <v>14</v>
      </c>
      <c r="K6" s="108" t="s">
        <v>15</v>
      </c>
      <c r="L6" s="108" t="s">
        <v>16</v>
      </c>
      <c r="M6" s="108" t="s">
        <v>17</v>
      </c>
      <c r="N6" s="111" t="s">
        <v>18</v>
      </c>
      <c r="O6" s="2428" t="s">
        <v>19</v>
      </c>
    </row>
    <row r="7" spans="1:15" s="55" customFormat="1" x14ac:dyDescent="0.25">
      <c r="A7" s="112"/>
      <c r="D7" s="114" t="s">
        <v>20</v>
      </c>
      <c r="E7" s="115"/>
      <c r="F7" s="115"/>
      <c r="G7" s="115"/>
      <c r="H7" s="116"/>
      <c r="I7" s="117"/>
      <c r="J7" s="115"/>
      <c r="K7" s="115"/>
      <c r="L7" s="115"/>
      <c r="M7" s="115"/>
      <c r="N7" s="199"/>
      <c r="O7" s="1475" t="s">
        <v>21</v>
      </c>
    </row>
    <row r="8" spans="1:15" s="55" customFormat="1" x14ac:dyDescent="0.25">
      <c r="A8" s="112"/>
      <c r="D8" s="114" t="s">
        <v>22</v>
      </c>
      <c r="E8" s="1463">
        <v>51750</v>
      </c>
      <c r="F8" s="1463">
        <v>0</v>
      </c>
      <c r="G8" s="1463">
        <v>32602.5</v>
      </c>
      <c r="H8" s="1463">
        <v>0</v>
      </c>
      <c r="I8" s="1463">
        <v>720</v>
      </c>
      <c r="J8" s="1463">
        <v>0</v>
      </c>
      <c r="K8" s="1463">
        <v>1200</v>
      </c>
      <c r="L8" s="1463">
        <v>1800</v>
      </c>
      <c r="M8" s="1420"/>
      <c r="N8" s="1411">
        <v>88072.5</v>
      </c>
      <c r="O8" s="1476" t="e">
        <f>(N8-N7)/N7</f>
        <v>#DIV/0!</v>
      </c>
    </row>
    <row r="9" spans="1:15" s="55" customFormat="1" x14ac:dyDescent="0.25">
      <c r="A9" s="112"/>
      <c r="D9" s="55">
        <v>2012</v>
      </c>
      <c r="E9" s="1467">
        <f>SUM(B23:B25)</f>
        <v>34500</v>
      </c>
      <c r="F9" s="1467">
        <f>SUM(B29:B31)</f>
        <v>0</v>
      </c>
      <c r="G9" s="1467">
        <f>(SUM(B23:B25)+SUM(B29:B31))*0.63</f>
        <v>21735</v>
      </c>
      <c r="H9" s="1467">
        <f>SUM(B44:B48)+SUM(B52:B57)</f>
        <v>0</v>
      </c>
      <c r="I9" s="1470">
        <f>SUM(B60:B64)</f>
        <v>1200</v>
      </c>
      <c r="J9" s="1467">
        <f>SUM(B68:B73)</f>
        <v>3000</v>
      </c>
      <c r="K9" s="1467">
        <f>SUM(B76:B82)</f>
        <v>0</v>
      </c>
      <c r="L9" s="1467">
        <f>SUM(B85:B90)</f>
        <v>0</v>
      </c>
      <c r="M9" s="1473"/>
      <c r="N9" s="1477">
        <f>SUM(E9:M9)</f>
        <v>60435</v>
      </c>
      <c r="O9" s="1476">
        <f>(N9-N8)/N8</f>
        <v>-0.31380396832155327</v>
      </c>
    </row>
    <row r="10" spans="1:15" s="55" customFormat="1" x14ac:dyDescent="0.25">
      <c r="A10" s="112"/>
      <c r="D10" s="55">
        <v>2013</v>
      </c>
      <c r="E10" s="1467">
        <f>SUM(C23:C25)</f>
        <v>35500</v>
      </c>
      <c r="F10" s="1467">
        <f>SUM(C29:C31)</f>
        <v>0</v>
      </c>
      <c r="G10" s="1467">
        <f>(SUM(C23:C25)+SUM(C29:C31))*0.63</f>
        <v>22365</v>
      </c>
      <c r="H10" s="1467">
        <f>SUM(C44:C48)+SUM(C52:C57)</f>
        <v>0</v>
      </c>
      <c r="I10" s="1470">
        <f>SUM(C60:C64)</f>
        <v>1200</v>
      </c>
      <c r="J10" s="1467">
        <f>SUM(C68:C73)</f>
        <v>3000</v>
      </c>
      <c r="K10" s="1467">
        <f>SUM(C76:C82)</f>
        <v>0</v>
      </c>
      <c r="L10" s="1467">
        <f>SUM(C85:C90)</f>
        <v>0</v>
      </c>
      <c r="M10" s="1473"/>
      <c r="N10" s="1477">
        <f>SUM(E10:M10)</f>
        <v>62065</v>
      </c>
      <c r="O10" s="1476">
        <f>(N10-N9)/N9</f>
        <v>2.6971126003143872E-2</v>
      </c>
    </row>
    <row r="11" spans="1:15" s="19" customFormat="1" ht="13.8" thickBot="1" x14ac:dyDescent="0.3">
      <c r="A11" s="71"/>
      <c r="D11" s="126" t="s">
        <v>23</v>
      </c>
      <c r="E11" s="1469">
        <f>SUM(E9:E10)</f>
        <v>70000</v>
      </c>
      <c r="F11" s="1469">
        <f t="shared" ref="F11:M11" si="0">SUM(F9:F10)</f>
        <v>0</v>
      </c>
      <c r="G11" s="1469">
        <f t="shared" si="0"/>
        <v>44100</v>
      </c>
      <c r="H11" s="1469">
        <f t="shared" si="0"/>
        <v>0</v>
      </c>
      <c r="I11" s="1469">
        <f t="shared" si="0"/>
        <v>2400</v>
      </c>
      <c r="J11" s="1469">
        <f t="shared" si="0"/>
        <v>6000</v>
      </c>
      <c r="K11" s="1469">
        <f t="shared" si="0"/>
        <v>0</v>
      </c>
      <c r="L11" s="1469">
        <f t="shared" si="0"/>
        <v>0</v>
      </c>
      <c r="M11" s="1474">
        <f t="shared" si="0"/>
        <v>0</v>
      </c>
      <c r="N11" s="1478">
        <f>SUM(N9:N10)</f>
        <v>122500</v>
      </c>
    </row>
    <row r="12" spans="1:15" ht="18" customHeight="1" x14ac:dyDescent="0.25">
      <c r="A12" s="71"/>
      <c r="D12" s="2411"/>
      <c r="E12" s="3"/>
      <c r="M12" s="71" t="s">
        <v>24</v>
      </c>
    </row>
    <row r="13" spans="1:15" x14ac:dyDescent="0.25">
      <c r="A13" s="71"/>
      <c r="D13" s="2411"/>
      <c r="E13" s="3"/>
      <c r="M13" s="71" t="s">
        <v>25</v>
      </c>
    </row>
    <row r="14" spans="1:15" ht="15.6" x14ac:dyDescent="0.3">
      <c r="A14" s="71"/>
      <c r="B14" s="4781" t="s">
        <v>26</v>
      </c>
      <c r="C14" s="4783"/>
      <c r="D14" s="4783"/>
      <c r="E14" s="4782"/>
      <c r="F14" s="3839"/>
      <c r="G14" s="3839"/>
    </row>
    <row r="15" spans="1:15" s="55" customFormat="1" ht="15.6" x14ac:dyDescent="0.3">
      <c r="A15" s="112"/>
      <c r="B15" s="173"/>
      <c r="C15" s="132"/>
      <c r="D15" s="132"/>
      <c r="E15" s="132"/>
      <c r="F15" s="132"/>
      <c r="G15" s="132"/>
    </row>
    <row r="16" spans="1:15" s="55" customFormat="1" ht="15.6" x14ac:dyDescent="0.3">
      <c r="A16" s="112"/>
      <c r="B16" s="132"/>
      <c r="C16" s="132"/>
      <c r="D16" s="132"/>
      <c r="E16" s="132"/>
      <c r="F16" s="132"/>
      <c r="G16" s="132"/>
    </row>
    <row r="17" spans="1:6" ht="15.6" x14ac:dyDescent="0.3">
      <c r="A17" s="71"/>
      <c r="B17" s="4779" t="s">
        <v>27</v>
      </c>
      <c r="C17" s="4779"/>
      <c r="D17" s="45" t="s">
        <v>28</v>
      </c>
      <c r="E17" s="46" t="s">
        <v>29</v>
      </c>
    </row>
    <row r="18" spans="1:6" ht="15.6" x14ac:dyDescent="0.3">
      <c r="A18" s="71"/>
      <c r="B18" s="4780" t="s">
        <v>30</v>
      </c>
      <c r="C18" s="4780"/>
      <c r="D18" s="45"/>
      <c r="E18" s="46"/>
    </row>
    <row r="19" spans="1:6" ht="46.8" x14ac:dyDescent="0.3">
      <c r="A19" s="71"/>
      <c r="B19" s="2605">
        <v>2012</v>
      </c>
      <c r="C19" s="2605">
        <v>2013</v>
      </c>
      <c r="D19" s="71" t="s">
        <v>89</v>
      </c>
      <c r="E19" s="134" t="s">
        <v>32</v>
      </c>
    </row>
    <row r="20" spans="1:6" x14ac:dyDescent="0.25">
      <c r="A20" s="71"/>
      <c r="B20" s="178" t="s">
        <v>9</v>
      </c>
      <c r="C20" s="178" t="s">
        <v>9</v>
      </c>
      <c r="D20" s="141"/>
      <c r="E20" s="142">
        <f>SUM(B23:B25)+SUM(C23:C25)</f>
        <v>70000</v>
      </c>
    </row>
    <row r="21" spans="1:6" ht="7.5" customHeight="1" x14ac:dyDescent="0.25">
      <c r="A21" s="71"/>
      <c r="B21" s="179"/>
      <c r="C21" s="179"/>
      <c r="D21" s="2411"/>
      <c r="E21" s="54"/>
    </row>
    <row r="22" spans="1:6" x14ac:dyDescent="0.25">
      <c r="A22" s="71"/>
      <c r="B22" s="180" t="s">
        <v>33</v>
      </c>
      <c r="C22" s="180" t="s">
        <v>33</v>
      </c>
      <c r="D22" s="146" t="s">
        <v>7</v>
      </c>
      <c r="E22" s="54"/>
      <c r="F22" s="147" t="s">
        <v>7</v>
      </c>
    </row>
    <row r="23" spans="1:6" x14ac:dyDescent="0.25">
      <c r="A23" s="71"/>
      <c r="B23" s="3354">
        <v>34500</v>
      </c>
      <c r="C23" s="3368">
        <v>35500</v>
      </c>
      <c r="D23" s="4526" t="s">
        <v>1051</v>
      </c>
      <c r="E23" s="54"/>
      <c r="F23" s="149"/>
    </row>
    <row r="24" spans="1:6" x14ac:dyDescent="0.25">
      <c r="A24" s="71"/>
      <c r="B24" s="2418"/>
      <c r="C24" s="2418"/>
      <c r="D24" s="2411"/>
      <c r="E24" s="54"/>
    </row>
    <row r="25" spans="1:6" x14ac:dyDescent="0.25">
      <c r="A25" s="71"/>
      <c r="B25" s="2418"/>
      <c r="C25" s="2418"/>
      <c r="D25" s="2411"/>
      <c r="E25" s="54"/>
    </row>
    <row r="26" spans="1:6" s="55" customFormat="1" ht="21" customHeight="1" x14ac:dyDescent="0.25">
      <c r="A26" s="112"/>
      <c r="B26" s="178" t="s">
        <v>10</v>
      </c>
      <c r="C26" s="178" t="s">
        <v>10</v>
      </c>
      <c r="D26" s="141"/>
      <c r="E26" s="142">
        <f>SUM(B29:B32)+SUM(C29:C32)</f>
        <v>0</v>
      </c>
    </row>
    <row r="27" spans="1:6" ht="8.25" customHeight="1" x14ac:dyDescent="0.25">
      <c r="A27" s="71"/>
      <c r="B27" s="184"/>
      <c r="C27" s="184"/>
      <c r="D27" s="155"/>
      <c r="E27" s="54"/>
    </row>
    <row r="28" spans="1:6" s="55" customFormat="1" ht="13.5" customHeight="1" x14ac:dyDescent="0.25">
      <c r="A28" s="112"/>
      <c r="B28" s="180" t="s">
        <v>33</v>
      </c>
      <c r="C28" s="180" t="s">
        <v>33</v>
      </c>
      <c r="D28" s="155"/>
      <c r="E28" s="54"/>
    </row>
    <row r="29" spans="1:6" x14ac:dyDescent="0.25">
      <c r="A29" s="71"/>
      <c r="B29" s="88"/>
      <c r="C29" s="185"/>
      <c r="D29" s="153"/>
      <c r="E29" s="54"/>
    </row>
    <row r="30" spans="1:6" x14ac:dyDescent="0.25">
      <c r="A30" s="71"/>
      <c r="B30" s="185"/>
      <c r="C30" s="185"/>
      <c r="D30" s="153"/>
      <c r="E30" s="54"/>
    </row>
    <row r="31" spans="1:6" x14ac:dyDescent="0.25">
      <c r="A31" s="71"/>
      <c r="B31" s="19"/>
      <c r="C31" s="19"/>
      <c r="D31" s="153"/>
      <c r="E31" s="54"/>
    </row>
    <row r="32" spans="1:6" x14ac:dyDescent="0.25">
      <c r="A32" s="71"/>
      <c r="B32" s="19"/>
      <c r="C32" s="19"/>
      <c r="D32" s="153"/>
      <c r="E32" s="54"/>
    </row>
    <row r="33" spans="1:6" x14ac:dyDescent="0.25">
      <c r="A33" s="71"/>
      <c r="B33" s="178" t="s">
        <v>11</v>
      </c>
      <c r="C33" s="178" t="s">
        <v>11</v>
      </c>
      <c r="D33" s="141"/>
      <c r="E33" s="142">
        <f>E20*0.63</f>
        <v>44100</v>
      </c>
    </row>
    <row r="34" spans="1:6" ht="7.5" customHeight="1" x14ac:dyDescent="0.25">
      <c r="A34" s="71"/>
      <c r="B34" s="179"/>
      <c r="C34" s="179"/>
      <c r="D34" s="2411"/>
      <c r="E34" s="70"/>
    </row>
    <row r="35" spans="1:6" x14ac:dyDescent="0.25">
      <c r="A35" s="1472"/>
      <c r="B35" s="186" t="s">
        <v>38</v>
      </c>
      <c r="C35" s="186" t="s">
        <v>38</v>
      </c>
      <c r="D35" s="146" t="s">
        <v>7</v>
      </c>
      <c r="E35" s="54"/>
      <c r="F35" s="161"/>
    </row>
    <row r="36" spans="1:6" x14ac:dyDescent="0.25">
      <c r="A36" s="71"/>
      <c r="B36" s="19"/>
      <c r="C36" s="19"/>
      <c r="D36" s="153" t="s">
        <v>7</v>
      </c>
      <c r="E36" s="54"/>
    </row>
    <row r="37" spans="1:6" s="55" customFormat="1" x14ac:dyDescent="0.25">
      <c r="A37" s="112"/>
      <c r="B37" s="178" t="s">
        <v>39</v>
      </c>
      <c r="C37" s="178" t="s">
        <v>39</v>
      </c>
      <c r="D37" s="141"/>
      <c r="E37" s="142">
        <f>SUM(B39:B41)+SUM(C39:C41)</f>
        <v>0</v>
      </c>
    </row>
    <row r="38" spans="1:6" ht="7.5" customHeight="1" x14ac:dyDescent="0.25">
      <c r="A38" s="71"/>
      <c r="B38" s="184"/>
      <c r="C38" s="184"/>
      <c r="D38" s="155"/>
      <c r="E38" s="54"/>
    </row>
    <row r="39" spans="1:6" x14ac:dyDescent="0.25">
      <c r="A39" s="71"/>
      <c r="C39" s="185"/>
      <c r="D39" s="153"/>
      <c r="E39" s="54"/>
    </row>
    <row r="40" spans="1:6" ht="26.25" customHeight="1" x14ac:dyDescent="0.25">
      <c r="A40" s="71"/>
      <c r="B40" s="19"/>
      <c r="C40" s="19"/>
      <c r="D40" s="153"/>
      <c r="E40" s="54"/>
    </row>
    <row r="41" spans="1:6" ht="15" customHeight="1" x14ac:dyDescent="0.25">
      <c r="A41" s="71"/>
      <c r="B41" s="19"/>
      <c r="C41" s="19"/>
      <c r="D41" s="153"/>
      <c r="E41" s="54"/>
    </row>
    <row r="42" spans="1:6" x14ac:dyDescent="0.25">
      <c r="A42" s="71"/>
      <c r="B42" s="178" t="s">
        <v>12</v>
      </c>
      <c r="C42" s="178" t="s">
        <v>12</v>
      </c>
      <c r="D42" s="141"/>
      <c r="E42" s="142">
        <f>SUM(B44:B49)+SUM(C44:C49)</f>
        <v>0</v>
      </c>
    </row>
    <row r="43" spans="1:6" ht="6.75" customHeight="1" x14ac:dyDescent="0.25">
      <c r="A43" s="71"/>
      <c r="B43" s="187"/>
      <c r="C43" s="187"/>
      <c r="D43" s="153"/>
      <c r="E43" s="54"/>
    </row>
    <row r="44" spans="1:6" x14ac:dyDescent="0.25">
      <c r="A44" s="71"/>
      <c r="B44" s="19"/>
      <c r="C44" s="19"/>
      <c r="D44" s="153"/>
      <c r="E44" s="54"/>
    </row>
    <row r="45" spans="1:6" x14ac:dyDescent="0.25">
      <c r="A45" s="71"/>
      <c r="B45" s="19"/>
      <c r="C45" s="19"/>
      <c r="D45" s="153"/>
      <c r="E45" s="54"/>
    </row>
    <row r="46" spans="1:6" x14ac:dyDescent="0.25">
      <c r="A46" s="71"/>
      <c r="B46" s="19"/>
      <c r="C46" s="19"/>
      <c r="D46" s="153"/>
      <c r="E46" s="54"/>
    </row>
    <row r="47" spans="1:6" x14ac:dyDescent="0.25">
      <c r="A47" s="71"/>
      <c r="B47" s="19"/>
      <c r="C47" s="19"/>
      <c r="D47" s="153"/>
      <c r="E47" s="54"/>
    </row>
    <row r="48" spans="1:6" ht="27.75" customHeight="1" x14ac:dyDescent="0.25">
      <c r="A48" s="71"/>
      <c r="B48" s="19"/>
      <c r="C48" s="19"/>
      <c r="D48" s="153"/>
      <c r="E48" s="54"/>
    </row>
    <row r="49" spans="1:5" ht="27.75" customHeight="1" x14ac:dyDescent="0.25">
      <c r="A49" s="71"/>
      <c r="B49" s="19"/>
      <c r="C49" s="19"/>
      <c r="D49" s="153"/>
      <c r="E49" s="54"/>
    </row>
    <row r="50" spans="1:5" x14ac:dyDescent="0.25">
      <c r="A50" s="71"/>
      <c r="B50" s="178" t="s">
        <v>40</v>
      </c>
      <c r="C50" s="178" t="s">
        <v>40</v>
      </c>
      <c r="D50" s="141"/>
      <c r="E50" s="142">
        <f>SUM(B52:B57)+SUM(C52:C57)</f>
        <v>0</v>
      </c>
    </row>
    <row r="51" spans="1:5" ht="6.75" customHeight="1" x14ac:dyDescent="0.25">
      <c r="A51" s="71"/>
      <c r="B51" s="184"/>
      <c r="C51" s="184"/>
      <c r="E51" s="75"/>
    </row>
    <row r="52" spans="1:5" x14ac:dyDescent="0.25">
      <c r="A52" s="71"/>
      <c r="B52" s="188"/>
      <c r="C52" s="188"/>
      <c r="E52" s="75"/>
    </row>
    <row r="53" spans="1:5" ht="12.75" customHeight="1" x14ac:dyDescent="0.25">
      <c r="A53" s="71"/>
      <c r="B53" s="188"/>
      <c r="C53" s="188"/>
      <c r="E53" s="75"/>
    </row>
    <row r="54" spans="1:5" x14ac:dyDescent="0.25">
      <c r="A54" s="71"/>
      <c r="B54" s="188"/>
      <c r="C54" s="188"/>
      <c r="E54" s="75"/>
    </row>
    <row r="55" spans="1:5" x14ac:dyDescent="0.25">
      <c r="A55" s="71"/>
      <c r="B55" s="188"/>
      <c r="C55" s="188"/>
      <c r="E55" s="75"/>
    </row>
    <row r="56" spans="1:5" x14ac:dyDescent="0.25">
      <c r="A56" s="71"/>
      <c r="E56" s="75"/>
    </row>
    <row r="57" spans="1:5" x14ac:dyDescent="0.25">
      <c r="A57" s="71"/>
      <c r="D57" s="2411"/>
      <c r="E57" s="54"/>
    </row>
    <row r="58" spans="1:5" x14ac:dyDescent="0.25">
      <c r="A58" s="71"/>
      <c r="B58" s="178" t="s">
        <v>13</v>
      </c>
      <c r="C58" s="178" t="s">
        <v>13</v>
      </c>
      <c r="D58" s="141"/>
      <c r="E58" s="142">
        <f>SUM(B60:B65)+SUM(C60:C65)</f>
        <v>2400</v>
      </c>
    </row>
    <row r="59" spans="1:5" ht="6.75" customHeight="1" x14ac:dyDescent="0.25">
      <c r="A59" s="71"/>
      <c r="B59" s="179"/>
      <c r="C59" s="179"/>
      <c r="D59" s="2411"/>
      <c r="E59" s="54"/>
    </row>
    <row r="60" spans="1:5" x14ac:dyDescent="0.25">
      <c r="A60" s="71"/>
      <c r="B60" s="2418">
        <v>500</v>
      </c>
      <c r="C60" s="2418">
        <v>500</v>
      </c>
      <c r="D60" s="164" t="s">
        <v>72</v>
      </c>
      <c r="E60" s="54"/>
    </row>
    <row r="61" spans="1:5" x14ac:dyDescent="0.25">
      <c r="A61" s="71"/>
      <c r="B61" s="2418" t="s">
        <v>7</v>
      </c>
      <c r="C61" s="2418"/>
      <c r="D61" s="164" t="s">
        <v>42</v>
      </c>
      <c r="E61" s="54"/>
    </row>
    <row r="62" spans="1:5" x14ac:dyDescent="0.25">
      <c r="A62" s="71"/>
      <c r="B62" s="2418">
        <v>500</v>
      </c>
      <c r="C62" s="2418">
        <v>500</v>
      </c>
      <c r="D62" s="164" t="s">
        <v>43</v>
      </c>
      <c r="E62" s="54"/>
    </row>
    <row r="63" spans="1:5" x14ac:dyDescent="0.25">
      <c r="A63" s="71"/>
      <c r="B63" s="2418">
        <v>200</v>
      </c>
      <c r="C63" s="2418">
        <v>200</v>
      </c>
      <c r="D63" s="164" t="s">
        <v>62</v>
      </c>
      <c r="E63" s="54"/>
    </row>
    <row r="64" spans="1:5" x14ac:dyDescent="0.25">
      <c r="A64" s="71"/>
      <c r="B64" s="2589"/>
      <c r="C64" s="2589"/>
      <c r="D64" s="164" t="s">
        <v>45</v>
      </c>
      <c r="E64" s="54"/>
    </row>
    <row r="65" spans="1:5" x14ac:dyDescent="0.25">
      <c r="A65" s="71"/>
      <c r="B65" s="2589"/>
      <c r="C65" s="2589"/>
      <c r="D65" s="164"/>
      <c r="E65" s="54"/>
    </row>
    <row r="66" spans="1:5" x14ac:dyDescent="0.25">
      <c r="A66" s="71"/>
      <c r="B66" s="178" t="s">
        <v>14</v>
      </c>
      <c r="C66" s="178" t="s">
        <v>14</v>
      </c>
      <c r="D66" s="141"/>
      <c r="E66" s="142">
        <f>SUM(B68:B73)+SUM(C68:C73)</f>
        <v>6000</v>
      </c>
    </row>
    <row r="67" spans="1:5" ht="6" customHeight="1" x14ac:dyDescent="0.25">
      <c r="A67" s="166"/>
      <c r="B67" s="179"/>
      <c r="C67" s="179"/>
      <c r="D67" s="2411"/>
      <c r="E67" s="54"/>
    </row>
    <row r="68" spans="1:5" x14ac:dyDescent="0.25">
      <c r="A68" s="71"/>
      <c r="B68" s="2418">
        <v>3000</v>
      </c>
      <c r="C68" s="2418">
        <v>3000</v>
      </c>
      <c r="D68" s="2411" t="s">
        <v>1078</v>
      </c>
      <c r="E68" s="54"/>
    </row>
    <row r="69" spans="1:5" x14ac:dyDescent="0.25">
      <c r="A69" s="71"/>
      <c r="B69" s="2418"/>
      <c r="C69" s="2418"/>
      <c r="D69" s="2411"/>
      <c r="E69" s="54"/>
    </row>
    <row r="70" spans="1:5" x14ac:dyDescent="0.25">
      <c r="A70" s="71"/>
      <c r="B70" s="2418"/>
      <c r="C70" s="2418"/>
      <c r="D70" s="2411"/>
      <c r="E70" s="54"/>
    </row>
    <row r="71" spans="1:5" x14ac:dyDescent="0.25">
      <c r="A71" s="71"/>
      <c r="B71" s="2418"/>
      <c r="C71" s="2418"/>
      <c r="D71" s="2411"/>
      <c r="E71" s="54"/>
    </row>
    <row r="72" spans="1:5" x14ac:dyDescent="0.25">
      <c r="A72" s="71"/>
      <c r="B72" s="2418"/>
      <c r="C72" s="2418"/>
      <c r="D72" s="2411"/>
      <c r="E72" s="54"/>
    </row>
    <row r="73" spans="1:5" x14ac:dyDescent="0.25">
      <c r="A73" s="71"/>
      <c r="B73" s="2418" t="s">
        <v>7</v>
      </c>
      <c r="C73" s="2418"/>
      <c r="D73" s="2411"/>
      <c r="E73" s="54"/>
    </row>
    <row r="74" spans="1:5" x14ac:dyDescent="0.25">
      <c r="A74" s="71"/>
      <c r="B74" s="178" t="s">
        <v>15</v>
      </c>
      <c r="C74" s="178" t="s">
        <v>15</v>
      </c>
      <c r="D74" s="141"/>
      <c r="E74" s="142">
        <f>SUM(B76:B82)+SUM(C76:C82)</f>
        <v>0</v>
      </c>
    </row>
    <row r="75" spans="1:5" ht="6.75" customHeight="1" x14ac:dyDescent="0.25">
      <c r="A75" s="71"/>
      <c r="B75" s="184"/>
      <c r="C75" s="184"/>
      <c r="D75" s="2411"/>
      <c r="E75" s="54"/>
    </row>
    <row r="76" spans="1:5" s="55" customFormat="1" ht="12.75" customHeight="1" x14ac:dyDescent="0.25">
      <c r="A76" s="112"/>
      <c r="B76" s="188"/>
      <c r="C76" s="188"/>
      <c r="D76" s="167"/>
      <c r="E76" s="54"/>
    </row>
    <row r="77" spans="1:5" s="55" customFormat="1" ht="12.75" customHeight="1" x14ac:dyDescent="0.25">
      <c r="A77" s="112"/>
      <c r="B77" s="188"/>
      <c r="C77" s="188"/>
      <c r="D77" s="167"/>
      <c r="E77" s="54"/>
    </row>
    <row r="78" spans="1:5" s="55" customFormat="1" ht="12.75" customHeight="1" x14ac:dyDescent="0.25">
      <c r="A78" s="112"/>
      <c r="B78" s="188"/>
      <c r="C78" s="188"/>
      <c r="D78" s="167"/>
      <c r="E78" s="54"/>
    </row>
    <row r="79" spans="1:5" s="55" customFormat="1" ht="12.75" customHeight="1" x14ac:dyDescent="0.25">
      <c r="A79" s="112"/>
      <c r="B79" s="188"/>
      <c r="C79" s="188"/>
      <c r="D79" s="167"/>
      <c r="E79" s="54"/>
    </row>
    <row r="80" spans="1:5" s="55" customFormat="1" ht="12.75" customHeight="1" x14ac:dyDescent="0.25">
      <c r="A80" s="112"/>
      <c r="B80" s="188"/>
      <c r="C80" s="188"/>
      <c r="D80" s="167"/>
      <c r="E80" s="54"/>
    </row>
    <row r="81" spans="1:5" x14ac:dyDescent="0.25">
      <c r="A81" s="71"/>
      <c r="D81" s="153"/>
      <c r="E81" s="54"/>
    </row>
    <row r="82" spans="1:5" x14ac:dyDescent="0.25">
      <c r="A82" s="71"/>
      <c r="D82" s="153"/>
      <c r="E82" s="54"/>
    </row>
    <row r="83" spans="1:5" x14ac:dyDescent="0.25">
      <c r="A83" s="71"/>
      <c r="B83" s="178" t="s">
        <v>16</v>
      </c>
      <c r="C83" s="178" t="s">
        <v>16</v>
      </c>
      <c r="D83" s="141"/>
      <c r="E83" s="142">
        <f>SUM(B85:B90)+SUM(C85:C90)</f>
        <v>0</v>
      </c>
    </row>
    <row r="84" spans="1:5" s="55" customFormat="1" ht="6.75" customHeight="1" x14ac:dyDescent="0.25">
      <c r="A84" s="112"/>
      <c r="B84" s="184"/>
      <c r="C84" s="184"/>
      <c r="D84" s="167"/>
      <c r="E84" s="54"/>
    </row>
    <row r="85" spans="1:5" s="55" customFormat="1" ht="12.75" customHeight="1" x14ac:dyDescent="0.25">
      <c r="A85" s="112"/>
      <c r="B85" s="188"/>
      <c r="C85" s="188"/>
      <c r="D85" s="167"/>
      <c r="E85" s="54"/>
    </row>
    <row r="86" spans="1:5" s="55" customFormat="1" ht="12.75" customHeight="1" x14ac:dyDescent="0.25">
      <c r="A86" s="112"/>
      <c r="B86" s="188"/>
      <c r="C86" s="188"/>
      <c r="D86" s="167"/>
      <c r="E86" s="54"/>
    </row>
    <row r="87" spans="1:5" s="55" customFormat="1" ht="12.75" customHeight="1" x14ac:dyDescent="0.25">
      <c r="A87" s="112"/>
      <c r="B87" s="188"/>
      <c r="C87" s="188"/>
      <c r="D87" s="167"/>
      <c r="E87" s="54"/>
    </row>
    <row r="88" spans="1:5" s="55" customFormat="1" x14ac:dyDescent="0.25">
      <c r="A88" s="112"/>
      <c r="B88" s="188"/>
      <c r="C88" s="188"/>
      <c r="D88" s="167"/>
      <c r="E88" s="54"/>
    </row>
    <row r="89" spans="1:5" s="55" customFormat="1" x14ac:dyDescent="0.25">
      <c r="A89" s="112"/>
      <c r="B89" s="188"/>
      <c r="C89" s="188"/>
      <c r="D89" s="167"/>
      <c r="E89" s="54"/>
    </row>
    <row r="90" spans="1:5" x14ac:dyDescent="0.25">
      <c r="A90" s="71"/>
      <c r="D90" s="2411"/>
      <c r="E90" s="54"/>
    </row>
    <row r="91" spans="1:5" ht="26.4" x14ac:dyDescent="0.25">
      <c r="A91" s="71"/>
      <c r="B91" s="178" t="s">
        <v>17</v>
      </c>
      <c r="C91" s="178" t="s">
        <v>17</v>
      </c>
      <c r="D91" s="2411"/>
      <c r="E91" s="54"/>
    </row>
    <row r="92" spans="1:5" s="55" customFormat="1" ht="6.75" customHeight="1" x14ac:dyDescent="0.25">
      <c r="A92" s="112"/>
      <c r="B92" s="184"/>
      <c r="C92" s="184"/>
      <c r="D92" s="167"/>
      <c r="E92" s="54"/>
    </row>
    <row r="93" spans="1:5" s="55" customFormat="1" x14ac:dyDescent="0.25">
      <c r="A93" s="112"/>
      <c r="B93" s="188"/>
      <c r="C93" s="188"/>
      <c r="D93" s="167"/>
      <c r="E93" s="84"/>
    </row>
    <row r="94" spans="1:5" x14ac:dyDescent="0.25">
      <c r="A94" s="71"/>
      <c r="B94" s="88" t="s">
        <v>55</v>
      </c>
      <c r="D94" s="2411"/>
      <c r="E94" s="3"/>
    </row>
    <row r="95" spans="1:5" x14ac:dyDescent="0.25">
      <c r="A95" s="71"/>
      <c r="B95" s="88" t="s">
        <v>56</v>
      </c>
      <c r="D95" s="2411"/>
      <c r="E95" s="3"/>
    </row>
    <row r="96" spans="1:5" x14ac:dyDescent="0.25">
      <c r="A96" s="71"/>
      <c r="B96" s="88" t="s">
        <v>57</v>
      </c>
      <c r="D96" s="2411"/>
      <c r="E96" s="3"/>
    </row>
  </sheetData>
  <customSheetViews>
    <customSheetView guid="{074EB09C-6289-46D7-9513-012B68BCA7BF}" showPageBreaks="1">
      <selection activeCell="P44" sqref="P44"/>
      <pageMargins left="0.7" right="0.7" top="0.75" bottom="0.75" header="0.3" footer="0.3"/>
      <pageSetup orientation="portrait" r:id="rId1"/>
    </customSheetView>
  </customSheetViews>
  <mergeCells count="3">
    <mergeCell ref="B17:C17"/>
    <mergeCell ref="B18:C18"/>
    <mergeCell ref="B14:E14"/>
  </mergeCells>
  <pageMargins left="0.2" right="0.7" top="0.38" bottom="0.4" header="0.3" footer="0.3"/>
  <pageSetup paperSize="17" scale="56" orientation="landscape"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2"/>
  <sheetViews>
    <sheetView workbookViewId="0">
      <pane xSplit="1" ySplit="1" topLeftCell="B2" activePane="bottomRight" state="frozen"/>
      <selection pane="topRight" activeCell="B1" sqref="B1"/>
      <selection pane="bottomLeft" activeCell="A2" sqref="A2"/>
      <selection pane="bottomRight" activeCell="G22" sqref="G22"/>
    </sheetView>
  </sheetViews>
  <sheetFormatPr defaultRowHeight="13.2" x14ac:dyDescent="0.25"/>
  <cols>
    <col min="1" max="1" width="15.44140625" customWidth="1"/>
    <col min="2" max="2" width="22.33203125" customWidth="1"/>
    <col min="3" max="3" width="23" style="2" customWidth="1"/>
    <col min="4" max="4" width="23.44140625" style="3" customWidth="1"/>
    <col min="5" max="5" width="18.88671875" customWidth="1"/>
    <col min="6" max="6" width="17" customWidth="1"/>
    <col min="7" max="7" width="15.6640625" customWidth="1"/>
    <col min="8" max="8" width="15.5546875" customWidth="1"/>
    <col min="9" max="9" width="16.33203125" customWidth="1"/>
    <col min="10" max="10" width="17.5546875" customWidth="1"/>
    <col min="11" max="12" width="21.33203125" customWidth="1"/>
    <col min="13" max="13" width="19.44140625" customWidth="1"/>
    <col min="14" max="14" width="13.44140625" customWidth="1"/>
    <col min="15" max="15" width="19.33203125" customWidth="1"/>
  </cols>
  <sheetData>
    <row r="1" spans="1:15" ht="45.75" customHeight="1" x14ac:dyDescent="0.25"/>
    <row r="2" spans="1:15" ht="18" thickBot="1" x14ac:dyDescent="0.35">
      <c r="B2" s="1" t="s">
        <v>3</v>
      </c>
      <c r="E2" s="4" t="s">
        <v>4</v>
      </c>
    </row>
    <row r="3" spans="1:15" ht="15.6" thickBot="1" x14ac:dyDescent="0.3">
      <c r="B3" s="5" t="s">
        <v>5</v>
      </c>
      <c r="D3" s="6" t="s">
        <v>6</v>
      </c>
      <c r="E3" s="7">
        <v>18230128</v>
      </c>
    </row>
    <row r="4" spans="1:15" x14ac:dyDescent="0.25">
      <c r="B4" s="8" t="s">
        <v>7</v>
      </c>
      <c r="C4" s="9"/>
    </row>
    <row r="6" spans="1:15" ht="13.8" thickBot="1" x14ac:dyDescent="0.3">
      <c r="A6" s="10"/>
      <c r="B6" s="11"/>
      <c r="C6" s="11"/>
      <c r="D6" s="12"/>
      <c r="E6" s="1454" t="s">
        <v>1286</v>
      </c>
      <c r="F6" s="11"/>
      <c r="G6" s="11"/>
      <c r="H6" s="11"/>
      <c r="I6" s="11"/>
      <c r="J6" s="11"/>
      <c r="K6" s="11"/>
      <c r="L6" s="11"/>
      <c r="M6" s="11"/>
      <c r="N6" s="11"/>
    </row>
    <row r="7" spans="1:15" s="19" customFormat="1" ht="39.6" x14ac:dyDescent="0.3">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x14ac:dyDescent="0.25">
      <c r="A8" s="20"/>
      <c r="B8" s="21"/>
      <c r="C8" s="21"/>
      <c r="D8" s="22" t="s">
        <v>20</v>
      </c>
      <c r="E8" s="23"/>
      <c r="F8" s="23"/>
      <c r="G8" s="23"/>
      <c r="H8" s="23"/>
      <c r="I8" s="24"/>
      <c r="J8" s="23"/>
      <c r="K8" s="23"/>
      <c r="L8" s="23"/>
      <c r="M8" s="23"/>
      <c r="N8" s="25">
        <v>166753</v>
      </c>
      <c r="O8" s="26" t="s">
        <v>21</v>
      </c>
    </row>
    <row r="9" spans="1:15" s="27" customFormat="1" x14ac:dyDescent="0.25">
      <c r="A9" s="20"/>
      <c r="B9" s="21"/>
      <c r="C9" s="21"/>
      <c r="D9" s="22" t="s">
        <v>22</v>
      </c>
      <c r="E9" s="28">
        <v>160851</v>
      </c>
      <c r="F9" s="28">
        <v>0</v>
      </c>
      <c r="G9" s="28">
        <v>101336.13</v>
      </c>
      <c r="H9" s="28">
        <v>0</v>
      </c>
      <c r="I9" s="28">
        <v>4000</v>
      </c>
      <c r="J9" s="28">
        <v>7000</v>
      </c>
      <c r="K9" s="28">
        <v>0</v>
      </c>
      <c r="L9" s="28">
        <v>4500</v>
      </c>
      <c r="M9" s="28">
        <v>0</v>
      </c>
      <c r="N9" s="29">
        <v>277687.13</v>
      </c>
      <c r="O9" s="30">
        <f>(N9-N8)/N8</f>
        <v>0.66526017522923131</v>
      </c>
    </row>
    <row r="10" spans="1:15" s="34" customFormat="1" x14ac:dyDescent="0.25">
      <c r="A10" s="20"/>
      <c r="B10" s="21"/>
      <c r="C10" s="21"/>
      <c r="D10" s="21">
        <v>2012</v>
      </c>
      <c r="E10" s="31">
        <f>SUM(B24:B28)</f>
        <v>168551</v>
      </c>
      <c r="F10" s="31"/>
      <c r="G10" s="31">
        <f>(E10+F10)*0.63</f>
        <v>106187.13</v>
      </c>
      <c r="H10" s="31">
        <f>SUM(B47:B52)</f>
        <v>0</v>
      </c>
      <c r="I10" s="32">
        <f>SUM(B63:B67)</f>
        <v>5980</v>
      </c>
      <c r="J10" s="31">
        <f>SUM(B70:B75)</f>
        <v>2000</v>
      </c>
      <c r="K10" s="31">
        <f>SUM(B78:B84)</f>
        <v>0</v>
      </c>
      <c r="L10" s="31">
        <f>SUM(B87:B92)</f>
        <v>9800</v>
      </c>
      <c r="M10" s="33">
        <f>B95</f>
        <v>0</v>
      </c>
      <c r="N10" s="25">
        <f>SUM(E10:M10)</f>
        <v>292518.13</v>
      </c>
      <c r="O10" s="30">
        <f>(N10-N9)/N9</f>
        <v>5.3409029075276192E-2</v>
      </c>
    </row>
    <row r="11" spans="1:15" s="34" customFormat="1" x14ac:dyDescent="0.25">
      <c r="A11" s="20"/>
      <c r="B11" s="21"/>
      <c r="C11" s="21"/>
      <c r="D11" s="21">
        <v>2013</v>
      </c>
      <c r="E11" s="31">
        <f>SUM(C24:C28)</f>
        <v>223139</v>
      </c>
      <c r="F11" s="31">
        <f>SUM(C32:C35)</f>
        <v>0</v>
      </c>
      <c r="G11" s="31">
        <f>(E11+F11)*0.63</f>
        <v>140577.57</v>
      </c>
      <c r="H11" s="31">
        <f>SUM(C47:C52)</f>
        <v>0</v>
      </c>
      <c r="I11" s="32">
        <f>SUM(C63:C67)</f>
        <v>8079</v>
      </c>
      <c r="J11" s="31">
        <f>SUM(C70:C75)</f>
        <v>2000</v>
      </c>
      <c r="K11" s="31">
        <f>SUM(C78:C84)</f>
        <v>0</v>
      </c>
      <c r="L11" s="31">
        <f>SUM(C87:C92)</f>
        <v>9800</v>
      </c>
      <c r="M11" s="33">
        <f>C95</f>
        <v>0</v>
      </c>
      <c r="N11" s="35">
        <f>SUM(E11:M11)</f>
        <v>383595.57</v>
      </c>
      <c r="O11" s="30">
        <f>(N11-N10)/N10</f>
        <v>0.31135656446320098</v>
      </c>
    </row>
    <row r="12" spans="1:15" ht="13.8" thickBot="1" x14ac:dyDescent="0.3">
      <c r="A12" s="10"/>
      <c r="B12" s="36"/>
      <c r="C12" s="36"/>
      <c r="D12" s="37" t="s">
        <v>23</v>
      </c>
      <c r="E12" s="38">
        <f>SUM(E10:E11)</f>
        <v>391690</v>
      </c>
      <c r="F12" s="38">
        <f t="shared" ref="F12:N12" si="0">SUM(F10:F11)</f>
        <v>0</v>
      </c>
      <c r="G12" s="38">
        <f t="shared" si="0"/>
        <v>246764.7</v>
      </c>
      <c r="H12" s="38">
        <f t="shared" si="0"/>
        <v>0</v>
      </c>
      <c r="I12" s="38">
        <f t="shared" si="0"/>
        <v>14059</v>
      </c>
      <c r="J12" s="38">
        <f t="shared" si="0"/>
        <v>4000</v>
      </c>
      <c r="K12" s="38">
        <f t="shared" si="0"/>
        <v>0</v>
      </c>
      <c r="L12" s="38">
        <f t="shared" si="0"/>
        <v>19600</v>
      </c>
      <c r="M12" s="39">
        <f t="shared" si="0"/>
        <v>0</v>
      </c>
      <c r="N12" s="40">
        <f t="shared" si="0"/>
        <v>676113.7</v>
      </c>
    </row>
    <row r="13" spans="1:15" ht="26.4" x14ac:dyDescent="0.25">
      <c r="A13" s="10"/>
      <c r="B13" s="11"/>
      <c r="C13" s="11"/>
      <c r="D13" s="12"/>
      <c r="E13" s="28"/>
      <c r="F13" s="11"/>
      <c r="G13" s="11"/>
      <c r="H13" s="11"/>
      <c r="I13" s="11"/>
      <c r="J13" s="11"/>
      <c r="K13" s="11"/>
      <c r="L13" s="11"/>
      <c r="M13" s="10" t="s">
        <v>24</v>
      </c>
      <c r="N13" s="11"/>
    </row>
    <row r="14" spans="1:15" x14ac:dyDescent="0.25">
      <c r="A14" s="10"/>
      <c r="B14" s="11"/>
      <c r="C14" s="11"/>
      <c r="D14" s="12"/>
      <c r="E14" s="28"/>
      <c r="F14" s="11"/>
      <c r="G14" s="11"/>
      <c r="H14" s="11"/>
      <c r="I14" s="11"/>
      <c r="J14" s="11"/>
      <c r="K14" s="11"/>
      <c r="L14" s="11"/>
      <c r="M14" s="10" t="s">
        <v>25</v>
      </c>
      <c r="N14" s="11"/>
    </row>
    <row r="15" spans="1:15" ht="15.6" x14ac:dyDescent="0.3">
      <c r="A15" s="10"/>
      <c r="B15" s="4803" t="s">
        <v>26</v>
      </c>
      <c r="C15" s="4804"/>
      <c r="D15" s="4804"/>
      <c r="E15" s="4805"/>
      <c r="F15" s="1448"/>
      <c r="G15" s="1448"/>
      <c r="H15" s="11"/>
      <c r="I15" s="11"/>
      <c r="J15" s="11"/>
      <c r="K15" s="11"/>
      <c r="L15" s="11"/>
      <c r="M15" s="11"/>
      <c r="N15" s="11"/>
    </row>
    <row r="16" spans="1:15" ht="15.6" x14ac:dyDescent="0.3">
      <c r="A16" s="41"/>
      <c r="B16" s="42"/>
      <c r="C16" s="43"/>
      <c r="D16" s="43"/>
      <c r="E16" s="43"/>
      <c r="F16" s="43"/>
      <c r="G16" s="43"/>
      <c r="H16" s="44"/>
      <c r="I16" s="44"/>
      <c r="J16" s="44"/>
      <c r="K16" s="44"/>
      <c r="L16" s="44"/>
      <c r="M16" s="44"/>
      <c r="N16" s="44"/>
    </row>
    <row r="17" spans="1:14" ht="15.6" x14ac:dyDescent="0.3">
      <c r="A17" s="41"/>
      <c r="B17" s="43"/>
      <c r="C17" s="43"/>
      <c r="D17" s="43"/>
      <c r="E17" s="43"/>
      <c r="F17" s="43"/>
      <c r="G17" s="43"/>
      <c r="H17" s="44"/>
      <c r="I17" s="44"/>
      <c r="J17" s="44"/>
      <c r="K17" s="44"/>
      <c r="L17" s="44"/>
      <c r="M17" s="44"/>
      <c r="N17" s="44"/>
    </row>
    <row r="18" spans="1:14" ht="15.6" x14ac:dyDescent="0.3">
      <c r="A18" s="10"/>
      <c r="B18" s="4800" t="s">
        <v>27</v>
      </c>
      <c r="C18" s="4800"/>
      <c r="D18" s="45" t="s">
        <v>28</v>
      </c>
      <c r="E18" s="46" t="s">
        <v>29</v>
      </c>
      <c r="F18" s="11"/>
      <c r="G18" s="11"/>
      <c r="H18" s="11"/>
      <c r="I18" s="11"/>
      <c r="J18" s="11"/>
      <c r="K18" s="11"/>
      <c r="L18" s="11"/>
      <c r="M18" s="11"/>
      <c r="N18" s="11"/>
    </row>
    <row r="19" spans="1:14" ht="15.6" x14ac:dyDescent="0.3">
      <c r="A19" s="10"/>
      <c r="B19" s="4780" t="s">
        <v>30</v>
      </c>
      <c r="C19" s="4780"/>
      <c r="D19" s="45"/>
      <c r="E19" s="46"/>
      <c r="F19" s="11"/>
      <c r="G19" s="11"/>
    </row>
    <row r="20" spans="1:14" ht="46.8" x14ac:dyDescent="0.3">
      <c r="A20" s="10"/>
      <c r="B20" s="47">
        <v>2012</v>
      </c>
      <c r="C20" s="47">
        <v>2013</v>
      </c>
      <c r="D20" s="48" t="s">
        <v>31</v>
      </c>
      <c r="E20" s="49" t="s">
        <v>32</v>
      </c>
      <c r="F20" s="11"/>
      <c r="G20" s="11"/>
    </row>
    <row r="21" spans="1:14" x14ac:dyDescent="0.25">
      <c r="A21" s="10"/>
      <c r="B21" s="50" t="s">
        <v>9</v>
      </c>
      <c r="C21" s="50" t="s">
        <v>9</v>
      </c>
      <c r="D21" s="51"/>
      <c r="E21" s="52">
        <f>SUM(B24:B28)+SUM(C24:C28)</f>
        <v>391690</v>
      </c>
      <c r="F21" s="11"/>
      <c r="G21" s="11"/>
    </row>
    <row r="22" spans="1:14" s="55" customFormat="1" x14ac:dyDescent="0.25">
      <c r="A22" s="10"/>
      <c r="B22" s="53"/>
      <c r="C22" s="53"/>
      <c r="D22" s="12"/>
      <c r="E22" s="54"/>
      <c r="F22" s="11"/>
      <c r="G22" s="11"/>
      <c r="H22"/>
      <c r="I22"/>
      <c r="J22"/>
      <c r="K22"/>
      <c r="L22"/>
      <c r="M22"/>
      <c r="N22"/>
    </row>
    <row r="23" spans="1:14" x14ac:dyDescent="0.25">
      <c r="A23" s="10"/>
      <c r="B23" s="56" t="s">
        <v>33</v>
      </c>
      <c r="C23" s="56" t="s">
        <v>33</v>
      </c>
      <c r="D23" s="57" t="s">
        <v>7</v>
      </c>
      <c r="E23" s="54"/>
      <c r="F23" s="58" t="s">
        <v>7</v>
      </c>
      <c r="G23" s="11"/>
    </row>
    <row r="24" spans="1:14" x14ac:dyDescent="0.25">
      <c r="A24" s="10"/>
      <c r="B24" s="4527">
        <v>76603</v>
      </c>
      <c r="C24" s="59">
        <v>80433</v>
      </c>
      <c r="D24" s="60" t="s">
        <v>34</v>
      </c>
      <c r="E24" s="54"/>
      <c r="F24" s="61"/>
      <c r="G24" s="11"/>
    </row>
    <row r="25" spans="1:14" x14ac:dyDescent="0.25">
      <c r="A25" s="10"/>
      <c r="B25" s="62">
        <v>48446</v>
      </c>
      <c r="C25" s="62">
        <v>49899</v>
      </c>
      <c r="D25" s="63" t="s">
        <v>35</v>
      </c>
      <c r="E25" s="54"/>
      <c r="F25" s="11"/>
      <c r="G25" s="11"/>
    </row>
    <row r="26" spans="1:14" x14ac:dyDescent="0.25">
      <c r="A26" s="10"/>
      <c r="B26" s="62"/>
      <c r="C26" s="62">
        <v>48000</v>
      </c>
      <c r="D26" s="63" t="s">
        <v>35</v>
      </c>
      <c r="E26" s="54"/>
      <c r="F26" s="11"/>
      <c r="G26" s="11"/>
    </row>
    <row r="27" spans="1:14" x14ac:dyDescent="0.25">
      <c r="A27" s="10"/>
      <c r="B27" s="62">
        <v>29462</v>
      </c>
      <c r="C27" s="62">
        <v>30346</v>
      </c>
      <c r="D27" s="63" t="s">
        <v>36</v>
      </c>
      <c r="E27" s="54"/>
      <c r="F27" s="11"/>
      <c r="G27" s="11"/>
    </row>
    <row r="28" spans="1:14" x14ac:dyDescent="0.25">
      <c r="A28" s="10"/>
      <c r="B28" s="62">
        <v>14040</v>
      </c>
      <c r="C28" s="62">
        <v>14461</v>
      </c>
      <c r="D28" s="63" t="s">
        <v>37</v>
      </c>
      <c r="E28" s="54"/>
      <c r="F28" s="11"/>
      <c r="G28" s="11"/>
    </row>
    <row r="29" spans="1:14" s="55" customFormat="1" ht="21" customHeight="1" x14ac:dyDescent="0.25">
      <c r="A29" s="41"/>
      <c r="B29" s="50" t="s">
        <v>10</v>
      </c>
      <c r="C29" s="50" t="s">
        <v>10</v>
      </c>
      <c r="D29" s="51"/>
      <c r="E29" s="64">
        <f>SUM(B32:B35)+SUM(C32:C35)</f>
        <v>0</v>
      </c>
      <c r="F29" s="44"/>
      <c r="G29" s="44"/>
    </row>
    <row r="30" spans="1:14" x14ac:dyDescent="0.25">
      <c r="A30" s="10"/>
      <c r="B30" s="65"/>
      <c r="C30" s="65"/>
      <c r="D30" s="66"/>
      <c r="E30" s="54"/>
      <c r="F30" s="11"/>
      <c r="G30" s="11"/>
    </row>
    <row r="31" spans="1:14" x14ac:dyDescent="0.25">
      <c r="A31" s="41"/>
      <c r="B31" s="56" t="s">
        <v>33</v>
      </c>
      <c r="C31" s="56" t="s">
        <v>33</v>
      </c>
      <c r="D31" s="66"/>
      <c r="E31" s="54"/>
      <c r="F31" s="44"/>
      <c r="G31" s="44"/>
    </row>
    <row r="32" spans="1:14" x14ac:dyDescent="0.25">
      <c r="A32" s="10"/>
      <c r="B32" s="67"/>
      <c r="C32" s="67"/>
      <c r="D32" s="68"/>
      <c r="E32" s="54"/>
      <c r="F32" s="11"/>
      <c r="G32" s="11"/>
    </row>
    <row r="33" spans="1:14" x14ac:dyDescent="0.25">
      <c r="A33" s="10"/>
      <c r="B33" s="69"/>
      <c r="C33" s="69"/>
      <c r="D33" s="68"/>
      <c r="E33" s="54"/>
      <c r="F33" s="11"/>
      <c r="G33" s="11"/>
    </row>
    <row r="34" spans="1:14" x14ac:dyDescent="0.25">
      <c r="A34" s="10"/>
      <c r="B34" s="36"/>
      <c r="C34" s="36"/>
      <c r="D34" s="68"/>
      <c r="E34" s="54"/>
      <c r="F34" s="11"/>
      <c r="G34" s="11"/>
    </row>
    <row r="35" spans="1:14" x14ac:dyDescent="0.25">
      <c r="A35" s="10"/>
      <c r="B35" s="36"/>
      <c r="C35" s="36"/>
      <c r="D35" s="68"/>
      <c r="E35" s="54"/>
      <c r="F35" s="11"/>
      <c r="G35" s="11"/>
    </row>
    <row r="36" spans="1:14" x14ac:dyDescent="0.25">
      <c r="A36" s="10"/>
      <c r="B36" s="50" t="s">
        <v>11</v>
      </c>
      <c r="C36" s="50" t="s">
        <v>11</v>
      </c>
      <c r="D36" s="51"/>
      <c r="E36" s="64">
        <f>E21*0.63</f>
        <v>246764.7</v>
      </c>
      <c r="F36" s="11"/>
      <c r="G36" s="11"/>
    </row>
    <row r="37" spans="1:14" x14ac:dyDescent="0.25">
      <c r="A37" s="10"/>
      <c r="B37" s="53"/>
      <c r="C37" s="53"/>
      <c r="D37" s="12"/>
      <c r="E37" s="70"/>
      <c r="F37" s="11"/>
      <c r="G37" s="11"/>
    </row>
    <row r="38" spans="1:14" x14ac:dyDescent="0.25">
      <c r="A38" s="71"/>
      <c r="B38" s="72" t="s">
        <v>38</v>
      </c>
      <c r="C38" s="72" t="s">
        <v>38</v>
      </c>
      <c r="D38" s="57" t="s">
        <v>7</v>
      </c>
      <c r="E38" s="54"/>
      <c r="F38" s="73"/>
    </row>
    <row r="39" spans="1:14" x14ac:dyDescent="0.25">
      <c r="A39" s="10"/>
      <c r="B39" s="59">
        <f>SUM(B24:B28)*0.63</f>
        <v>106187.13</v>
      </c>
      <c r="C39" s="59">
        <f>SUM(C24:C28)*0.63</f>
        <v>140577.57</v>
      </c>
      <c r="D39" s="68" t="s">
        <v>7</v>
      </c>
      <c r="E39" s="54"/>
      <c r="F39" s="11"/>
    </row>
    <row r="40" spans="1:14" s="55" customFormat="1" x14ac:dyDescent="0.25">
      <c r="A40" s="41"/>
      <c r="B40" s="50" t="s">
        <v>39</v>
      </c>
      <c r="C40" s="50" t="s">
        <v>39</v>
      </c>
      <c r="D40" s="51"/>
      <c r="E40" s="64">
        <f>SUM(B42:B44)+SUM(C42:C44)</f>
        <v>0</v>
      </c>
      <c r="F40" s="44"/>
      <c r="G40"/>
      <c r="H40"/>
      <c r="I40"/>
      <c r="J40"/>
      <c r="K40"/>
      <c r="L40"/>
      <c r="M40"/>
      <c r="N40"/>
    </row>
    <row r="41" spans="1:14" x14ac:dyDescent="0.25">
      <c r="A41" s="10"/>
      <c r="B41" s="65"/>
      <c r="C41" s="65"/>
      <c r="D41" s="68"/>
      <c r="E41" s="54"/>
      <c r="F41" s="11"/>
    </row>
    <row r="42" spans="1:14" x14ac:dyDescent="0.25">
      <c r="A42" s="10"/>
      <c r="B42" s="11"/>
      <c r="C42" s="69"/>
      <c r="D42" s="68"/>
      <c r="E42" s="54"/>
      <c r="F42" s="11"/>
    </row>
    <row r="43" spans="1:14" x14ac:dyDescent="0.25">
      <c r="A43" s="10"/>
      <c r="B43" s="36"/>
      <c r="C43" s="36"/>
      <c r="D43" s="68"/>
      <c r="E43" s="54"/>
      <c r="F43" s="11"/>
    </row>
    <row r="44" spans="1:14" x14ac:dyDescent="0.25">
      <c r="A44" s="10"/>
      <c r="B44" s="36"/>
      <c r="C44" s="36"/>
      <c r="D44" s="68"/>
      <c r="E44" s="54"/>
      <c r="F44" s="11"/>
    </row>
    <row r="45" spans="1:14" x14ac:dyDescent="0.25">
      <c r="A45" s="10"/>
      <c r="B45" s="50" t="s">
        <v>12</v>
      </c>
      <c r="C45" s="50" t="s">
        <v>12</v>
      </c>
      <c r="D45" s="51"/>
      <c r="E45" s="64">
        <f>SUM(B47:B52)+SUM(C47:C52)</f>
        <v>0</v>
      </c>
      <c r="F45" s="11"/>
      <c r="G45" s="55"/>
      <c r="H45" s="55"/>
      <c r="I45" s="55"/>
      <c r="J45" s="55"/>
      <c r="K45" s="55"/>
      <c r="L45" s="55"/>
      <c r="M45" s="55"/>
      <c r="N45" s="55"/>
    </row>
    <row r="46" spans="1:14" x14ac:dyDescent="0.25">
      <c r="A46" s="10"/>
      <c r="B46" s="74"/>
      <c r="C46" s="74"/>
      <c r="D46" s="68"/>
      <c r="E46" s="54"/>
      <c r="F46" s="11"/>
    </row>
    <row r="47" spans="1:14" x14ac:dyDescent="0.25">
      <c r="A47" s="10"/>
      <c r="B47" s="36"/>
      <c r="C47" s="36"/>
      <c r="D47" s="68"/>
      <c r="E47" s="54"/>
      <c r="F47" s="11"/>
    </row>
    <row r="48" spans="1:14" x14ac:dyDescent="0.25">
      <c r="A48" s="10"/>
      <c r="B48" s="36"/>
      <c r="C48" s="36"/>
      <c r="D48" s="68"/>
      <c r="E48" s="54"/>
      <c r="F48" s="11"/>
    </row>
    <row r="49" spans="1:14" x14ac:dyDescent="0.25">
      <c r="A49" s="10"/>
      <c r="B49" s="36"/>
      <c r="C49" s="36"/>
      <c r="D49" s="68"/>
      <c r="E49" s="54"/>
      <c r="F49" s="11"/>
    </row>
    <row r="50" spans="1:14" x14ac:dyDescent="0.25">
      <c r="A50" s="10"/>
      <c r="B50" s="36"/>
      <c r="C50" s="36"/>
      <c r="D50" s="68"/>
      <c r="E50" s="54"/>
      <c r="F50" s="11"/>
    </row>
    <row r="51" spans="1:14" x14ac:dyDescent="0.25">
      <c r="A51" s="10"/>
      <c r="B51" s="36"/>
      <c r="C51" s="36"/>
      <c r="D51" s="68"/>
      <c r="E51" s="54"/>
      <c r="F51" s="11"/>
    </row>
    <row r="52" spans="1:14" x14ac:dyDescent="0.25">
      <c r="A52" s="10"/>
      <c r="B52" s="36"/>
      <c r="C52" s="36"/>
      <c r="D52" s="68"/>
      <c r="E52" s="54"/>
      <c r="F52" s="11"/>
    </row>
    <row r="53" spans="1:14" x14ac:dyDescent="0.25">
      <c r="A53" s="10"/>
      <c r="B53" s="50" t="s">
        <v>40</v>
      </c>
      <c r="C53" s="50" t="s">
        <v>40</v>
      </c>
      <c r="D53" s="51"/>
      <c r="E53" s="64">
        <f>SUM(B55:B60)+SUM(C55:C60)</f>
        <v>0</v>
      </c>
      <c r="F53" s="11"/>
    </row>
    <row r="54" spans="1:14" x14ac:dyDescent="0.25">
      <c r="A54" s="10"/>
      <c r="B54" s="65"/>
      <c r="C54" s="65"/>
      <c r="D54" s="11"/>
      <c r="E54" s="75"/>
      <c r="F54" s="11"/>
    </row>
    <row r="55" spans="1:14" x14ac:dyDescent="0.25">
      <c r="A55" s="10"/>
      <c r="B55" s="76"/>
      <c r="C55" s="76"/>
      <c r="D55" s="11"/>
      <c r="E55" s="75"/>
      <c r="F55" s="11"/>
    </row>
    <row r="56" spans="1:14" s="55" customFormat="1" x14ac:dyDescent="0.25">
      <c r="A56" s="10"/>
      <c r="B56" s="76"/>
      <c r="C56" s="76"/>
      <c r="D56" s="11"/>
      <c r="E56" s="75"/>
      <c r="F56"/>
      <c r="G56"/>
      <c r="H56"/>
      <c r="I56"/>
      <c r="J56"/>
      <c r="K56"/>
      <c r="L56"/>
      <c r="M56"/>
      <c r="N56"/>
    </row>
    <row r="57" spans="1:14" x14ac:dyDescent="0.25">
      <c r="A57" s="10"/>
      <c r="B57" s="76"/>
      <c r="C57" s="76"/>
      <c r="D57" s="11"/>
      <c r="E57" s="75"/>
    </row>
    <row r="58" spans="1:14" x14ac:dyDescent="0.25">
      <c r="A58" s="10"/>
      <c r="B58" s="76"/>
      <c r="C58" s="76"/>
      <c r="D58" s="11"/>
      <c r="E58" s="75"/>
    </row>
    <row r="59" spans="1:14" x14ac:dyDescent="0.25">
      <c r="A59" s="10"/>
      <c r="B59" s="11"/>
      <c r="C59" s="11"/>
      <c r="D59" s="11"/>
      <c r="E59" s="75"/>
    </row>
    <row r="60" spans="1:14" x14ac:dyDescent="0.25">
      <c r="A60" s="10"/>
      <c r="B60" s="11"/>
      <c r="C60" s="11"/>
      <c r="D60" s="12"/>
      <c r="E60" s="54"/>
    </row>
    <row r="61" spans="1:14" x14ac:dyDescent="0.25">
      <c r="A61" s="10"/>
      <c r="B61" s="50" t="s">
        <v>13</v>
      </c>
      <c r="C61" s="50" t="s">
        <v>13</v>
      </c>
      <c r="D61" s="51"/>
      <c r="E61" s="64">
        <f>SUM(B63:B68)+SUM(C63:C68)</f>
        <v>14059</v>
      </c>
    </row>
    <row r="62" spans="1:14" x14ac:dyDescent="0.25">
      <c r="A62" s="10"/>
      <c r="B62" s="53"/>
      <c r="C62" s="53"/>
      <c r="D62" s="12"/>
      <c r="E62" s="54"/>
    </row>
    <row r="63" spans="1:14" x14ac:dyDescent="0.25">
      <c r="A63" s="10"/>
      <c r="B63" s="62">
        <v>1980</v>
      </c>
      <c r="C63" s="62">
        <v>2079</v>
      </c>
      <c r="D63" s="63" t="s">
        <v>41</v>
      </c>
      <c r="E63" s="54"/>
    </row>
    <row r="64" spans="1:14" x14ac:dyDescent="0.25">
      <c r="A64" s="10"/>
      <c r="B64" s="62" t="s">
        <v>7</v>
      </c>
      <c r="C64" s="62"/>
      <c r="D64" s="63" t="s">
        <v>42</v>
      </c>
      <c r="E64" s="54"/>
    </row>
    <row r="65" spans="1:5" x14ac:dyDescent="0.25">
      <c r="A65" s="10"/>
      <c r="B65" s="62"/>
      <c r="C65" s="62"/>
      <c r="D65" s="63" t="s">
        <v>43</v>
      </c>
      <c r="E65" s="54"/>
    </row>
    <row r="66" spans="1:5" ht="26.4" x14ac:dyDescent="0.25">
      <c r="A66" s="10"/>
      <c r="B66" s="62">
        <v>4000</v>
      </c>
      <c r="C66" s="62">
        <v>6000</v>
      </c>
      <c r="D66" s="63" t="s">
        <v>44</v>
      </c>
      <c r="E66" s="54"/>
    </row>
    <row r="67" spans="1:5" x14ac:dyDescent="0.25">
      <c r="A67" s="10"/>
      <c r="B67" s="77"/>
      <c r="C67" s="77"/>
      <c r="D67" s="63" t="s">
        <v>45</v>
      </c>
      <c r="E67" s="54"/>
    </row>
    <row r="68" spans="1:5" x14ac:dyDescent="0.25">
      <c r="A68" s="10"/>
      <c r="B68" s="50" t="s">
        <v>14</v>
      </c>
      <c r="C68" s="50" t="s">
        <v>14</v>
      </c>
      <c r="D68" s="51"/>
      <c r="E68" s="64">
        <f>SUM(B70:B75)+SUM(C70:C75)</f>
        <v>4000</v>
      </c>
    </row>
    <row r="69" spans="1:5" x14ac:dyDescent="0.25">
      <c r="A69" s="78"/>
      <c r="B69" s="53"/>
      <c r="C69" s="53"/>
      <c r="D69" s="12"/>
      <c r="E69" s="54"/>
    </row>
    <row r="70" spans="1:5" x14ac:dyDescent="0.25">
      <c r="A70" s="10"/>
      <c r="B70" s="79">
        <v>2000</v>
      </c>
      <c r="C70" s="80">
        <v>2000</v>
      </c>
      <c r="D70" s="3" t="s">
        <v>46</v>
      </c>
      <c r="E70" s="54"/>
    </row>
    <row r="71" spans="1:5" x14ac:dyDescent="0.25">
      <c r="A71" s="10"/>
      <c r="B71" s="11"/>
      <c r="C71" s="11"/>
      <c r="D71" s="12"/>
      <c r="E71" s="54"/>
    </row>
    <row r="72" spans="1:5" x14ac:dyDescent="0.25">
      <c r="A72" s="10"/>
      <c r="B72" s="11"/>
      <c r="C72" s="11"/>
      <c r="D72" s="12"/>
      <c r="E72" s="54"/>
    </row>
    <row r="73" spans="1:5" x14ac:dyDescent="0.25">
      <c r="A73" s="10"/>
      <c r="B73" s="11"/>
      <c r="C73" s="11"/>
      <c r="D73" s="12"/>
      <c r="E73" s="54"/>
    </row>
    <row r="74" spans="1:5" x14ac:dyDescent="0.25">
      <c r="A74" s="10"/>
      <c r="B74" s="11"/>
      <c r="C74" s="11"/>
      <c r="D74" s="12"/>
      <c r="E74" s="54"/>
    </row>
    <row r="75" spans="1:5" x14ac:dyDescent="0.25">
      <c r="A75" s="10"/>
      <c r="B75" s="11" t="s">
        <v>7</v>
      </c>
      <c r="C75" s="11"/>
      <c r="D75" s="12"/>
      <c r="E75" s="54"/>
    </row>
    <row r="76" spans="1:5" x14ac:dyDescent="0.25">
      <c r="A76" s="10"/>
      <c r="B76" s="50" t="s">
        <v>15</v>
      </c>
      <c r="C76" s="50" t="s">
        <v>15</v>
      </c>
      <c r="D76" s="51"/>
      <c r="E76" s="64">
        <f>SUM(B78:B84)+SUM(C78:C84)</f>
        <v>0</v>
      </c>
    </row>
    <row r="77" spans="1:5" x14ac:dyDescent="0.25">
      <c r="A77" s="10"/>
      <c r="B77" s="65"/>
      <c r="C77" s="65"/>
      <c r="D77" s="12"/>
      <c r="E77" s="54"/>
    </row>
    <row r="78" spans="1:5" x14ac:dyDescent="0.25">
      <c r="A78" s="41"/>
      <c r="B78" s="76"/>
      <c r="C78" s="76"/>
      <c r="D78" s="81"/>
      <c r="E78" s="54"/>
    </row>
    <row r="79" spans="1:5" x14ac:dyDescent="0.25">
      <c r="A79" s="41"/>
      <c r="B79" s="76"/>
      <c r="C79" s="76"/>
      <c r="D79" s="81"/>
      <c r="E79" s="54"/>
    </row>
    <row r="80" spans="1:5" x14ac:dyDescent="0.25">
      <c r="A80" s="41"/>
      <c r="B80" s="76"/>
      <c r="C80" s="76"/>
      <c r="D80" s="81"/>
      <c r="E80" s="54"/>
    </row>
    <row r="81" spans="1:5" x14ac:dyDescent="0.25">
      <c r="A81" s="41"/>
      <c r="B81" s="76"/>
      <c r="C81" s="76"/>
      <c r="D81" s="81"/>
      <c r="E81" s="54"/>
    </row>
    <row r="82" spans="1:5" x14ac:dyDescent="0.25">
      <c r="A82" s="41"/>
      <c r="B82" s="76"/>
      <c r="C82" s="76"/>
      <c r="D82" s="81"/>
      <c r="E82" s="54"/>
    </row>
    <row r="83" spans="1:5" x14ac:dyDescent="0.25">
      <c r="A83" s="10"/>
      <c r="B83" s="11"/>
      <c r="C83" s="11"/>
      <c r="D83" s="68"/>
      <c r="E83" s="54"/>
    </row>
    <row r="84" spans="1:5" x14ac:dyDescent="0.25">
      <c r="A84" s="10"/>
      <c r="B84" s="11"/>
      <c r="C84" s="11"/>
      <c r="D84" s="68"/>
      <c r="E84" s="54"/>
    </row>
    <row r="85" spans="1:5" x14ac:dyDescent="0.25">
      <c r="A85" s="10"/>
      <c r="B85" s="50" t="s">
        <v>16</v>
      </c>
      <c r="C85" s="50" t="s">
        <v>16</v>
      </c>
      <c r="D85" s="51"/>
      <c r="E85" s="64">
        <f>SUM(B87:B92)+SUM(C87:C92)</f>
        <v>19600</v>
      </c>
    </row>
    <row r="86" spans="1:5" x14ac:dyDescent="0.25">
      <c r="A86" s="41"/>
      <c r="B86" s="65"/>
      <c r="C86" s="65"/>
      <c r="D86" s="81"/>
      <c r="E86" s="54"/>
    </row>
    <row r="87" spans="1:5" x14ac:dyDescent="0.25">
      <c r="A87" s="41"/>
      <c r="B87" s="62">
        <v>4800</v>
      </c>
      <c r="C87" s="62">
        <v>4800</v>
      </c>
      <c r="D87" s="63" t="s">
        <v>53</v>
      </c>
      <c r="E87" s="54"/>
    </row>
    <row r="88" spans="1:5" x14ac:dyDescent="0.25">
      <c r="A88" s="41"/>
      <c r="B88" s="82">
        <v>5000</v>
      </c>
      <c r="C88" s="82">
        <v>5000</v>
      </c>
      <c r="D88" s="83" t="s">
        <v>54</v>
      </c>
      <c r="E88" s="54"/>
    </row>
    <row r="89" spans="1:5" x14ac:dyDescent="0.25">
      <c r="A89" s="41"/>
      <c r="B89" s="76"/>
      <c r="C89" s="76"/>
      <c r="D89" s="81"/>
      <c r="E89" s="54"/>
    </row>
    <row r="90" spans="1:5" x14ac:dyDescent="0.25">
      <c r="A90" s="41"/>
      <c r="B90" s="76"/>
      <c r="C90" s="76"/>
      <c r="D90" s="81"/>
      <c r="E90" s="54"/>
    </row>
    <row r="91" spans="1:5" x14ac:dyDescent="0.25">
      <c r="A91" s="41"/>
      <c r="B91" s="76"/>
      <c r="C91" s="76"/>
      <c r="D91" s="81"/>
      <c r="E91" s="54"/>
    </row>
    <row r="92" spans="1:5" x14ac:dyDescent="0.25">
      <c r="A92" s="10"/>
      <c r="B92" s="11"/>
      <c r="C92" s="11"/>
      <c r="D92" s="12"/>
      <c r="E92" s="54"/>
    </row>
    <row r="93" spans="1:5" ht="26.4" x14ac:dyDescent="0.25">
      <c r="A93" s="10"/>
      <c r="B93" s="50" t="s">
        <v>17</v>
      </c>
      <c r="C93" s="50" t="s">
        <v>17</v>
      </c>
      <c r="D93" s="12"/>
      <c r="E93" s="84"/>
    </row>
    <row r="94" spans="1:5" x14ac:dyDescent="0.25">
      <c r="A94" s="41"/>
      <c r="B94" s="65"/>
      <c r="C94" s="65"/>
      <c r="D94" s="81"/>
    </row>
    <row r="95" spans="1:5" x14ac:dyDescent="0.25">
      <c r="A95" s="41"/>
      <c r="B95" s="76"/>
      <c r="C95" s="76"/>
      <c r="D95" s="81"/>
    </row>
    <row r="96" spans="1:5" x14ac:dyDescent="0.25">
      <c r="A96" s="10"/>
      <c r="B96" s="60" t="s">
        <v>55</v>
      </c>
      <c r="C96" s="11"/>
      <c r="D96" s="12"/>
      <c r="E96" s="28"/>
    </row>
    <row r="97" spans="1:4" x14ac:dyDescent="0.25">
      <c r="A97" s="10"/>
      <c r="B97" s="60" t="s">
        <v>56</v>
      </c>
      <c r="C97" s="11"/>
      <c r="D97" s="12"/>
    </row>
    <row r="98" spans="1:4" x14ac:dyDescent="0.25">
      <c r="A98" s="10"/>
      <c r="B98" s="60" t="s">
        <v>57</v>
      </c>
      <c r="C98" s="11"/>
      <c r="D98" s="12"/>
    </row>
    <row r="100" spans="1:4" x14ac:dyDescent="0.25">
      <c r="A100" s="85"/>
      <c r="B100" s="86"/>
      <c r="C100" s="86"/>
    </row>
    <row r="101" spans="1:4" x14ac:dyDescent="0.25">
      <c r="A101" s="85"/>
      <c r="B101" s="86"/>
      <c r="C101" s="87"/>
    </row>
    <row r="102" spans="1:4" x14ac:dyDescent="0.25">
      <c r="A102" s="85"/>
      <c r="B102" s="86"/>
      <c r="C102" s="87"/>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23" right="0.7" top="0.37" bottom="0.42" header="0.3" footer="0.3"/>
  <pageSetup paperSize="17" scale="53" orientation="landscape"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2"/>
  <sheetViews>
    <sheetView workbookViewId="0">
      <pane xSplit="1" ySplit="1" topLeftCell="B2" activePane="bottomRight" state="frozen"/>
      <selection pane="topRight" activeCell="B1" sqref="B1"/>
      <selection pane="bottomLeft" activeCell="A2" sqref="A2"/>
      <selection pane="bottomRight" activeCell="C17" sqref="C17"/>
    </sheetView>
  </sheetViews>
  <sheetFormatPr defaultRowHeight="13.2" x14ac:dyDescent="0.25"/>
  <cols>
    <col min="1" max="1" width="15.88671875" customWidth="1"/>
    <col min="2" max="2" width="21.88671875" customWidth="1"/>
    <col min="3" max="3" width="22.109375" style="2" customWidth="1"/>
    <col min="4" max="4" width="22.88671875" style="3" customWidth="1"/>
    <col min="5" max="6" width="18.88671875" customWidth="1"/>
    <col min="7" max="7" width="15.5546875" customWidth="1"/>
    <col min="8" max="8" width="14.109375" customWidth="1"/>
    <col min="9" max="9" width="15.6640625" customWidth="1"/>
    <col min="10" max="10" width="17.33203125" customWidth="1"/>
    <col min="11" max="12" width="21.33203125" customWidth="1"/>
    <col min="13" max="13" width="19.44140625" customWidth="1"/>
    <col min="14" max="14" width="13" customWidth="1"/>
    <col min="15" max="15" width="19.33203125" customWidth="1"/>
  </cols>
  <sheetData>
    <row r="1" spans="1:15" ht="42.75" customHeight="1" x14ac:dyDescent="0.25"/>
    <row r="2" spans="1:15" ht="17.399999999999999" x14ac:dyDescent="0.3">
      <c r="B2" s="1" t="s">
        <v>58</v>
      </c>
      <c r="F2" s="88"/>
    </row>
    <row r="3" spans="1:15" ht="15.6" thickBot="1" x14ac:dyDescent="0.3">
      <c r="B3" s="5" t="s">
        <v>5</v>
      </c>
      <c r="E3" s="4" t="s">
        <v>59</v>
      </c>
    </row>
    <row r="4" spans="1:15" ht="15.6" thickBot="1" x14ac:dyDescent="0.3">
      <c r="B4" s="8"/>
      <c r="D4" s="6" t="s">
        <v>6</v>
      </c>
      <c r="E4" s="7">
        <v>18230492</v>
      </c>
    </row>
    <row r="5" spans="1:15" x14ac:dyDescent="0.25">
      <c r="B5" s="8" t="s">
        <v>7</v>
      </c>
      <c r="C5" s="9"/>
    </row>
    <row r="6" spans="1:15" ht="13.8" thickBot="1" x14ac:dyDescent="0.3">
      <c r="A6" s="10"/>
      <c r="B6" s="11"/>
      <c r="C6" s="11"/>
      <c r="D6" s="12"/>
      <c r="E6" s="1454" t="s">
        <v>1286</v>
      </c>
      <c r="F6" s="11"/>
      <c r="G6" s="11"/>
      <c r="H6" s="11"/>
      <c r="I6" s="11"/>
      <c r="J6" s="11"/>
      <c r="K6" s="11"/>
      <c r="L6" s="11"/>
      <c r="M6" s="11"/>
      <c r="N6" s="11"/>
    </row>
    <row r="7" spans="1:15" s="19" customFormat="1" ht="39.6" x14ac:dyDescent="0.3">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x14ac:dyDescent="0.25">
      <c r="A8" s="20"/>
      <c r="B8" s="21"/>
      <c r="C8" s="21"/>
      <c r="D8" s="22" t="s">
        <v>20</v>
      </c>
      <c r="E8" s="23"/>
      <c r="F8" s="23"/>
      <c r="G8" s="23"/>
      <c r="H8" s="23"/>
      <c r="I8" s="24"/>
      <c r="J8" s="23"/>
      <c r="K8" s="23"/>
      <c r="L8" s="23"/>
      <c r="M8" s="23"/>
      <c r="N8" s="25">
        <v>398039</v>
      </c>
      <c r="O8" s="26" t="s">
        <v>21</v>
      </c>
    </row>
    <row r="9" spans="1:15" s="27" customFormat="1" x14ac:dyDescent="0.25">
      <c r="A9" s="20"/>
      <c r="B9" s="21"/>
      <c r="C9" s="21"/>
      <c r="D9" s="22" t="s">
        <v>22</v>
      </c>
      <c r="E9" s="28">
        <v>122490</v>
      </c>
      <c r="F9" s="28">
        <v>0</v>
      </c>
      <c r="G9" s="28">
        <v>77168.7</v>
      </c>
      <c r="H9" s="28">
        <v>0</v>
      </c>
      <c r="I9" s="28">
        <v>4000</v>
      </c>
      <c r="J9" s="28">
        <v>0</v>
      </c>
      <c r="K9" s="28">
        <v>20000</v>
      </c>
      <c r="L9" s="28">
        <v>0</v>
      </c>
      <c r="M9" s="28">
        <v>125000</v>
      </c>
      <c r="N9" s="89">
        <v>348658.7</v>
      </c>
      <c r="O9" s="30">
        <f>(N9-N8)/N8</f>
        <v>-0.12405894899746002</v>
      </c>
    </row>
    <row r="10" spans="1:15" s="34" customFormat="1" x14ac:dyDescent="0.25">
      <c r="A10" s="20"/>
      <c r="B10" s="21"/>
      <c r="C10" s="21"/>
      <c r="D10" s="21">
        <v>2012</v>
      </c>
      <c r="E10" s="31">
        <f>SUM(B24:B26)</f>
        <v>61646</v>
      </c>
      <c r="F10" s="31">
        <f>SUM(B30:B33)</f>
        <v>0</v>
      </c>
      <c r="G10" s="31">
        <f>(E10+F10)*0.63</f>
        <v>38836.980000000003</v>
      </c>
      <c r="H10" s="31">
        <f>SUM(B45:B50)</f>
        <v>0</v>
      </c>
      <c r="I10" s="32">
        <f>SUM(B61:B66)</f>
        <v>3980</v>
      </c>
      <c r="J10" s="31">
        <f>SUM(B68:B74)</f>
        <v>0</v>
      </c>
      <c r="K10" s="31">
        <f>SUM(B76:B83)</f>
        <v>8000</v>
      </c>
      <c r="L10" s="31">
        <f>SUM(B85:B91)</f>
        <v>0</v>
      </c>
      <c r="M10" s="33">
        <f>B94</f>
        <v>30000</v>
      </c>
      <c r="N10" s="35">
        <f>SUM(E10:M10)</f>
        <v>142462.98000000001</v>
      </c>
      <c r="O10" s="30">
        <f>(N10-N9)/N9</f>
        <v>-0.59139703096466545</v>
      </c>
    </row>
    <row r="11" spans="1:15" s="34" customFormat="1" x14ac:dyDescent="0.25">
      <c r="A11" s="20"/>
      <c r="B11" s="21"/>
      <c r="C11" s="21"/>
      <c r="D11" s="21">
        <v>2013</v>
      </c>
      <c r="E11" s="31">
        <f>SUM(C24:C26)</f>
        <v>63495</v>
      </c>
      <c r="F11" s="31">
        <f>SUM(C30:C33)</f>
        <v>0</v>
      </c>
      <c r="G11" s="31">
        <f>(E11+F11)*0.63</f>
        <v>40001.85</v>
      </c>
      <c r="H11" s="31">
        <f>SUM(C45:C50)</f>
        <v>0</v>
      </c>
      <c r="I11" s="32">
        <f>SUM(C61:C66)</f>
        <v>4079</v>
      </c>
      <c r="J11" s="31">
        <f>SUM(C68:C74)</f>
        <v>0</v>
      </c>
      <c r="K11" s="31">
        <f>SUM(C76:C83)</f>
        <v>8000</v>
      </c>
      <c r="L11" s="31">
        <f>SUM(C85:C91)</f>
        <v>0</v>
      </c>
      <c r="M11" s="33">
        <f>C94</f>
        <v>0</v>
      </c>
      <c r="N11" s="35">
        <f>SUM(E11:M11)</f>
        <v>115575.85</v>
      </c>
      <c r="O11" s="30">
        <f>(N11-N10)/N10</f>
        <v>-0.18873064426983069</v>
      </c>
    </row>
    <row r="12" spans="1:15" ht="13.8" thickBot="1" x14ac:dyDescent="0.3">
      <c r="A12" s="10"/>
      <c r="B12" s="36"/>
      <c r="C12" s="36"/>
      <c r="D12" s="37" t="s">
        <v>23</v>
      </c>
      <c r="E12" s="38">
        <f>SUM(E10:E11)</f>
        <v>125141</v>
      </c>
      <c r="F12" s="38">
        <f t="shared" ref="F12:N12" si="0">SUM(F10:F11)</f>
        <v>0</v>
      </c>
      <c r="G12" s="38">
        <f t="shared" si="0"/>
        <v>78838.83</v>
      </c>
      <c r="H12" s="38">
        <f t="shared" si="0"/>
        <v>0</v>
      </c>
      <c r="I12" s="38">
        <f t="shared" si="0"/>
        <v>8059</v>
      </c>
      <c r="J12" s="38">
        <f t="shared" si="0"/>
        <v>0</v>
      </c>
      <c r="K12" s="38">
        <f t="shared" si="0"/>
        <v>16000</v>
      </c>
      <c r="L12" s="38">
        <f t="shared" si="0"/>
        <v>0</v>
      </c>
      <c r="M12" s="39">
        <f t="shared" si="0"/>
        <v>30000</v>
      </c>
      <c r="N12" s="40">
        <f t="shared" si="0"/>
        <v>258038.83000000002</v>
      </c>
    </row>
    <row r="13" spans="1:15" ht="26.4" x14ac:dyDescent="0.25">
      <c r="A13" s="10"/>
      <c r="B13" s="11"/>
      <c r="C13" s="11"/>
      <c r="D13" s="12"/>
      <c r="E13" s="28"/>
      <c r="F13" s="11"/>
      <c r="G13" s="11"/>
      <c r="H13" s="11"/>
      <c r="I13" s="11"/>
      <c r="J13" s="11"/>
      <c r="K13" s="11"/>
      <c r="L13" s="11"/>
      <c r="M13" s="10" t="s">
        <v>24</v>
      </c>
      <c r="N13" s="11"/>
    </row>
    <row r="14" spans="1:15" x14ac:dyDescent="0.25">
      <c r="A14" s="10"/>
      <c r="B14" s="11"/>
      <c r="C14" s="11"/>
      <c r="D14" s="12"/>
      <c r="E14" s="28"/>
      <c r="F14" s="11"/>
      <c r="G14" s="11"/>
      <c r="H14" s="11"/>
      <c r="I14" s="11"/>
      <c r="J14" s="11"/>
      <c r="K14" s="11"/>
      <c r="L14" s="11"/>
      <c r="M14" s="10" t="s">
        <v>25</v>
      </c>
      <c r="N14" s="11"/>
    </row>
    <row r="15" spans="1:15" ht="15.6" x14ac:dyDescent="0.3">
      <c r="A15" s="10"/>
      <c r="B15" s="4803" t="s">
        <v>26</v>
      </c>
      <c r="C15" s="4804"/>
      <c r="D15" s="4804"/>
      <c r="E15" s="4805"/>
      <c r="F15" s="1448"/>
      <c r="G15" s="1448"/>
      <c r="H15" s="11"/>
      <c r="I15" s="11"/>
      <c r="J15" s="11"/>
      <c r="K15" s="11"/>
      <c r="L15" s="11"/>
      <c r="M15" s="11"/>
      <c r="N15" s="11"/>
    </row>
    <row r="16" spans="1:15" ht="15.6" x14ac:dyDescent="0.3">
      <c r="A16" s="41"/>
      <c r="B16" s="42"/>
      <c r="C16" s="43"/>
      <c r="D16" s="43"/>
      <c r="E16" s="43"/>
      <c r="F16" s="43"/>
      <c r="G16" s="43"/>
      <c r="H16" s="44"/>
      <c r="I16" s="44"/>
      <c r="J16" s="44"/>
      <c r="K16" s="44"/>
      <c r="L16" s="44"/>
      <c r="M16" s="44"/>
      <c r="N16" s="44"/>
    </row>
    <row r="17" spans="1:14" ht="15.6" x14ac:dyDescent="0.3">
      <c r="A17" s="41"/>
      <c r="B17" s="43"/>
      <c r="C17" s="43"/>
      <c r="D17" s="43"/>
      <c r="E17" s="43"/>
      <c r="F17" s="43"/>
      <c r="G17" s="43"/>
      <c r="H17" s="44"/>
      <c r="I17" s="44"/>
      <c r="J17" s="44"/>
      <c r="K17" s="44"/>
      <c r="L17" s="44"/>
      <c r="M17" s="44"/>
      <c r="N17" s="44"/>
    </row>
    <row r="18" spans="1:14" ht="15.6" x14ac:dyDescent="0.3">
      <c r="A18" s="10"/>
      <c r="B18" s="4800" t="s">
        <v>27</v>
      </c>
      <c r="C18" s="4800"/>
      <c r="D18" s="45" t="s">
        <v>28</v>
      </c>
      <c r="E18" s="46" t="s">
        <v>29</v>
      </c>
      <c r="F18" s="11"/>
      <c r="G18" s="11"/>
      <c r="H18" s="11"/>
      <c r="I18" s="11"/>
      <c r="J18" s="11"/>
      <c r="K18" s="11"/>
      <c r="L18" s="11"/>
      <c r="M18" s="11"/>
      <c r="N18" s="11"/>
    </row>
    <row r="19" spans="1:14" ht="15.6" x14ac:dyDescent="0.3">
      <c r="A19" s="10"/>
      <c r="B19" s="4780" t="s">
        <v>30</v>
      </c>
      <c r="C19" s="4780"/>
      <c r="D19" s="45"/>
      <c r="E19" s="46"/>
      <c r="F19" s="11"/>
      <c r="G19" s="11"/>
    </row>
    <row r="20" spans="1:14" ht="46.8" x14ac:dyDescent="0.3">
      <c r="A20" s="10"/>
      <c r="B20" s="47">
        <v>2012</v>
      </c>
      <c r="C20" s="47">
        <v>2013</v>
      </c>
      <c r="D20" s="48" t="s">
        <v>31</v>
      </c>
      <c r="E20" s="49" t="s">
        <v>32</v>
      </c>
      <c r="F20" s="11"/>
      <c r="G20" s="11"/>
    </row>
    <row r="21" spans="1:14" x14ac:dyDescent="0.25">
      <c r="A21" s="10"/>
      <c r="B21" s="50" t="s">
        <v>9</v>
      </c>
      <c r="C21" s="50" t="s">
        <v>9</v>
      </c>
      <c r="D21" s="51"/>
      <c r="E21" s="52">
        <f>SUM(B24:B26)+SUM(C24:C26)</f>
        <v>125141</v>
      </c>
      <c r="F21" s="11"/>
      <c r="G21" s="11"/>
    </row>
    <row r="22" spans="1:14" s="55" customFormat="1" x14ac:dyDescent="0.25">
      <c r="A22" s="10"/>
      <c r="B22" s="53"/>
      <c r="C22" s="53"/>
      <c r="D22" s="12"/>
      <c r="E22" s="54"/>
      <c r="F22" s="11"/>
      <c r="G22" s="11"/>
      <c r="H22"/>
      <c r="I22"/>
      <c r="J22"/>
      <c r="K22"/>
      <c r="L22"/>
      <c r="M22"/>
      <c r="N22"/>
    </row>
    <row r="23" spans="1:14" x14ac:dyDescent="0.25">
      <c r="A23" s="10"/>
      <c r="B23" s="56" t="s">
        <v>33</v>
      </c>
      <c r="C23" s="56" t="s">
        <v>33</v>
      </c>
      <c r="D23" s="57" t="s">
        <v>7</v>
      </c>
      <c r="E23" s="54"/>
      <c r="F23" s="58" t="s">
        <v>7</v>
      </c>
      <c r="G23" s="11"/>
    </row>
    <row r="24" spans="1:14" x14ac:dyDescent="0.25">
      <c r="A24" s="10"/>
      <c r="B24" s="62">
        <v>32184</v>
      </c>
      <c r="C24" s="59">
        <v>33149</v>
      </c>
      <c r="D24" s="1438" t="s">
        <v>1090</v>
      </c>
      <c r="E24" s="54"/>
      <c r="F24" s="61"/>
      <c r="G24" s="11"/>
    </row>
    <row r="25" spans="1:14" x14ac:dyDescent="0.25">
      <c r="A25" s="10"/>
      <c r="B25" s="62">
        <v>29462</v>
      </c>
      <c r="C25" s="62">
        <v>30346</v>
      </c>
      <c r="D25" s="63" t="s">
        <v>36</v>
      </c>
      <c r="E25" s="54"/>
      <c r="F25" s="11"/>
      <c r="G25" s="11"/>
    </row>
    <row r="26" spans="1:14" ht="21" customHeight="1" x14ac:dyDescent="0.25">
      <c r="A26" s="10"/>
      <c r="B26" s="62">
        <v>0</v>
      </c>
      <c r="C26" s="62">
        <v>0</v>
      </c>
      <c r="D26" s="63" t="s">
        <v>60</v>
      </c>
      <c r="E26" s="54"/>
      <c r="F26" s="11"/>
      <c r="G26" s="11"/>
    </row>
    <row r="27" spans="1:14" s="55" customFormat="1" ht="21" customHeight="1" x14ac:dyDescent="0.25">
      <c r="A27" s="41"/>
      <c r="B27" s="50" t="s">
        <v>10</v>
      </c>
      <c r="C27" s="50" t="s">
        <v>10</v>
      </c>
      <c r="D27" s="51"/>
      <c r="E27" s="64">
        <f>SUM(B30:B33)+SUM(C30:C33)</f>
        <v>0</v>
      </c>
      <c r="F27" s="44"/>
      <c r="G27" s="44"/>
    </row>
    <row r="28" spans="1:14" x14ac:dyDescent="0.25">
      <c r="A28" s="10"/>
      <c r="B28" s="65"/>
      <c r="C28" s="65"/>
      <c r="D28" s="66"/>
      <c r="E28" s="54"/>
      <c r="F28" s="11"/>
      <c r="G28" s="11"/>
    </row>
    <row r="29" spans="1:14" x14ac:dyDescent="0.25">
      <c r="A29" s="41"/>
      <c r="B29" s="56" t="s">
        <v>33</v>
      </c>
      <c r="C29" s="56" t="s">
        <v>33</v>
      </c>
      <c r="D29" s="66"/>
      <c r="E29" s="54"/>
      <c r="F29" s="44"/>
      <c r="G29" s="44"/>
    </row>
    <row r="30" spans="1:14" x14ac:dyDescent="0.25">
      <c r="A30" s="10"/>
      <c r="B30" s="60"/>
      <c r="C30" s="69"/>
      <c r="D30" s="68"/>
      <c r="E30" s="54"/>
      <c r="F30" s="11"/>
      <c r="G30" s="11"/>
    </row>
    <row r="31" spans="1:14" x14ac:dyDescent="0.25">
      <c r="A31" s="10"/>
      <c r="B31" s="69"/>
      <c r="C31" s="69"/>
      <c r="D31" s="68"/>
      <c r="E31" s="54"/>
      <c r="F31" s="11"/>
      <c r="G31" s="11"/>
    </row>
    <row r="32" spans="1:14" x14ac:dyDescent="0.25">
      <c r="A32" s="10"/>
      <c r="B32" s="36"/>
      <c r="C32" s="36"/>
      <c r="D32" s="68"/>
      <c r="E32" s="54"/>
      <c r="F32" s="11"/>
      <c r="G32" s="11"/>
    </row>
    <row r="33" spans="1:14" x14ac:dyDescent="0.25">
      <c r="A33" s="10"/>
      <c r="B33" s="36"/>
      <c r="C33" s="36"/>
      <c r="D33" s="68"/>
      <c r="E33" s="54"/>
      <c r="F33" s="11"/>
      <c r="G33" s="11"/>
    </row>
    <row r="34" spans="1:14" x14ac:dyDescent="0.25">
      <c r="A34" s="10"/>
      <c r="B34" s="50" t="s">
        <v>11</v>
      </c>
      <c r="C34" s="50" t="s">
        <v>11</v>
      </c>
      <c r="D34" s="51"/>
      <c r="E34" s="64">
        <f>E21*0.63</f>
        <v>78838.83</v>
      </c>
      <c r="F34" s="11"/>
      <c r="G34" s="11"/>
    </row>
    <row r="35" spans="1:14" x14ac:dyDescent="0.25">
      <c r="A35" s="10"/>
      <c r="B35" s="53"/>
      <c r="C35" s="53"/>
      <c r="D35" s="12"/>
      <c r="E35" s="70"/>
      <c r="F35" s="11"/>
      <c r="G35" s="11"/>
    </row>
    <row r="36" spans="1:14" x14ac:dyDescent="0.25">
      <c r="A36" s="71"/>
      <c r="B36" s="72" t="s">
        <v>38</v>
      </c>
      <c r="C36" s="72" t="s">
        <v>38</v>
      </c>
      <c r="D36" s="57" t="s">
        <v>7</v>
      </c>
      <c r="E36" s="54"/>
      <c r="F36" s="73"/>
    </row>
    <row r="37" spans="1:14" x14ac:dyDescent="0.25">
      <c r="A37" s="10"/>
      <c r="B37" s="59">
        <f>SUM(B24:B26)*0.63</f>
        <v>38836.980000000003</v>
      </c>
      <c r="C37" s="59">
        <f>SUM(C24:C26)*0.63</f>
        <v>40001.85</v>
      </c>
      <c r="D37" s="68" t="s">
        <v>7</v>
      </c>
      <c r="E37" s="54"/>
      <c r="F37" s="11"/>
    </row>
    <row r="38" spans="1:14" s="55" customFormat="1" x14ac:dyDescent="0.25">
      <c r="A38" s="41"/>
      <c r="B38" s="50" t="s">
        <v>39</v>
      </c>
      <c r="C38" s="50" t="s">
        <v>39</v>
      </c>
      <c r="D38" s="51"/>
      <c r="E38" s="64">
        <f>SUM(B40:B42)+SUM(C40:C42)</f>
        <v>0</v>
      </c>
      <c r="F38" s="44"/>
      <c r="G38"/>
      <c r="H38"/>
      <c r="I38"/>
      <c r="J38"/>
      <c r="K38"/>
      <c r="L38"/>
      <c r="M38"/>
      <c r="N38"/>
    </row>
    <row r="39" spans="1:14" x14ac:dyDescent="0.25">
      <c r="A39" s="10"/>
      <c r="B39" s="65"/>
      <c r="C39" s="65"/>
      <c r="D39" s="66"/>
      <c r="E39" s="54"/>
      <c r="F39" s="11"/>
    </row>
    <row r="40" spans="1:14" x14ac:dyDescent="0.25">
      <c r="A40" s="10"/>
      <c r="B40" s="11"/>
      <c r="C40" s="69"/>
      <c r="D40" s="68"/>
      <c r="E40" s="54"/>
      <c r="F40" s="11"/>
    </row>
    <row r="41" spans="1:14" x14ac:dyDescent="0.25">
      <c r="A41" s="10"/>
      <c r="B41" s="36"/>
      <c r="C41" s="36"/>
      <c r="D41" s="68"/>
      <c r="E41" s="54"/>
      <c r="F41" s="11"/>
    </row>
    <row r="42" spans="1:14" x14ac:dyDescent="0.25">
      <c r="A42" s="10"/>
      <c r="B42" s="36"/>
      <c r="C42" s="36"/>
      <c r="D42" s="68"/>
      <c r="E42" s="54"/>
      <c r="F42" s="11"/>
    </row>
    <row r="43" spans="1:14" x14ac:dyDescent="0.25">
      <c r="A43" s="10"/>
      <c r="B43" s="50" t="s">
        <v>12</v>
      </c>
      <c r="C43" s="50" t="s">
        <v>12</v>
      </c>
      <c r="D43" s="51"/>
      <c r="E43" s="64">
        <f>SUM(B45:B50)+SUM(C45:C50)</f>
        <v>0</v>
      </c>
      <c r="F43" s="11"/>
      <c r="G43" s="55"/>
      <c r="H43" s="55"/>
      <c r="I43" s="55"/>
      <c r="J43" s="55"/>
      <c r="K43" s="55"/>
      <c r="L43" s="55"/>
      <c r="M43" s="55"/>
      <c r="N43" s="55"/>
    </row>
    <row r="44" spans="1:14" x14ac:dyDescent="0.25">
      <c r="A44" s="10"/>
      <c r="B44" s="74"/>
      <c r="C44" s="74"/>
      <c r="D44" s="68"/>
      <c r="E44" s="54"/>
      <c r="F44" s="11"/>
    </row>
    <row r="45" spans="1:14" x14ac:dyDescent="0.25">
      <c r="A45" s="10"/>
      <c r="B45" s="36"/>
      <c r="C45" s="36"/>
      <c r="D45" s="68"/>
      <c r="E45" s="54"/>
      <c r="F45" s="11"/>
    </row>
    <row r="46" spans="1:14" x14ac:dyDescent="0.25">
      <c r="A46" s="10"/>
      <c r="B46" s="36"/>
      <c r="C46" s="36"/>
      <c r="D46" s="68"/>
      <c r="E46" s="54"/>
      <c r="F46" s="11"/>
    </row>
    <row r="47" spans="1:14" x14ac:dyDescent="0.25">
      <c r="A47" s="10"/>
      <c r="B47" s="36"/>
      <c r="C47" s="36"/>
      <c r="D47" s="68"/>
      <c r="E47" s="54"/>
      <c r="F47" s="11"/>
    </row>
    <row r="48" spans="1:14" x14ac:dyDescent="0.25">
      <c r="A48" s="10"/>
      <c r="B48" s="36"/>
      <c r="C48" s="36"/>
      <c r="D48" s="68"/>
      <c r="E48" s="54"/>
      <c r="F48" s="11"/>
    </row>
    <row r="49" spans="1:14" x14ac:dyDescent="0.25">
      <c r="A49" s="10"/>
      <c r="B49" s="36"/>
      <c r="C49" s="36"/>
      <c r="D49" s="68"/>
      <c r="E49" s="54"/>
      <c r="F49" s="11"/>
    </row>
    <row r="50" spans="1:14" x14ac:dyDescent="0.25">
      <c r="A50" s="10"/>
      <c r="B50" s="36"/>
      <c r="C50" s="36"/>
      <c r="D50" s="68"/>
      <c r="E50" s="54"/>
      <c r="F50" s="11"/>
    </row>
    <row r="51" spans="1:14" x14ac:dyDescent="0.25">
      <c r="A51" s="10"/>
      <c r="B51" s="50" t="s">
        <v>40</v>
      </c>
      <c r="C51" s="50" t="s">
        <v>40</v>
      </c>
      <c r="D51" s="51"/>
      <c r="E51" s="64">
        <f>SUM(B53:B58)+SUM(C53:C58)</f>
        <v>0</v>
      </c>
      <c r="F51" s="11"/>
    </row>
    <row r="52" spans="1:14" x14ac:dyDescent="0.25">
      <c r="A52" s="10"/>
      <c r="B52" s="65"/>
      <c r="C52" s="65"/>
      <c r="D52" s="11"/>
      <c r="E52" s="75"/>
      <c r="F52" s="11"/>
    </row>
    <row r="53" spans="1:14" x14ac:dyDescent="0.25">
      <c r="A53" s="10"/>
      <c r="B53" s="76"/>
      <c r="C53" s="76"/>
      <c r="D53" s="11"/>
      <c r="E53" s="75"/>
      <c r="F53" s="11"/>
    </row>
    <row r="54" spans="1:14" s="55" customFormat="1" x14ac:dyDescent="0.25">
      <c r="A54" s="10"/>
      <c r="B54" s="76"/>
      <c r="C54" s="76"/>
      <c r="D54" s="11"/>
      <c r="E54" s="75"/>
      <c r="F54"/>
      <c r="G54"/>
      <c r="H54"/>
      <c r="I54"/>
      <c r="J54"/>
      <c r="K54"/>
      <c r="L54"/>
      <c r="M54"/>
      <c r="N54"/>
    </row>
    <row r="55" spans="1:14" x14ac:dyDescent="0.25">
      <c r="A55" s="10"/>
      <c r="B55" s="76"/>
      <c r="C55" s="76"/>
      <c r="D55" s="11"/>
      <c r="E55" s="75"/>
    </row>
    <row r="56" spans="1:14" x14ac:dyDescent="0.25">
      <c r="A56" s="10"/>
      <c r="B56" s="76"/>
      <c r="C56" s="76"/>
      <c r="D56" s="11"/>
      <c r="E56" s="75"/>
    </row>
    <row r="57" spans="1:14" x14ac:dyDescent="0.25">
      <c r="A57" s="10"/>
      <c r="B57" s="11"/>
      <c r="C57" s="11"/>
      <c r="D57" s="11"/>
      <c r="E57" s="75"/>
    </row>
    <row r="58" spans="1:14" x14ac:dyDescent="0.25">
      <c r="A58" s="10"/>
      <c r="B58" s="11"/>
      <c r="C58" s="11"/>
      <c r="D58" s="12"/>
      <c r="E58" s="54"/>
    </row>
    <row r="59" spans="1:14" x14ac:dyDescent="0.25">
      <c r="A59" s="10"/>
      <c r="B59" s="50" t="s">
        <v>13</v>
      </c>
      <c r="C59" s="50" t="s">
        <v>13</v>
      </c>
      <c r="D59" s="51"/>
      <c r="E59" s="64">
        <f>SUM(B61:B66)+SUM(C61:C66)</f>
        <v>8059</v>
      </c>
    </row>
    <row r="60" spans="1:14" x14ac:dyDescent="0.25">
      <c r="A60" s="10"/>
      <c r="B60" s="53"/>
      <c r="C60" s="53"/>
      <c r="D60" s="12"/>
      <c r="E60" s="54"/>
    </row>
    <row r="61" spans="1:14" x14ac:dyDescent="0.25">
      <c r="A61" s="10"/>
      <c r="B61" s="62">
        <v>1980</v>
      </c>
      <c r="C61" s="62">
        <v>2079</v>
      </c>
      <c r="D61" s="63" t="s">
        <v>61</v>
      </c>
      <c r="E61" s="54"/>
    </row>
    <row r="62" spans="1:14" x14ac:dyDescent="0.25">
      <c r="A62" s="10"/>
      <c r="B62" s="62" t="s">
        <v>7</v>
      </c>
      <c r="C62" s="62"/>
      <c r="D62" s="63" t="s">
        <v>42</v>
      </c>
      <c r="E62" s="54"/>
    </row>
    <row r="63" spans="1:14" x14ac:dyDescent="0.25">
      <c r="A63" s="10"/>
      <c r="B63" s="62"/>
      <c r="C63" s="62"/>
      <c r="D63" s="63" t="s">
        <v>43</v>
      </c>
      <c r="E63" s="54"/>
    </row>
    <row r="64" spans="1:14" x14ac:dyDescent="0.25">
      <c r="A64" s="10"/>
      <c r="B64" s="62">
        <v>2000</v>
      </c>
      <c r="C64" s="62">
        <v>2000</v>
      </c>
      <c r="D64" s="63" t="s">
        <v>62</v>
      </c>
      <c r="E64" s="54"/>
    </row>
    <row r="65" spans="1:5" x14ac:dyDescent="0.25">
      <c r="A65" s="10"/>
      <c r="B65" s="77"/>
      <c r="C65" s="77"/>
      <c r="D65" s="63" t="s">
        <v>45</v>
      </c>
      <c r="E65" s="54"/>
    </row>
    <row r="66" spans="1:5" x14ac:dyDescent="0.25">
      <c r="A66" s="10"/>
      <c r="B66" s="77"/>
      <c r="C66" s="77"/>
      <c r="D66" s="63"/>
      <c r="E66" s="54"/>
    </row>
    <row r="67" spans="1:5" x14ac:dyDescent="0.25">
      <c r="A67" s="10"/>
      <c r="B67" s="50" t="s">
        <v>14</v>
      </c>
      <c r="C67" s="50" t="s">
        <v>14</v>
      </c>
      <c r="D67" s="51"/>
      <c r="E67" s="64">
        <f>SUM(B69:B74)+SUM(C69:C74)</f>
        <v>0</v>
      </c>
    </row>
    <row r="68" spans="1:5" x14ac:dyDescent="0.25">
      <c r="A68" s="78"/>
      <c r="B68" s="53"/>
      <c r="C68" s="53"/>
      <c r="D68" s="12"/>
      <c r="E68" s="54"/>
    </row>
    <row r="69" spans="1:5" x14ac:dyDescent="0.25">
      <c r="A69" s="10"/>
      <c r="B69" s="11" t="s">
        <v>7</v>
      </c>
      <c r="C69" s="11"/>
      <c r="D69" s="12"/>
      <c r="E69" s="54"/>
    </row>
    <row r="70" spans="1:5" x14ac:dyDescent="0.25">
      <c r="A70" s="10"/>
      <c r="B70" s="11"/>
      <c r="C70" s="11"/>
      <c r="D70" s="12"/>
      <c r="E70" s="54"/>
    </row>
    <row r="71" spans="1:5" x14ac:dyDescent="0.25">
      <c r="A71" s="10"/>
      <c r="B71" s="11"/>
      <c r="C71" s="11"/>
      <c r="D71" s="12"/>
      <c r="E71" s="54"/>
    </row>
    <row r="72" spans="1:5" x14ac:dyDescent="0.25">
      <c r="A72" s="10"/>
      <c r="B72" s="11"/>
      <c r="C72" s="11"/>
      <c r="D72" s="12"/>
      <c r="E72" s="54"/>
    </row>
    <row r="73" spans="1:5" x14ac:dyDescent="0.25">
      <c r="A73" s="10"/>
      <c r="B73" s="11"/>
      <c r="C73" s="11"/>
      <c r="D73" s="12"/>
      <c r="E73" s="54"/>
    </row>
    <row r="74" spans="1:5" x14ac:dyDescent="0.25">
      <c r="A74" s="10"/>
      <c r="B74" s="11" t="s">
        <v>7</v>
      </c>
      <c r="C74" s="11"/>
      <c r="D74" s="12"/>
      <c r="E74" s="54"/>
    </row>
    <row r="75" spans="1:5" x14ac:dyDescent="0.25">
      <c r="A75" s="10"/>
      <c r="B75" s="50" t="s">
        <v>15</v>
      </c>
      <c r="C75" s="50" t="s">
        <v>15</v>
      </c>
      <c r="D75" s="51"/>
      <c r="E75" s="64">
        <f>SUM(B77:B83)+SUM(C77:C83)</f>
        <v>16000</v>
      </c>
    </row>
    <row r="76" spans="1:5" x14ac:dyDescent="0.25">
      <c r="A76" s="10"/>
      <c r="B76" s="65"/>
      <c r="C76" s="65"/>
      <c r="D76" s="12"/>
      <c r="E76" s="54"/>
    </row>
    <row r="77" spans="1:5" x14ac:dyDescent="0.25">
      <c r="A77" s="41"/>
      <c r="B77" s="82">
        <v>8000</v>
      </c>
      <c r="C77" s="82">
        <v>8000</v>
      </c>
      <c r="D77" s="83" t="s">
        <v>63</v>
      </c>
      <c r="E77" s="54"/>
    </row>
    <row r="78" spans="1:5" x14ac:dyDescent="0.25">
      <c r="A78" s="41"/>
      <c r="B78" s="76"/>
      <c r="C78" s="76"/>
      <c r="D78" s="81"/>
      <c r="E78" s="54"/>
    </row>
    <row r="79" spans="1:5" x14ac:dyDescent="0.25">
      <c r="A79" s="41"/>
      <c r="B79" s="76"/>
      <c r="C79" s="76"/>
      <c r="D79" s="81"/>
      <c r="E79" s="54"/>
    </row>
    <row r="80" spans="1:5" x14ac:dyDescent="0.25">
      <c r="A80" s="41"/>
      <c r="B80" s="76"/>
      <c r="C80" s="76"/>
      <c r="D80" s="81"/>
      <c r="E80" s="54"/>
    </row>
    <row r="81" spans="1:5" x14ac:dyDescent="0.25">
      <c r="A81" s="41"/>
      <c r="B81" s="76"/>
      <c r="C81" s="76"/>
      <c r="D81" s="81"/>
      <c r="E81" s="54"/>
    </row>
    <row r="82" spans="1:5" x14ac:dyDescent="0.25">
      <c r="A82" s="10"/>
      <c r="B82" s="11"/>
      <c r="C82" s="11"/>
      <c r="D82" s="68"/>
      <c r="E82" s="54"/>
    </row>
    <row r="83" spans="1:5" x14ac:dyDescent="0.25">
      <c r="A83" s="10"/>
      <c r="B83" s="11"/>
      <c r="C83" s="11"/>
      <c r="D83" s="68"/>
      <c r="E83" s="54"/>
    </row>
    <row r="84" spans="1:5" x14ac:dyDescent="0.25">
      <c r="A84" s="10"/>
      <c r="B84" s="50" t="s">
        <v>16</v>
      </c>
      <c r="C84" s="50" t="s">
        <v>16</v>
      </c>
      <c r="D84" s="12"/>
      <c r="E84" s="91">
        <f>SUM(B86:B91)+SUM(C86:C91)</f>
        <v>0</v>
      </c>
    </row>
    <row r="85" spans="1:5" x14ac:dyDescent="0.25">
      <c r="A85" s="41"/>
      <c r="B85" s="65"/>
      <c r="C85" s="65"/>
      <c r="D85" s="81"/>
      <c r="E85" s="54"/>
    </row>
    <row r="86" spans="1:5" x14ac:dyDescent="0.25">
      <c r="A86" s="41"/>
      <c r="B86" s="76"/>
      <c r="C86" s="76"/>
      <c r="D86" s="81"/>
      <c r="E86" s="54"/>
    </row>
    <row r="87" spans="1:5" x14ac:dyDescent="0.25">
      <c r="A87" s="41"/>
      <c r="B87" s="76"/>
      <c r="C87" s="76"/>
      <c r="D87" s="81"/>
      <c r="E87" s="54"/>
    </row>
    <row r="88" spans="1:5" x14ac:dyDescent="0.25">
      <c r="A88" s="41"/>
      <c r="B88" s="76"/>
      <c r="C88" s="76"/>
      <c r="D88" s="81"/>
      <c r="E88" s="54"/>
    </row>
    <row r="89" spans="1:5" x14ac:dyDescent="0.25">
      <c r="A89" s="41"/>
      <c r="B89" s="76"/>
      <c r="C89" s="76"/>
      <c r="D89" s="81"/>
      <c r="E89" s="54"/>
    </row>
    <row r="90" spans="1:5" x14ac:dyDescent="0.25">
      <c r="A90" s="41"/>
      <c r="B90" s="76"/>
      <c r="C90" s="76"/>
      <c r="D90" s="81"/>
      <c r="E90" s="54"/>
    </row>
    <row r="91" spans="1:5" x14ac:dyDescent="0.25">
      <c r="A91" s="10"/>
      <c r="B91" s="11"/>
      <c r="C91" s="11"/>
      <c r="D91" s="12"/>
      <c r="E91" s="54"/>
    </row>
    <row r="92" spans="1:5" ht="26.4" x14ac:dyDescent="0.25">
      <c r="A92" s="10"/>
      <c r="B92" s="50" t="s">
        <v>17</v>
      </c>
      <c r="C92" s="50" t="s">
        <v>17</v>
      </c>
      <c r="D92" s="12"/>
      <c r="E92" s="54"/>
    </row>
    <row r="93" spans="1:5" x14ac:dyDescent="0.25">
      <c r="A93" s="41"/>
      <c r="B93" s="65"/>
      <c r="C93" s="65"/>
      <c r="D93" s="81"/>
      <c r="E93" s="92"/>
    </row>
    <row r="94" spans="1:5" ht="26.4" x14ac:dyDescent="0.25">
      <c r="A94" s="41"/>
      <c r="B94" s="82">
        <v>30000</v>
      </c>
      <c r="C94" s="82">
        <v>0</v>
      </c>
      <c r="D94" s="83" t="s">
        <v>64</v>
      </c>
      <c r="E94" s="93">
        <f>SUM(B94:C94)</f>
        <v>30000</v>
      </c>
    </row>
    <row r="95" spans="1:5" x14ac:dyDescent="0.25">
      <c r="A95" s="41"/>
      <c r="B95" s="76"/>
      <c r="C95" s="76"/>
      <c r="D95" s="81"/>
      <c r="E95" s="94"/>
    </row>
    <row r="96" spans="1:5" x14ac:dyDescent="0.25">
      <c r="A96" s="10"/>
      <c r="B96" s="60" t="s">
        <v>55</v>
      </c>
      <c r="C96" s="11"/>
      <c r="D96" s="12"/>
      <c r="E96" s="28"/>
    </row>
    <row r="97" spans="1:5" x14ac:dyDescent="0.25">
      <c r="A97" s="10"/>
      <c r="B97" s="60" t="s">
        <v>56</v>
      </c>
      <c r="C97" s="11"/>
      <c r="D97" s="12"/>
      <c r="E97" s="28"/>
    </row>
    <row r="98" spans="1:5" x14ac:dyDescent="0.25">
      <c r="A98" s="10"/>
      <c r="B98" s="60" t="s">
        <v>57</v>
      </c>
      <c r="C98" s="11"/>
      <c r="D98" s="12"/>
    </row>
    <row r="100" spans="1:5" x14ac:dyDescent="0.25">
      <c r="B100" s="86"/>
      <c r="C100" s="86"/>
    </row>
    <row r="101" spans="1:5" x14ac:dyDescent="0.25">
      <c r="B101" s="86"/>
      <c r="C101" s="87"/>
    </row>
    <row r="102" spans="1:5" x14ac:dyDescent="0.25">
      <c r="B102" s="86"/>
      <c r="C102" s="86"/>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8" right="0.7" top="0.28000000000000003" bottom="0.32" header="0.3" footer="0.3"/>
  <pageSetup paperSize="17" scale="54" orientation="landscape"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F20" sqref="F20"/>
    </sheetView>
  </sheetViews>
  <sheetFormatPr defaultRowHeight="13.2" x14ac:dyDescent="0.25"/>
  <cols>
    <col min="1" max="1" width="15.33203125" customWidth="1"/>
    <col min="2" max="3" width="20.109375" customWidth="1"/>
    <col min="4" max="4" width="28" customWidth="1"/>
    <col min="5" max="13" width="20.109375" customWidth="1"/>
    <col min="14" max="14" width="14.33203125" customWidth="1"/>
    <col min="15" max="15" width="19.33203125" customWidth="1"/>
  </cols>
  <sheetData>
    <row r="1" spans="1:15" ht="42.75" customHeight="1" x14ac:dyDescent="0.25"/>
    <row r="2" spans="1:15" ht="18" thickBot="1" x14ac:dyDescent="0.35">
      <c r="B2" s="1" t="s">
        <v>65</v>
      </c>
      <c r="D2" s="3363" t="s">
        <v>66</v>
      </c>
      <c r="E2" s="2392" t="s">
        <v>1294</v>
      </c>
    </row>
    <row r="3" spans="1:15" ht="15.6" thickBot="1" x14ac:dyDescent="0.3">
      <c r="B3" s="5" t="s">
        <v>5</v>
      </c>
      <c r="C3" s="6" t="s">
        <v>67</v>
      </c>
      <c r="D3" s="7">
        <v>18230438</v>
      </c>
    </row>
    <row r="4" spans="1:15" ht="17.399999999999999" x14ac:dyDescent="0.3">
      <c r="B4" s="1"/>
      <c r="C4" s="2"/>
      <c r="D4" s="3"/>
      <c r="E4" s="4"/>
    </row>
    <row r="6" spans="1:15" ht="13.8" thickBot="1" x14ac:dyDescent="0.3">
      <c r="A6" s="10"/>
      <c r="B6" s="11"/>
      <c r="C6" s="11"/>
      <c r="D6" s="12"/>
      <c r="E6" s="13" t="s">
        <v>8</v>
      </c>
      <c r="F6" s="11"/>
      <c r="G6" s="11"/>
      <c r="H6" s="11"/>
      <c r="I6" s="11"/>
      <c r="J6" s="11"/>
      <c r="K6" s="11"/>
      <c r="L6" s="11"/>
      <c r="M6" s="11"/>
      <c r="N6" s="11"/>
    </row>
    <row r="7" spans="1:15" s="19" customFormat="1" ht="39.6" x14ac:dyDescent="0.3">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x14ac:dyDescent="0.25">
      <c r="A8" s="20"/>
      <c r="B8" s="21"/>
      <c r="C8" s="21"/>
      <c r="D8" s="22" t="s">
        <v>20</v>
      </c>
      <c r="E8" s="23"/>
      <c r="F8" s="23"/>
      <c r="G8" s="23"/>
      <c r="H8" s="23"/>
      <c r="I8" s="24"/>
      <c r="J8" s="23"/>
      <c r="K8" s="23"/>
      <c r="L8" s="23"/>
      <c r="M8" s="23"/>
      <c r="N8" s="25">
        <v>476000</v>
      </c>
      <c r="O8" s="26" t="s">
        <v>21</v>
      </c>
    </row>
    <row r="9" spans="1:15" s="27" customFormat="1" x14ac:dyDescent="0.25">
      <c r="A9" s="20"/>
      <c r="B9" s="21"/>
      <c r="C9" s="21"/>
      <c r="D9" s="22" t="s">
        <v>22</v>
      </c>
      <c r="E9" s="28">
        <v>51975</v>
      </c>
      <c r="F9" s="28">
        <v>0</v>
      </c>
      <c r="G9" s="28">
        <v>32744.25</v>
      </c>
      <c r="H9" s="28">
        <v>0</v>
      </c>
      <c r="I9" s="28">
        <v>4700</v>
      </c>
      <c r="J9" s="28">
        <v>80000</v>
      </c>
      <c r="K9" s="28">
        <v>1000</v>
      </c>
      <c r="L9" s="28">
        <v>3000</v>
      </c>
      <c r="M9" s="28">
        <v>95000</v>
      </c>
      <c r="N9" s="89">
        <v>268419.25</v>
      </c>
      <c r="O9" s="30">
        <f>(N9-N8)/N8</f>
        <v>-0.43609401260504199</v>
      </c>
    </row>
    <row r="10" spans="1:15" s="95" customFormat="1" x14ac:dyDescent="0.25">
      <c r="A10" s="20"/>
      <c r="B10" s="21"/>
      <c r="C10" s="21"/>
      <c r="D10" s="21">
        <v>2012</v>
      </c>
      <c r="E10" s="31">
        <f>SUM(B24:B26)</f>
        <v>183000</v>
      </c>
      <c r="F10" s="31">
        <f>SUM(B30:B33)</f>
        <v>0.05</v>
      </c>
      <c r="G10" s="31">
        <f>(E10+F10)*0.63</f>
        <v>115290.0315</v>
      </c>
      <c r="H10" s="31">
        <f>SUM(B45:B50)</f>
        <v>5000</v>
      </c>
      <c r="I10" s="32">
        <f>SUM(B61:B66)</f>
        <v>8200</v>
      </c>
      <c r="J10" s="31">
        <f>SUM(B68:B74)</f>
        <v>750000</v>
      </c>
      <c r="K10" s="31">
        <f>SUM(B76:B83)</f>
        <v>15000</v>
      </c>
      <c r="L10" s="31">
        <f>SUM(B85:B91)</f>
        <v>100000</v>
      </c>
      <c r="M10" s="33">
        <f>B93</f>
        <v>0</v>
      </c>
      <c r="N10" s="35">
        <f>SUM(E10:M10)</f>
        <v>1176490.0814999999</v>
      </c>
      <c r="O10" s="30">
        <f>(N10-N9)/N9</f>
        <v>3.3830316994775891</v>
      </c>
    </row>
    <row r="11" spans="1:15" s="95" customFormat="1" x14ac:dyDescent="0.25">
      <c r="A11" s="20"/>
      <c r="B11" s="21"/>
      <c r="C11" s="21"/>
      <c r="D11" s="21">
        <v>2013</v>
      </c>
      <c r="E11" s="31">
        <f>SUM(C24:C26)</f>
        <v>187000</v>
      </c>
      <c r="F11" s="31">
        <f>SUM(C30:C33)</f>
        <v>0.05</v>
      </c>
      <c r="G11" s="31">
        <f>(E11+F11)*0.63</f>
        <v>117810.0315</v>
      </c>
      <c r="H11" s="31">
        <f>SUM(C45:C50)</f>
        <v>3000</v>
      </c>
      <c r="I11" s="32">
        <f>SUM(C61:C66)</f>
        <v>6700</v>
      </c>
      <c r="J11" s="31">
        <f>SUM(C68:C74)</f>
        <v>1000000</v>
      </c>
      <c r="K11" s="31">
        <f>SUM(C76:C83)</f>
        <v>15000</v>
      </c>
      <c r="L11" s="31">
        <f>SUM(C85:C91)</f>
        <v>250000</v>
      </c>
      <c r="M11" s="33">
        <f>C93</f>
        <v>0</v>
      </c>
      <c r="N11" s="35">
        <f>SUM(E11:M11)</f>
        <v>1579510.0814999999</v>
      </c>
      <c r="O11" s="96">
        <f>(N11-N10)/N10</f>
        <v>0.34256132400721823</v>
      </c>
    </row>
    <row r="12" spans="1:15" ht="13.8" thickBot="1" x14ac:dyDescent="0.3">
      <c r="A12" s="10"/>
      <c r="B12" s="36"/>
      <c r="C12" s="36"/>
      <c r="D12" s="37" t="s">
        <v>23</v>
      </c>
      <c r="E12" s="38">
        <f>SUM(E10:E11)</f>
        <v>370000</v>
      </c>
      <c r="F12" s="38">
        <f t="shared" ref="F12:M12" si="0">SUM(F10:F11)</f>
        <v>0.1</v>
      </c>
      <c r="G12" s="38">
        <f t="shared" si="0"/>
        <v>233100.06299999999</v>
      </c>
      <c r="H12" s="38">
        <f t="shared" si="0"/>
        <v>8000</v>
      </c>
      <c r="I12" s="38">
        <f t="shared" si="0"/>
        <v>14900</v>
      </c>
      <c r="J12" s="38">
        <f t="shared" si="0"/>
        <v>1750000</v>
      </c>
      <c r="K12" s="38">
        <f t="shared" si="0"/>
        <v>30000</v>
      </c>
      <c r="L12" s="38">
        <f t="shared" si="0"/>
        <v>350000</v>
      </c>
      <c r="M12" s="39">
        <f t="shared" si="0"/>
        <v>0</v>
      </c>
      <c r="N12" s="40">
        <f>SUM(N10:N11)</f>
        <v>2756000.1629999997</v>
      </c>
    </row>
    <row r="13" spans="1:15" x14ac:dyDescent="0.25">
      <c r="A13" s="10"/>
      <c r="B13" s="11"/>
      <c r="C13" s="11"/>
      <c r="D13" s="12"/>
      <c r="E13" s="28"/>
      <c r="F13" s="11"/>
      <c r="G13" s="11"/>
      <c r="H13" s="11"/>
      <c r="I13" s="11"/>
      <c r="J13" s="11"/>
      <c r="K13" s="11"/>
      <c r="L13" s="11"/>
      <c r="M13" s="10" t="s">
        <v>24</v>
      </c>
      <c r="N13" s="11"/>
    </row>
    <row r="14" spans="1:15" x14ac:dyDescent="0.25">
      <c r="A14" s="10"/>
      <c r="B14" s="11"/>
      <c r="C14" s="11"/>
      <c r="D14" s="12"/>
      <c r="E14" s="28"/>
      <c r="F14" s="11"/>
      <c r="G14" s="11"/>
      <c r="H14" s="11"/>
      <c r="I14" s="11"/>
      <c r="J14" s="11"/>
      <c r="K14" s="11"/>
      <c r="L14" s="11"/>
      <c r="M14" s="10" t="s">
        <v>25</v>
      </c>
      <c r="N14" s="11"/>
    </row>
    <row r="15" spans="1:15" ht="15.6" x14ac:dyDescent="0.3">
      <c r="A15" s="10"/>
      <c r="B15" s="4803" t="s">
        <v>26</v>
      </c>
      <c r="C15" s="4804"/>
      <c r="D15" s="4804"/>
      <c r="E15" s="4805"/>
      <c r="F15" s="1448"/>
      <c r="G15" s="1448"/>
      <c r="H15" s="11"/>
      <c r="I15" s="11"/>
      <c r="J15" s="11"/>
      <c r="K15" s="11"/>
      <c r="L15" s="11"/>
      <c r="M15" s="11"/>
      <c r="N15" s="11"/>
    </row>
    <row r="16" spans="1:15" ht="15.6" x14ac:dyDescent="0.3">
      <c r="A16" s="41"/>
      <c r="B16" s="42"/>
      <c r="C16" s="43"/>
      <c r="D16" s="43"/>
      <c r="E16" s="43"/>
      <c r="F16" s="43"/>
      <c r="G16" s="43"/>
      <c r="H16" s="44"/>
      <c r="I16" s="44"/>
      <c r="J16" s="44"/>
      <c r="K16" s="44"/>
      <c r="L16" s="44"/>
      <c r="M16" s="44"/>
      <c r="N16" s="44"/>
    </row>
    <row r="17" spans="1:14" ht="15.6" x14ac:dyDescent="0.3">
      <c r="A17" s="41"/>
      <c r="B17" s="43"/>
      <c r="C17" s="43"/>
      <c r="D17" s="43"/>
      <c r="E17" s="43"/>
      <c r="F17" s="43"/>
      <c r="G17" s="43"/>
      <c r="H17" s="44"/>
      <c r="I17" s="44"/>
      <c r="J17" s="44"/>
      <c r="K17" s="44"/>
      <c r="L17" s="44"/>
      <c r="M17" s="44"/>
      <c r="N17" s="44"/>
    </row>
    <row r="18" spans="1:14" ht="15.6" x14ac:dyDescent="0.3">
      <c r="A18" s="10"/>
      <c r="B18" s="4800" t="s">
        <v>27</v>
      </c>
      <c r="C18" s="4800"/>
      <c r="D18" s="45" t="s">
        <v>28</v>
      </c>
      <c r="E18" s="46" t="s">
        <v>29</v>
      </c>
      <c r="F18" s="11"/>
      <c r="G18" s="11"/>
      <c r="H18" s="11"/>
      <c r="I18" s="11"/>
      <c r="J18" s="11"/>
      <c r="K18" s="11"/>
      <c r="L18" s="11"/>
      <c r="M18" s="11"/>
      <c r="N18" s="11"/>
    </row>
    <row r="19" spans="1:14" ht="15.6" x14ac:dyDescent="0.3">
      <c r="A19" s="10"/>
      <c r="B19" s="4780" t="s">
        <v>30</v>
      </c>
      <c r="C19" s="4780"/>
      <c r="D19" s="45"/>
      <c r="E19" s="46"/>
      <c r="F19" s="11"/>
      <c r="G19" s="11"/>
    </row>
    <row r="20" spans="1:14" ht="46.8" x14ac:dyDescent="0.3">
      <c r="A20" s="10"/>
      <c r="B20" s="47">
        <v>2012</v>
      </c>
      <c r="C20" s="47">
        <v>2013</v>
      </c>
      <c r="D20" s="48" t="s">
        <v>31</v>
      </c>
      <c r="E20" s="49" t="s">
        <v>32</v>
      </c>
      <c r="F20" s="11"/>
      <c r="G20" s="11"/>
    </row>
    <row r="21" spans="1:14" x14ac:dyDescent="0.25">
      <c r="A21" s="10"/>
      <c r="B21" s="50" t="s">
        <v>9</v>
      </c>
      <c r="C21" s="50" t="s">
        <v>9</v>
      </c>
      <c r="D21" s="51"/>
      <c r="E21" s="52">
        <f>SUM(B24:B26)+SUM(C24:C26)</f>
        <v>370000</v>
      </c>
      <c r="F21" s="11"/>
      <c r="G21" s="11"/>
    </row>
    <row r="22" spans="1:14" s="55" customFormat="1" x14ac:dyDescent="0.25">
      <c r="A22" s="10"/>
      <c r="B22" s="53"/>
      <c r="C22" s="53"/>
      <c r="D22" s="12"/>
      <c r="E22" s="54"/>
      <c r="F22" s="11"/>
      <c r="G22" s="11"/>
      <c r="H22"/>
      <c r="I22"/>
      <c r="J22"/>
      <c r="K22"/>
      <c r="L22"/>
      <c r="M22"/>
      <c r="N22"/>
    </row>
    <row r="23" spans="1:14" x14ac:dyDescent="0.25">
      <c r="A23" s="10"/>
      <c r="B23" s="56" t="s">
        <v>33</v>
      </c>
      <c r="C23" s="56" t="s">
        <v>33</v>
      </c>
      <c r="D23" s="97" t="s">
        <v>68</v>
      </c>
      <c r="E23" s="54"/>
      <c r="F23" s="58" t="s">
        <v>7</v>
      </c>
      <c r="G23" s="11"/>
    </row>
    <row r="24" spans="1:14" x14ac:dyDescent="0.25">
      <c r="A24" s="10"/>
      <c r="B24" s="62">
        <v>138000</v>
      </c>
      <c r="C24" s="62">
        <v>142000</v>
      </c>
      <c r="D24" s="97" t="s">
        <v>69</v>
      </c>
      <c r="E24" s="54"/>
      <c r="F24" s="61"/>
      <c r="G24" s="11"/>
    </row>
    <row r="25" spans="1:14" x14ac:dyDescent="0.25">
      <c r="A25" s="10"/>
      <c r="B25" s="62">
        <v>45000</v>
      </c>
      <c r="C25" s="62">
        <v>45000</v>
      </c>
      <c r="D25" s="97" t="s">
        <v>70</v>
      </c>
      <c r="E25" s="54"/>
      <c r="F25" s="11"/>
      <c r="G25" s="11"/>
    </row>
    <row r="26" spans="1:14" x14ac:dyDescent="0.25">
      <c r="A26" s="10"/>
      <c r="B26" s="11"/>
      <c r="C26" s="11"/>
      <c r="D26" s="98" t="s">
        <v>71</v>
      </c>
      <c r="E26" s="54"/>
      <c r="F26" s="11"/>
      <c r="G26" s="11"/>
    </row>
    <row r="27" spans="1:14" s="55" customFormat="1" x14ac:dyDescent="0.25">
      <c r="A27" s="41"/>
      <c r="B27" s="50" t="s">
        <v>10</v>
      </c>
      <c r="C27" s="50" t="s">
        <v>10</v>
      </c>
      <c r="D27" s="51"/>
      <c r="E27" s="64">
        <f>SUM(B30:B33)+SUM(C30:C33)</f>
        <v>0.1</v>
      </c>
      <c r="F27" s="44"/>
      <c r="G27" s="44"/>
    </row>
    <row r="28" spans="1:14" x14ac:dyDescent="0.25">
      <c r="A28" s="10"/>
      <c r="B28" s="65"/>
      <c r="C28" s="65"/>
      <c r="D28" s="66"/>
      <c r="E28" s="54"/>
      <c r="F28" s="11"/>
      <c r="G28" s="11"/>
    </row>
    <row r="29" spans="1:14" x14ac:dyDescent="0.25">
      <c r="A29" s="41"/>
      <c r="B29" s="56" t="s">
        <v>33</v>
      </c>
      <c r="C29" s="56" t="s">
        <v>33</v>
      </c>
      <c r="D29" s="66"/>
      <c r="E29" s="54"/>
      <c r="F29" s="44"/>
      <c r="G29" s="44"/>
    </row>
    <row r="30" spans="1:14" x14ac:dyDescent="0.25">
      <c r="A30" s="10"/>
      <c r="B30" s="60">
        <v>0.05</v>
      </c>
      <c r="C30" s="69">
        <v>0.05</v>
      </c>
      <c r="D30" s="68"/>
      <c r="E30" s="54"/>
      <c r="F30" s="11"/>
      <c r="G30" s="11"/>
    </row>
    <row r="31" spans="1:14" x14ac:dyDescent="0.25">
      <c r="A31" s="10"/>
      <c r="B31" s="69"/>
      <c r="C31" s="69"/>
      <c r="D31" s="68"/>
      <c r="E31" s="54"/>
      <c r="F31" s="11"/>
      <c r="G31" s="11"/>
    </row>
    <row r="32" spans="1:14" x14ac:dyDescent="0.25">
      <c r="A32" s="10"/>
      <c r="B32" s="36"/>
      <c r="C32" s="36"/>
      <c r="D32" s="68"/>
      <c r="E32" s="54"/>
      <c r="F32" s="11"/>
      <c r="G32" s="11"/>
    </row>
    <row r="33" spans="1:14" x14ac:dyDescent="0.25">
      <c r="A33" s="10"/>
      <c r="B33" s="36"/>
      <c r="C33" s="36"/>
      <c r="D33" s="68"/>
      <c r="E33" s="54"/>
      <c r="F33" s="11"/>
      <c r="G33" s="11"/>
    </row>
    <row r="34" spans="1:14" x14ac:dyDescent="0.25">
      <c r="A34" s="10"/>
      <c r="B34" s="50" t="s">
        <v>11</v>
      </c>
      <c r="C34" s="50" t="s">
        <v>11</v>
      </c>
      <c r="D34" s="51"/>
      <c r="E34" s="64">
        <f>E21*0.63</f>
        <v>233100</v>
      </c>
      <c r="F34" s="11"/>
      <c r="G34" s="11"/>
    </row>
    <row r="35" spans="1:14" x14ac:dyDescent="0.25">
      <c r="A35" s="10"/>
      <c r="B35" s="53"/>
      <c r="C35" s="53"/>
      <c r="D35" s="12"/>
      <c r="E35" s="70"/>
      <c r="F35" s="11"/>
      <c r="G35" s="11"/>
    </row>
    <row r="36" spans="1:14" x14ac:dyDescent="0.25">
      <c r="A36" s="71"/>
      <c r="B36" s="72" t="s">
        <v>38</v>
      </c>
      <c r="C36" s="72" t="s">
        <v>38</v>
      </c>
      <c r="D36" s="57" t="s">
        <v>7</v>
      </c>
      <c r="E36" s="54"/>
      <c r="F36" s="73"/>
    </row>
    <row r="37" spans="1:14" x14ac:dyDescent="0.25">
      <c r="A37" s="10"/>
      <c r="B37" s="36"/>
      <c r="C37" s="36"/>
      <c r="D37" s="68" t="s">
        <v>7</v>
      </c>
      <c r="E37" s="54"/>
      <c r="F37" s="11"/>
    </row>
    <row r="38" spans="1:14" s="55" customFormat="1" x14ac:dyDescent="0.25">
      <c r="A38" s="41"/>
      <c r="B38" s="50" t="s">
        <v>39</v>
      </c>
      <c r="C38" s="50" t="s">
        <v>39</v>
      </c>
      <c r="D38" s="51"/>
      <c r="E38" s="64">
        <f>SUM(B40:B42)+SUM(C40:C42)</f>
        <v>0</v>
      </c>
      <c r="F38" s="44"/>
      <c r="G38"/>
      <c r="H38"/>
      <c r="I38"/>
      <c r="J38"/>
      <c r="K38"/>
      <c r="L38"/>
      <c r="M38"/>
      <c r="N38"/>
    </row>
    <row r="39" spans="1:14" x14ac:dyDescent="0.25">
      <c r="A39" s="10"/>
      <c r="B39" s="65"/>
      <c r="C39" s="65"/>
      <c r="D39" s="66"/>
      <c r="E39" s="54"/>
      <c r="F39" s="11"/>
    </row>
    <row r="40" spans="1:14" x14ac:dyDescent="0.25">
      <c r="A40" s="10"/>
      <c r="B40" s="11"/>
      <c r="C40" s="69"/>
      <c r="D40" s="68"/>
      <c r="E40" s="54"/>
      <c r="F40" s="11"/>
    </row>
    <row r="41" spans="1:14" x14ac:dyDescent="0.25">
      <c r="A41" s="10"/>
      <c r="B41" s="36"/>
      <c r="C41" s="36"/>
      <c r="D41" s="68"/>
      <c r="E41" s="54"/>
      <c r="F41" s="11"/>
    </row>
    <row r="42" spans="1:14" x14ac:dyDescent="0.25">
      <c r="A42" s="10"/>
      <c r="B42" s="36"/>
      <c r="C42" s="36"/>
      <c r="D42" s="68"/>
      <c r="E42" s="54"/>
      <c r="F42" s="11"/>
    </row>
    <row r="43" spans="1:14" x14ac:dyDescent="0.25">
      <c r="A43" s="10"/>
      <c r="B43" s="50" t="s">
        <v>12</v>
      </c>
      <c r="C43" s="50" t="s">
        <v>12</v>
      </c>
      <c r="D43" s="51"/>
      <c r="E43" s="64">
        <f>SUM(B45:B50)+SUM(C45:C50)</f>
        <v>8000</v>
      </c>
      <c r="F43" s="11"/>
      <c r="G43" s="55"/>
      <c r="H43" s="55"/>
      <c r="I43" s="55"/>
      <c r="J43" s="55"/>
      <c r="K43" s="55"/>
      <c r="L43" s="55"/>
      <c r="M43" s="55"/>
      <c r="N43" s="55"/>
    </row>
    <row r="44" spans="1:14" x14ac:dyDescent="0.25">
      <c r="A44" s="10"/>
      <c r="B44" s="74"/>
      <c r="C44" s="74"/>
      <c r="D44" s="68"/>
      <c r="E44" s="54"/>
      <c r="F44" s="11"/>
    </row>
    <row r="45" spans="1:14" x14ac:dyDescent="0.25">
      <c r="A45" s="10"/>
      <c r="B45" s="59">
        <v>5000</v>
      </c>
      <c r="C45" s="59">
        <v>3000</v>
      </c>
      <c r="D45" s="68"/>
      <c r="E45" s="54"/>
      <c r="F45" s="11"/>
    </row>
    <row r="46" spans="1:14" x14ac:dyDescent="0.25">
      <c r="A46" s="10"/>
      <c r="B46" s="59"/>
      <c r="C46" s="59"/>
      <c r="D46" s="68"/>
      <c r="E46" s="54"/>
      <c r="F46" s="11"/>
    </row>
    <row r="47" spans="1:14" x14ac:dyDescent="0.25">
      <c r="A47" s="10"/>
      <c r="B47" s="59"/>
      <c r="C47" s="59"/>
      <c r="D47" s="68"/>
      <c r="E47" s="54"/>
      <c r="F47" s="11"/>
    </row>
    <row r="48" spans="1:14" x14ac:dyDescent="0.25">
      <c r="A48" s="10"/>
      <c r="B48" s="59"/>
      <c r="C48" s="59"/>
      <c r="D48" s="68"/>
      <c r="E48" s="54"/>
      <c r="F48" s="11"/>
    </row>
    <row r="49" spans="1:14" x14ac:dyDescent="0.25">
      <c r="A49" s="10"/>
      <c r="B49" s="59"/>
      <c r="C49" s="59"/>
      <c r="D49" s="68"/>
      <c r="E49" s="54"/>
      <c r="F49" s="11"/>
    </row>
    <row r="50" spans="1:14" x14ac:dyDescent="0.25">
      <c r="A50" s="10"/>
      <c r="B50" s="59"/>
      <c r="C50" s="59"/>
      <c r="D50" s="68"/>
      <c r="E50" s="54"/>
      <c r="F50" s="11"/>
    </row>
    <row r="51" spans="1:14" ht="26.4" x14ac:dyDescent="0.25">
      <c r="A51" s="10"/>
      <c r="B51" s="50" t="s">
        <v>40</v>
      </c>
      <c r="C51" s="50" t="s">
        <v>40</v>
      </c>
      <c r="D51" s="51"/>
      <c r="E51" s="64">
        <f>SUM(B53:B58)+SUM(C53:C58)</f>
        <v>0</v>
      </c>
      <c r="F51" s="11"/>
    </row>
    <row r="52" spans="1:14" x14ac:dyDescent="0.25">
      <c r="A52" s="10"/>
      <c r="B52" s="65"/>
      <c r="C52" s="65"/>
      <c r="D52" s="11"/>
      <c r="E52" s="75"/>
      <c r="F52" s="11"/>
    </row>
    <row r="53" spans="1:14" x14ac:dyDescent="0.25">
      <c r="A53" s="10"/>
      <c r="B53" s="76"/>
      <c r="C53" s="76"/>
      <c r="D53" s="11"/>
      <c r="E53" s="75"/>
      <c r="F53" s="11"/>
    </row>
    <row r="54" spans="1:14" s="55" customFormat="1" x14ac:dyDescent="0.25">
      <c r="A54" s="10"/>
      <c r="B54" s="76"/>
      <c r="C54" s="76"/>
      <c r="D54" s="11"/>
      <c r="E54" s="75"/>
      <c r="F54"/>
      <c r="G54"/>
      <c r="H54"/>
      <c r="I54"/>
      <c r="J54"/>
      <c r="K54"/>
      <c r="L54"/>
      <c r="M54"/>
      <c r="N54"/>
    </row>
    <row r="55" spans="1:14" x14ac:dyDescent="0.25">
      <c r="A55" s="10"/>
      <c r="B55" s="76"/>
      <c r="C55" s="76"/>
      <c r="D55" s="11"/>
      <c r="E55" s="75"/>
    </row>
    <row r="56" spans="1:14" x14ac:dyDescent="0.25">
      <c r="A56" s="10"/>
      <c r="B56" s="76"/>
      <c r="C56" s="76"/>
      <c r="D56" s="11"/>
      <c r="E56" s="75"/>
    </row>
    <row r="57" spans="1:14" x14ac:dyDescent="0.25">
      <c r="A57" s="10"/>
      <c r="B57" s="11"/>
      <c r="C57" s="11"/>
      <c r="D57" s="11"/>
      <c r="E57" s="75"/>
    </row>
    <row r="58" spans="1:14" x14ac:dyDescent="0.25">
      <c r="A58" s="10"/>
      <c r="B58" s="11"/>
      <c r="C58" s="11"/>
      <c r="D58" s="12"/>
      <c r="E58" s="54"/>
    </row>
    <row r="59" spans="1:14" x14ac:dyDescent="0.25">
      <c r="A59" s="10"/>
      <c r="B59" s="50" t="s">
        <v>13</v>
      </c>
      <c r="C59" s="50" t="s">
        <v>13</v>
      </c>
      <c r="D59" s="51"/>
      <c r="E59" s="64">
        <f>SUM(B61:B66)+SUM(C61:C66)</f>
        <v>14900</v>
      </c>
    </row>
    <row r="60" spans="1:14" x14ac:dyDescent="0.25">
      <c r="A60" s="10"/>
      <c r="B60" s="53"/>
      <c r="C60" s="53"/>
      <c r="D60" s="12"/>
      <c r="E60" s="54"/>
    </row>
    <row r="61" spans="1:14" x14ac:dyDescent="0.25">
      <c r="A61" s="10"/>
      <c r="B61" s="3366">
        <v>3000</v>
      </c>
      <c r="C61" s="3366">
        <v>3000</v>
      </c>
      <c r="D61" s="3132" t="s">
        <v>72</v>
      </c>
      <c r="E61" s="54"/>
    </row>
    <row r="62" spans="1:14" x14ac:dyDescent="0.25">
      <c r="A62" s="10"/>
      <c r="B62" s="3366">
        <v>200</v>
      </c>
      <c r="C62" s="3366">
        <v>200</v>
      </c>
      <c r="D62" s="3132" t="s">
        <v>42</v>
      </c>
      <c r="E62" s="54"/>
    </row>
    <row r="63" spans="1:14" x14ac:dyDescent="0.25">
      <c r="A63" s="10"/>
      <c r="B63" s="3366">
        <v>2000</v>
      </c>
      <c r="C63" s="3366">
        <v>500</v>
      </c>
      <c r="D63" s="3132" t="s">
        <v>43</v>
      </c>
      <c r="E63" s="54"/>
    </row>
    <row r="64" spans="1:14" x14ac:dyDescent="0.25">
      <c r="A64" s="10"/>
      <c r="B64" s="3366">
        <v>3000</v>
      </c>
      <c r="C64" s="3366">
        <v>3000</v>
      </c>
      <c r="D64" s="3132" t="s">
        <v>62</v>
      </c>
      <c r="E64" s="54"/>
    </row>
    <row r="65" spans="1:5" x14ac:dyDescent="0.25">
      <c r="A65" s="10"/>
      <c r="B65" s="3367"/>
      <c r="C65" s="3367"/>
      <c r="D65" s="3132" t="s">
        <v>45</v>
      </c>
      <c r="E65" s="54"/>
    </row>
    <row r="66" spans="1:5" x14ac:dyDescent="0.25">
      <c r="A66" s="10"/>
      <c r="B66" s="90"/>
      <c r="C66" s="90"/>
      <c r="D66" s="63"/>
      <c r="E66" s="54"/>
    </row>
    <row r="67" spans="1:5" x14ac:dyDescent="0.25">
      <c r="A67" s="10"/>
      <c r="B67" s="50" t="s">
        <v>14</v>
      </c>
      <c r="C67" s="50" t="s">
        <v>14</v>
      </c>
      <c r="D67" s="51"/>
      <c r="E67" s="64">
        <f>SUM(B69:B74)+SUM(C69:C74)</f>
        <v>1750000</v>
      </c>
    </row>
    <row r="68" spans="1:5" x14ac:dyDescent="0.25">
      <c r="A68" s="78"/>
      <c r="B68" s="53"/>
      <c r="C68" s="53"/>
      <c r="D68" s="12"/>
      <c r="E68" s="54"/>
    </row>
    <row r="69" spans="1:5" x14ac:dyDescent="0.25">
      <c r="A69" s="10"/>
      <c r="B69" s="62" t="s">
        <v>7</v>
      </c>
      <c r="C69" s="62"/>
      <c r="D69" s="12"/>
      <c r="E69" s="54"/>
    </row>
    <row r="70" spans="1:5" x14ac:dyDescent="0.25">
      <c r="A70" s="10"/>
      <c r="B70" s="62">
        <v>750000</v>
      </c>
      <c r="C70" s="62">
        <v>1000000</v>
      </c>
      <c r="D70" s="97" t="s">
        <v>73</v>
      </c>
      <c r="E70" s="54"/>
    </row>
    <row r="71" spans="1:5" x14ac:dyDescent="0.25">
      <c r="A71" s="10"/>
      <c r="B71" s="62"/>
      <c r="C71" s="62"/>
      <c r="D71" s="12"/>
      <c r="E71" s="54"/>
    </row>
    <row r="72" spans="1:5" x14ac:dyDescent="0.25">
      <c r="A72" s="10"/>
      <c r="B72" s="62"/>
      <c r="C72" s="62"/>
      <c r="D72" s="12"/>
      <c r="E72" s="54"/>
    </row>
    <row r="73" spans="1:5" x14ac:dyDescent="0.25">
      <c r="A73" s="10"/>
      <c r="B73" s="62"/>
      <c r="C73" s="62"/>
      <c r="D73" s="12"/>
      <c r="E73" s="54"/>
    </row>
    <row r="74" spans="1:5" x14ac:dyDescent="0.25">
      <c r="A74" s="10"/>
      <c r="B74" s="62" t="s">
        <v>7</v>
      </c>
      <c r="C74" s="62"/>
      <c r="D74" s="12"/>
      <c r="E74" s="54"/>
    </row>
    <row r="75" spans="1:5" x14ac:dyDescent="0.25">
      <c r="A75" s="10"/>
      <c r="B75" s="50" t="s">
        <v>15</v>
      </c>
      <c r="C75" s="50" t="s">
        <v>15</v>
      </c>
      <c r="D75" s="51"/>
      <c r="E75" s="64">
        <f>SUM(B77:B83)+SUM(C77:C83)</f>
        <v>30000</v>
      </c>
    </row>
    <row r="76" spans="1:5" x14ac:dyDescent="0.25">
      <c r="A76" s="10"/>
      <c r="B76" s="65"/>
      <c r="C76" s="65"/>
      <c r="D76" s="12"/>
      <c r="E76" s="54"/>
    </row>
    <row r="77" spans="1:5" x14ac:dyDescent="0.25">
      <c r="A77" s="41"/>
      <c r="B77" s="3352"/>
      <c r="C77" s="3352"/>
      <c r="D77" s="81"/>
      <c r="E77" s="54"/>
    </row>
    <row r="78" spans="1:5" x14ac:dyDescent="0.25">
      <c r="A78" s="41"/>
      <c r="B78" s="3353">
        <v>15000</v>
      </c>
      <c r="C78" s="3353">
        <v>15000</v>
      </c>
      <c r="D78" s="99" t="s">
        <v>74</v>
      </c>
      <c r="E78" s="54"/>
    </row>
    <row r="79" spans="1:5" x14ac:dyDescent="0.25">
      <c r="A79" s="41"/>
      <c r="B79" s="3352"/>
      <c r="C79" s="3352"/>
      <c r="D79" s="99" t="s">
        <v>75</v>
      </c>
      <c r="E79" s="54"/>
    </row>
    <row r="80" spans="1:5" x14ac:dyDescent="0.25">
      <c r="A80" s="41"/>
      <c r="B80" s="3352"/>
      <c r="C80" s="3352"/>
      <c r="D80" s="81"/>
      <c r="E80" s="54"/>
    </row>
    <row r="81" spans="1:5" x14ac:dyDescent="0.25">
      <c r="A81" s="41"/>
      <c r="B81" s="3352"/>
      <c r="C81" s="3352"/>
      <c r="D81" s="81"/>
      <c r="E81" s="54"/>
    </row>
    <row r="82" spans="1:5" x14ac:dyDescent="0.25">
      <c r="A82" s="10"/>
      <c r="B82" s="62"/>
      <c r="C82" s="62"/>
      <c r="D82" s="68"/>
      <c r="E82" s="54"/>
    </row>
    <row r="83" spans="1:5" x14ac:dyDescent="0.25">
      <c r="A83" s="10"/>
      <c r="B83" s="62"/>
      <c r="C83" s="62"/>
      <c r="D83" s="68"/>
      <c r="E83" s="54"/>
    </row>
    <row r="84" spans="1:5" x14ac:dyDescent="0.25">
      <c r="A84" s="10"/>
      <c r="B84" s="50" t="s">
        <v>16</v>
      </c>
      <c r="C84" s="50" t="s">
        <v>16</v>
      </c>
      <c r="D84" s="51"/>
      <c r="E84" s="64">
        <f>SUM(B86:B91)+SUM(C86:C91)</f>
        <v>350000</v>
      </c>
    </row>
    <row r="85" spans="1:5" x14ac:dyDescent="0.25">
      <c r="A85" s="41"/>
      <c r="B85" s="65"/>
      <c r="C85" s="65"/>
      <c r="D85" s="81"/>
      <c r="E85" s="54"/>
    </row>
    <row r="86" spans="1:5" x14ac:dyDescent="0.25">
      <c r="A86" s="41"/>
      <c r="B86" s="3352"/>
      <c r="C86" s="3352"/>
      <c r="D86" s="81"/>
      <c r="E86" s="54"/>
    </row>
    <row r="87" spans="1:5" x14ac:dyDescent="0.25">
      <c r="A87" s="41"/>
      <c r="B87" s="3353">
        <v>100000</v>
      </c>
      <c r="C87" s="3353">
        <v>250000</v>
      </c>
      <c r="D87" s="99" t="s">
        <v>76</v>
      </c>
      <c r="E87" s="54"/>
    </row>
    <row r="88" spans="1:5" x14ac:dyDescent="0.25">
      <c r="A88" s="41"/>
      <c r="B88" s="3352"/>
      <c r="C88" s="3352"/>
      <c r="D88" s="81"/>
      <c r="E88" s="54"/>
    </row>
    <row r="89" spans="1:5" x14ac:dyDescent="0.25">
      <c r="A89" s="41"/>
      <c r="B89" s="3352"/>
      <c r="C89" s="3352"/>
      <c r="D89" s="81"/>
      <c r="E89" s="54"/>
    </row>
    <row r="90" spans="1:5" x14ac:dyDescent="0.25">
      <c r="A90" s="41"/>
      <c r="B90" s="3352"/>
      <c r="C90" s="3352"/>
      <c r="D90" s="81"/>
      <c r="E90" s="54"/>
    </row>
    <row r="91" spans="1:5" x14ac:dyDescent="0.25">
      <c r="A91" s="10"/>
      <c r="B91" s="62"/>
      <c r="C91" s="62"/>
      <c r="D91" s="12"/>
      <c r="E91" s="54"/>
    </row>
    <row r="92" spans="1:5" ht="26.4" x14ac:dyDescent="0.25">
      <c r="A92" s="10"/>
      <c r="B92" s="50" t="s">
        <v>17</v>
      </c>
      <c r="C92" s="50" t="s">
        <v>17</v>
      </c>
      <c r="D92" s="12"/>
      <c r="E92" s="54"/>
    </row>
    <row r="93" spans="1:5" x14ac:dyDescent="0.25">
      <c r="A93" s="41"/>
      <c r="B93" s="65"/>
      <c r="C93" s="65"/>
      <c r="D93" s="81"/>
      <c r="E93" s="92"/>
    </row>
    <row r="94" spans="1:5" x14ac:dyDescent="0.25">
      <c r="A94" s="41"/>
      <c r="B94" s="76"/>
      <c r="C94" s="76"/>
      <c r="D94" s="81"/>
      <c r="E94" s="28"/>
    </row>
    <row r="95" spans="1:5" x14ac:dyDescent="0.25">
      <c r="A95" s="10"/>
      <c r="B95" s="60" t="s">
        <v>55</v>
      </c>
      <c r="C95" s="11"/>
      <c r="D95" s="12"/>
      <c r="E95" s="28"/>
    </row>
    <row r="96" spans="1:5" x14ac:dyDescent="0.25">
      <c r="A96" s="10"/>
      <c r="B96" s="60" t="s">
        <v>56</v>
      </c>
      <c r="C96" s="11"/>
      <c r="D96" s="12"/>
      <c r="E96" s="28"/>
    </row>
    <row r="97" spans="1:4" x14ac:dyDescent="0.25">
      <c r="A97" s="10"/>
      <c r="B97" s="60" t="s">
        <v>57</v>
      </c>
      <c r="C97" s="11"/>
      <c r="D97" s="12"/>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8" right="0.7" top="0.38" bottom="0.32" header="0.3" footer="0.3"/>
  <pageSetup paperSize="17" scale="55" orientation="landscape"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7"/>
  <sheetViews>
    <sheetView workbookViewId="0">
      <pane xSplit="1" ySplit="1" topLeftCell="B2" activePane="bottomRight" state="frozen"/>
      <selection pane="topRight" activeCell="B1" sqref="B1"/>
      <selection pane="bottomLeft" activeCell="A2" sqref="A2"/>
      <selection pane="bottomRight" activeCell="B15" sqref="B15:E15"/>
    </sheetView>
  </sheetViews>
  <sheetFormatPr defaultRowHeight="13.2" x14ac:dyDescent="0.25"/>
  <cols>
    <col min="1" max="1" width="15.6640625" customWidth="1"/>
    <col min="2" max="3" width="21.109375" customWidth="1"/>
    <col min="4" max="4" width="34.88671875" customWidth="1"/>
    <col min="5" max="13" width="19.6640625" customWidth="1"/>
    <col min="14" max="14" width="16.5546875" customWidth="1"/>
    <col min="15" max="15" width="19.33203125" customWidth="1"/>
  </cols>
  <sheetData>
    <row r="1" spans="1:15" ht="41.25" customHeight="1" x14ac:dyDescent="0.25"/>
    <row r="2" spans="1:15" ht="18" thickBot="1" x14ac:dyDescent="0.35">
      <c r="B2" s="1" t="s">
        <v>77</v>
      </c>
      <c r="D2" s="3" t="s">
        <v>66</v>
      </c>
    </row>
    <row r="3" spans="1:15" ht="15.6" thickBot="1" x14ac:dyDescent="0.3">
      <c r="B3" s="5" t="s">
        <v>5</v>
      </c>
      <c r="C3" s="6" t="s">
        <v>78</v>
      </c>
      <c r="D3" s="7">
        <v>18230439</v>
      </c>
    </row>
    <row r="6" spans="1:15" ht="13.8" thickBot="1" x14ac:dyDescent="0.3">
      <c r="A6" s="10"/>
      <c r="B6" s="11"/>
      <c r="C6" s="11"/>
      <c r="D6" s="12"/>
      <c r="E6" s="1454" t="s">
        <v>1286</v>
      </c>
      <c r="F6" s="11"/>
      <c r="G6" s="11"/>
      <c r="H6" s="11"/>
      <c r="I6" s="11"/>
      <c r="J6" s="11"/>
      <c r="K6" s="11"/>
      <c r="L6" s="11"/>
      <c r="M6" s="11"/>
      <c r="N6" s="11"/>
    </row>
    <row r="7" spans="1:15" s="19" customFormat="1" ht="39.6" x14ac:dyDescent="0.3">
      <c r="B7" s="3881"/>
      <c r="C7" s="11"/>
      <c r="D7" s="11"/>
      <c r="E7" s="14" t="s">
        <v>9</v>
      </c>
      <c r="F7" s="14" t="s">
        <v>10</v>
      </c>
      <c r="G7" s="14" t="s">
        <v>11</v>
      </c>
      <c r="H7" s="15" t="s">
        <v>12</v>
      </c>
      <c r="I7" s="16" t="s">
        <v>13</v>
      </c>
      <c r="J7" s="14" t="s">
        <v>14</v>
      </c>
      <c r="K7" s="14" t="s">
        <v>15</v>
      </c>
      <c r="L7" s="14" t="s">
        <v>16</v>
      </c>
      <c r="M7" s="14" t="s">
        <v>17</v>
      </c>
      <c r="N7" s="17" t="s">
        <v>18</v>
      </c>
      <c r="O7" s="18" t="s">
        <v>19</v>
      </c>
    </row>
    <row r="8" spans="1:15" s="27" customFormat="1" x14ac:dyDescent="0.25">
      <c r="A8" s="20"/>
      <c r="B8" s="21"/>
      <c r="C8" s="21"/>
      <c r="D8" s="22" t="s">
        <v>20</v>
      </c>
      <c r="E8" s="23"/>
      <c r="F8" s="23"/>
      <c r="G8" s="23"/>
      <c r="H8" s="23"/>
      <c r="I8" s="24"/>
      <c r="J8" s="23"/>
      <c r="K8" s="23"/>
      <c r="L8" s="23"/>
      <c r="M8" s="23"/>
      <c r="N8" s="25">
        <v>351400</v>
      </c>
      <c r="O8" s="26" t="s">
        <v>21</v>
      </c>
    </row>
    <row r="9" spans="1:15" s="27" customFormat="1" x14ac:dyDescent="0.25">
      <c r="A9" s="20"/>
      <c r="B9" s="21"/>
      <c r="C9" s="21"/>
      <c r="D9" s="22" t="s">
        <v>22</v>
      </c>
      <c r="E9" s="28">
        <v>40250</v>
      </c>
      <c r="F9" s="28">
        <v>0</v>
      </c>
      <c r="G9" s="28">
        <v>25357.5</v>
      </c>
      <c r="H9" s="28">
        <v>8000</v>
      </c>
      <c r="I9" s="28">
        <v>5600</v>
      </c>
      <c r="J9" s="28">
        <v>513000</v>
      </c>
      <c r="K9" s="28">
        <v>1500</v>
      </c>
      <c r="L9" s="28">
        <v>1800</v>
      </c>
      <c r="M9" s="28">
        <v>25500</v>
      </c>
      <c r="N9" s="89">
        <v>621007.5</v>
      </c>
      <c r="O9" s="30">
        <f>(N9-N8)/N8</f>
        <v>0.76723819009675587</v>
      </c>
    </row>
    <row r="10" spans="1:15" s="95" customFormat="1" x14ac:dyDescent="0.25">
      <c r="A10" s="20"/>
      <c r="B10" s="21"/>
      <c r="C10" s="21"/>
      <c r="D10" s="21">
        <v>2012</v>
      </c>
      <c r="E10" s="31">
        <f>SUM(B24:B26)</f>
        <v>23000</v>
      </c>
      <c r="F10" s="31">
        <f>SUM(B30:B33)</f>
        <v>0</v>
      </c>
      <c r="G10" s="31">
        <f>(E10+F10)*0.63</f>
        <v>14490</v>
      </c>
      <c r="H10" s="31">
        <f>SUM(B45:B50)</f>
        <v>0</v>
      </c>
      <c r="I10" s="32">
        <f>SUM(B61:B66)</f>
        <v>0</v>
      </c>
      <c r="J10" s="31">
        <f>SUM(B68:B74)</f>
        <v>0</v>
      </c>
      <c r="K10" s="31">
        <f>SUM(B76:B83)</f>
        <v>0</v>
      </c>
      <c r="L10" s="31">
        <f>SUM(B85:B91)</f>
        <v>0</v>
      </c>
      <c r="M10" s="33">
        <f>B93</f>
        <v>0</v>
      </c>
      <c r="N10" s="35">
        <f>SUM(E10:M10)</f>
        <v>37490</v>
      </c>
      <c r="O10" s="30">
        <f>(N10-N9)/N9</f>
        <v>-0.9396303587315773</v>
      </c>
    </row>
    <row r="11" spans="1:15" s="95" customFormat="1" x14ac:dyDescent="0.25">
      <c r="A11" s="20"/>
      <c r="B11" s="21"/>
      <c r="C11" s="21"/>
      <c r="D11" s="21">
        <v>2013</v>
      </c>
      <c r="E11" s="31">
        <f>SUM(C24:C26)</f>
        <v>24000</v>
      </c>
      <c r="F11" s="31">
        <f>SUM(C30:C33)</f>
        <v>0</v>
      </c>
      <c r="G11" s="31">
        <f>(E11+F11)*0.63</f>
        <v>15120</v>
      </c>
      <c r="H11" s="31">
        <f>SUM(C45:C50)</f>
        <v>0</v>
      </c>
      <c r="I11" s="32">
        <f>SUM(C61:C66)</f>
        <v>0</v>
      </c>
      <c r="J11" s="31">
        <f>SUM(C68:C74)</f>
        <v>0</v>
      </c>
      <c r="K11" s="31">
        <f>SUM(C76:C83)</f>
        <v>0</v>
      </c>
      <c r="L11" s="31">
        <f>SUM(C85:C91)</f>
        <v>0</v>
      </c>
      <c r="M11" s="33">
        <f>C93</f>
        <v>0</v>
      </c>
      <c r="N11" s="35">
        <f>SUM(E11:M11)</f>
        <v>39120</v>
      </c>
      <c r="O11" s="96">
        <f>(N11-N10)/N10</f>
        <v>4.3478260869565216E-2</v>
      </c>
    </row>
    <row r="12" spans="1:15" ht="13.8" thickBot="1" x14ac:dyDescent="0.3">
      <c r="A12" s="10"/>
      <c r="B12" s="36"/>
      <c r="C12" s="36"/>
      <c r="D12" s="37" t="s">
        <v>23</v>
      </c>
      <c r="E12" s="38">
        <f>SUM(E10:E11)</f>
        <v>47000</v>
      </c>
      <c r="F12" s="38">
        <f t="shared" ref="F12:M12" si="0">SUM(F10:F11)</f>
        <v>0</v>
      </c>
      <c r="G12" s="38">
        <f>SUM(G10:G11)</f>
        <v>29610</v>
      </c>
      <c r="H12" s="38">
        <f t="shared" si="0"/>
        <v>0</v>
      </c>
      <c r="I12" s="38">
        <f t="shared" si="0"/>
        <v>0</v>
      </c>
      <c r="J12" s="38">
        <f t="shared" si="0"/>
        <v>0</v>
      </c>
      <c r="K12" s="38">
        <f t="shared" si="0"/>
        <v>0</v>
      </c>
      <c r="L12" s="38">
        <f t="shared" si="0"/>
        <v>0</v>
      </c>
      <c r="M12" s="39">
        <f t="shared" si="0"/>
        <v>0</v>
      </c>
      <c r="N12" s="40">
        <f>SUM(N10:N11)</f>
        <v>76610</v>
      </c>
    </row>
    <row r="13" spans="1:15" ht="26.4" x14ac:dyDescent="0.25">
      <c r="A13" s="10"/>
      <c r="B13" s="11"/>
      <c r="C13" s="11"/>
      <c r="D13" s="12"/>
      <c r="E13" s="28"/>
      <c r="F13" s="11"/>
      <c r="G13" s="11"/>
      <c r="H13" s="11"/>
      <c r="I13" s="11"/>
      <c r="J13" s="11"/>
      <c r="K13" s="11"/>
      <c r="L13" s="11"/>
      <c r="M13" s="10" t="s">
        <v>24</v>
      </c>
      <c r="N13" s="11"/>
    </row>
    <row r="14" spans="1:15" x14ac:dyDescent="0.25">
      <c r="A14" s="10"/>
      <c r="B14" s="11"/>
      <c r="C14" s="11"/>
      <c r="D14" s="12"/>
      <c r="E14" s="28"/>
      <c r="F14" s="11"/>
      <c r="G14" s="11"/>
      <c r="H14" s="11"/>
      <c r="I14" s="11"/>
      <c r="J14" s="11"/>
      <c r="K14" s="11"/>
      <c r="L14" s="11"/>
      <c r="M14" s="10" t="s">
        <v>25</v>
      </c>
      <c r="N14" s="11"/>
    </row>
    <row r="15" spans="1:15" ht="15.6" x14ac:dyDescent="0.3">
      <c r="A15" s="10"/>
      <c r="B15" s="4803" t="s">
        <v>26</v>
      </c>
      <c r="C15" s="4804"/>
      <c r="D15" s="4804"/>
      <c r="E15" s="4805"/>
      <c r="F15" s="1448"/>
      <c r="G15" s="1448"/>
      <c r="H15" s="11"/>
      <c r="I15" s="11"/>
      <c r="J15" s="11"/>
      <c r="K15" s="11"/>
      <c r="L15" s="11"/>
      <c r="M15" s="11"/>
      <c r="N15" s="11"/>
    </row>
    <row r="16" spans="1:15" ht="15.6" x14ac:dyDescent="0.3">
      <c r="A16" s="41"/>
      <c r="B16" s="42"/>
      <c r="C16" s="43"/>
      <c r="D16" s="43"/>
      <c r="E16" s="43"/>
      <c r="F16" s="43"/>
      <c r="G16" s="43"/>
      <c r="H16" s="44"/>
      <c r="I16" s="44"/>
      <c r="J16" s="44"/>
      <c r="K16" s="44"/>
      <c r="L16" s="44"/>
      <c r="M16" s="44"/>
      <c r="N16" s="44"/>
    </row>
    <row r="17" spans="1:14" ht="15.6" x14ac:dyDescent="0.3">
      <c r="A17" s="41"/>
      <c r="B17" s="43"/>
      <c r="C17" s="43"/>
      <c r="D17" s="43"/>
      <c r="E17" s="43"/>
      <c r="F17" s="43"/>
      <c r="G17" s="43"/>
      <c r="H17" s="44"/>
      <c r="I17" s="44"/>
      <c r="J17" s="44"/>
      <c r="K17" s="44"/>
      <c r="L17" s="44"/>
      <c r="M17" s="44"/>
      <c r="N17" s="44"/>
    </row>
    <row r="18" spans="1:14" ht="15.6" x14ac:dyDescent="0.3">
      <c r="A18" s="10"/>
      <c r="B18" s="4800" t="s">
        <v>27</v>
      </c>
      <c r="C18" s="4800"/>
      <c r="D18" s="45" t="s">
        <v>28</v>
      </c>
      <c r="E18" s="46" t="s">
        <v>29</v>
      </c>
      <c r="F18" s="11"/>
      <c r="G18" s="11"/>
      <c r="H18" s="11"/>
      <c r="I18" s="11"/>
      <c r="J18" s="11"/>
      <c r="K18" s="11"/>
      <c r="L18" s="11"/>
      <c r="M18" s="11"/>
      <c r="N18" s="11"/>
    </row>
    <row r="19" spans="1:14" ht="15.6" x14ac:dyDescent="0.3">
      <c r="A19" s="10"/>
      <c r="B19" s="4780" t="s">
        <v>30</v>
      </c>
      <c r="C19" s="4780"/>
      <c r="D19" s="45"/>
      <c r="E19" s="46"/>
      <c r="F19" s="11"/>
      <c r="G19" s="11"/>
    </row>
    <row r="20" spans="1:14" ht="46.8" x14ac:dyDescent="0.3">
      <c r="A20" s="10"/>
      <c r="B20" s="47">
        <v>2012</v>
      </c>
      <c r="C20" s="47">
        <v>2013</v>
      </c>
      <c r="D20" s="48" t="s">
        <v>31</v>
      </c>
      <c r="E20" s="49" t="s">
        <v>32</v>
      </c>
      <c r="F20" s="11"/>
      <c r="G20" s="11"/>
    </row>
    <row r="21" spans="1:14" x14ac:dyDescent="0.25">
      <c r="A21" s="10"/>
      <c r="B21" s="50" t="s">
        <v>9</v>
      </c>
      <c r="C21" s="50" t="s">
        <v>9</v>
      </c>
      <c r="D21" s="51"/>
      <c r="E21" s="52">
        <f>SUM(B24:B26)+SUM(C24:C26)</f>
        <v>47000</v>
      </c>
      <c r="F21" s="11"/>
      <c r="G21" s="11"/>
    </row>
    <row r="22" spans="1:14" s="55" customFormat="1" x14ac:dyDescent="0.25">
      <c r="A22" s="10"/>
      <c r="B22" s="53"/>
      <c r="C22" s="53"/>
      <c r="D22" s="12"/>
      <c r="E22" s="54"/>
      <c r="F22" s="11"/>
      <c r="G22" s="11"/>
      <c r="H22"/>
      <c r="I22"/>
      <c r="J22"/>
      <c r="K22"/>
      <c r="L22"/>
      <c r="M22"/>
      <c r="N22"/>
    </row>
    <row r="23" spans="1:14" x14ac:dyDescent="0.25">
      <c r="A23" s="10"/>
      <c r="B23" s="56" t="s">
        <v>33</v>
      </c>
      <c r="C23" s="56" t="s">
        <v>33</v>
      </c>
      <c r="D23" s="97"/>
      <c r="E23" s="54"/>
      <c r="F23" s="58" t="s">
        <v>7</v>
      </c>
      <c r="G23" s="11"/>
    </row>
    <row r="24" spans="1:14" x14ac:dyDescent="0.25">
      <c r="A24" s="10"/>
      <c r="B24" s="3918"/>
      <c r="C24" s="59"/>
      <c r="D24" s="97" t="s">
        <v>68</v>
      </c>
      <c r="E24" s="54"/>
      <c r="F24" s="61"/>
      <c r="G24" s="11"/>
    </row>
    <row r="25" spans="1:14" x14ac:dyDescent="0.25">
      <c r="A25" s="10"/>
      <c r="B25" s="62">
        <v>23000</v>
      </c>
      <c r="C25" s="62">
        <v>24000</v>
      </c>
      <c r="D25" s="97" t="s">
        <v>79</v>
      </c>
      <c r="E25" s="54"/>
      <c r="F25" s="11"/>
      <c r="G25" s="11"/>
    </row>
    <row r="26" spans="1:14" ht="21" customHeight="1" x14ac:dyDescent="0.25">
      <c r="A26" s="10"/>
      <c r="B26" s="62"/>
      <c r="C26" s="62"/>
      <c r="D26" s="12"/>
      <c r="E26" s="54"/>
      <c r="F26" s="11"/>
      <c r="G26" s="11"/>
    </row>
    <row r="27" spans="1:14" s="55" customFormat="1" ht="21" customHeight="1" x14ac:dyDescent="0.25">
      <c r="A27" s="41"/>
      <c r="B27" s="50" t="s">
        <v>10</v>
      </c>
      <c r="C27" s="50" t="s">
        <v>10</v>
      </c>
      <c r="D27" s="51"/>
      <c r="E27" s="64">
        <f>SUM(B30:B33)+SUM(C30:C33)</f>
        <v>0</v>
      </c>
      <c r="F27" s="44"/>
      <c r="G27" s="44"/>
    </row>
    <row r="28" spans="1:14" x14ac:dyDescent="0.25">
      <c r="A28" s="10"/>
      <c r="B28" s="65"/>
      <c r="C28" s="65"/>
      <c r="D28" s="66"/>
      <c r="E28" s="54"/>
      <c r="F28" s="11"/>
      <c r="G28" s="11"/>
    </row>
    <row r="29" spans="1:14" x14ac:dyDescent="0.25">
      <c r="A29" s="41"/>
      <c r="B29" s="56" t="s">
        <v>33</v>
      </c>
      <c r="C29" s="56" t="s">
        <v>33</v>
      </c>
      <c r="D29" s="66"/>
      <c r="E29" s="54"/>
      <c r="F29" s="44"/>
      <c r="G29" s="44"/>
    </row>
    <row r="30" spans="1:14" x14ac:dyDescent="0.25">
      <c r="A30" s="10"/>
      <c r="B30" s="60"/>
      <c r="C30" s="69"/>
      <c r="D30" s="68"/>
      <c r="E30" s="54"/>
      <c r="F30" s="11"/>
      <c r="G30" s="11"/>
    </row>
    <row r="31" spans="1:14" x14ac:dyDescent="0.25">
      <c r="A31" s="10"/>
      <c r="B31" s="69"/>
      <c r="C31" s="69"/>
      <c r="D31" s="68"/>
      <c r="E31" s="54"/>
      <c r="F31" s="11"/>
      <c r="G31" s="11"/>
    </row>
    <row r="32" spans="1:14" x14ac:dyDescent="0.25">
      <c r="A32" s="10"/>
      <c r="B32" s="36"/>
      <c r="C32" s="36"/>
      <c r="D32" s="68"/>
      <c r="E32" s="54"/>
      <c r="F32" s="11"/>
      <c r="G32" s="11"/>
    </row>
    <row r="33" spans="1:14" x14ac:dyDescent="0.25">
      <c r="A33" s="10"/>
      <c r="B33" s="36"/>
      <c r="C33" s="36"/>
      <c r="D33" s="68"/>
      <c r="E33" s="54"/>
      <c r="F33" s="11"/>
      <c r="G33" s="11"/>
    </row>
    <row r="34" spans="1:14" x14ac:dyDescent="0.25">
      <c r="A34" s="10"/>
      <c r="B34" s="50" t="s">
        <v>11</v>
      </c>
      <c r="C34" s="50" t="s">
        <v>11</v>
      </c>
      <c r="D34" s="51"/>
      <c r="E34" s="64">
        <f>E21*0.63</f>
        <v>29610</v>
      </c>
      <c r="F34" s="11"/>
      <c r="G34" s="11"/>
    </row>
    <row r="35" spans="1:14" x14ac:dyDescent="0.25">
      <c r="A35" s="10"/>
      <c r="B35" s="53"/>
      <c r="C35" s="53"/>
      <c r="D35" s="12"/>
      <c r="E35" s="70"/>
      <c r="F35" s="11"/>
      <c r="G35" s="11"/>
    </row>
    <row r="36" spans="1:14" x14ac:dyDescent="0.25">
      <c r="A36" s="71"/>
      <c r="B36" s="72" t="s">
        <v>38</v>
      </c>
      <c r="C36" s="72" t="s">
        <v>38</v>
      </c>
      <c r="D36" s="57" t="s">
        <v>7</v>
      </c>
      <c r="E36" s="54"/>
      <c r="F36" s="73"/>
    </row>
    <row r="37" spans="1:14" x14ac:dyDescent="0.25">
      <c r="A37" s="10"/>
      <c r="B37" s="36"/>
      <c r="C37" s="36"/>
      <c r="D37" s="68" t="s">
        <v>7</v>
      </c>
      <c r="E37" s="54"/>
      <c r="F37" s="11"/>
    </row>
    <row r="38" spans="1:14" s="55" customFormat="1" x14ac:dyDescent="0.25">
      <c r="A38" s="41"/>
      <c r="B38" s="50" t="s">
        <v>39</v>
      </c>
      <c r="C38" s="50" t="s">
        <v>39</v>
      </c>
      <c r="D38" s="51"/>
      <c r="E38" s="64">
        <f>SUM(B40:B42)+SUM(C40:C42)</f>
        <v>0</v>
      </c>
      <c r="F38" s="44"/>
      <c r="G38"/>
      <c r="H38"/>
      <c r="I38"/>
      <c r="J38"/>
      <c r="K38"/>
      <c r="L38"/>
      <c r="M38"/>
      <c r="N38"/>
    </row>
    <row r="39" spans="1:14" x14ac:dyDescent="0.25">
      <c r="A39" s="10"/>
      <c r="B39" s="65"/>
      <c r="C39" s="65"/>
      <c r="D39" s="66"/>
      <c r="E39" s="54"/>
      <c r="F39" s="11"/>
    </row>
    <row r="40" spans="1:14" x14ac:dyDescent="0.25">
      <c r="A40" s="10"/>
      <c r="B40" s="11"/>
      <c r="C40" s="69"/>
      <c r="D40" s="68"/>
      <c r="E40" s="54"/>
      <c r="F40" s="11"/>
    </row>
    <row r="41" spans="1:14" x14ac:dyDescent="0.25">
      <c r="A41" s="10"/>
      <c r="B41" s="36"/>
      <c r="C41" s="36"/>
      <c r="D41" s="68"/>
      <c r="E41" s="54"/>
      <c r="F41" s="11"/>
    </row>
    <row r="42" spans="1:14" x14ac:dyDescent="0.25">
      <c r="A42" s="10"/>
      <c r="B42" s="36"/>
      <c r="C42" s="36"/>
      <c r="D42" s="68"/>
      <c r="E42" s="54"/>
      <c r="F42" s="11"/>
    </row>
    <row r="43" spans="1:14" x14ac:dyDescent="0.25">
      <c r="A43" s="10"/>
      <c r="B43" s="50" t="s">
        <v>12</v>
      </c>
      <c r="C43" s="50" t="s">
        <v>12</v>
      </c>
      <c r="D43" s="51"/>
      <c r="E43" s="64">
        <f>SUM(B45:B50)+SUM(C45:C50)</f>
        <v>0</v>
      </c>
      <c r="F43" s="11"/>
      <c r="G43" s="55"/>
      <c r="H43" s="55"/>
      <c r="I43" s="55"/>
      <c r="J43" s="55"/>
      <c r="K43" s="55"/>
      <c r="L43" s="55"/>
      <c r="M43" s="55"/>
      <c r="N43" s="55"/>
    </row>
    <row r="44" spans="1:14" x14ac:dyDescent="0.25">
      <c r="A44" s="10"/>
      <c r="B44" s="74"/>
      <c r="C44" s="74"/>
      <c r="D44" s="68"/>
      <c r="E44" s="54"/>
      <c r="F44" s="11"/>
    </row>
    <row r="45" spans="1:14" x14ac:dyDescent="0.25">
      <c r="A45" s="10"/>
      <c r="B45" s="36"/>
      <c r="C45" s="36"/>
      <c r="D45" s="68"/>
      <c r="E45" s="54"/>
      <c r="F45" s="11"/>
    </row>
    <row r="46" spans="1:14" x14ac:dyDescent="0.25">
      <c r="A46" s="10"/>
      <c r="B46" s="36"/>
      <c r="C46" s="36"/>
      <c r="D46" s="68"/>
      <c r="E46" s="54"/>
      <c r="F46" s="11"/>
    </row>
    <row r="47" spans="1:14" x14ac:dyDescent="0.25">
      <c r="A47" s="10"/>
      <c r="B47" s="36"/>
      <c r="C47" s="36"/>
      <c r="D47" s="68"/>
      <c r="E47" s="54"/>
      <c r="F47" s="11"/>
    </row>
    <row r="48" spans="1:14" x14ac:dyDescent="0.25">
      <c r="A48" s="10"/>
      <c r="B48" s="36"/>
      <c r="C48" s="36"/>
      <c r="D48" s="68"/>
      <c r="E48" s="54"/>
      <c r="F48" s="11"/>
    </row>
    <row r="49" spans="1:14" x14ac:dyDescent="0.25">
      <c r="A49" s="10"/>
      <c r="B49" s="36"/>
      <c r="C49" s="36"/>
      <c r="D49" s="68"/>
      <c r="E49" s="54"/>
      <c r="F49" s="11"/>
    </row>
    <row r="50" spans="1:14" x14ac:dyDescent="0.25">
      <c r="A50" s="10"/>
      <c r="B50" s="36"/>
      <c r="C50" s="36"/>
      <c r="D50" s="68"/>
      <c r="E50" s="54"/>
      <c r="F50" s="11"/>
    </row>
    <row r="51" spans="1:14" x14ac:dyDescent="0.25">
      <c r="A51" s="10"/>
      <c r="B51" s="50" t="s">
        <v>40</v>
      </c>
      <c r="C51" s="50" t="s">
        <v>40</v>
      </c>
      <c r="D51" s="51"/>
      <c r="E51" s="64">
        <f>SUM(B53:B58)+SUM(C53:C58)</f>
        <v>0</v>
      </c>
      <c r="F51" s="11"/>
    </row>
    <row r="52" spans="1:14" x14ac:dyDescent="0.25">
      <c r="A52" s="10"/>
      <c r="B52" s="65"/>
      <c r="C52" s="65"/>
      <c r="D52" s="11"/>
      <c r="E52" s="75"/>
      <c r="F52" s="11"/>
    </row>
    <row r="53" spans="1:14" x14ac:dyDescent="0.25">
      <c r="A53" s="10"/>
      <c r="B53" s="76"/>
      <c r="C53" s="76"/>
      <c r="D53" s="11"/>
      <c r="E53" s="75"/>
      <c r="F53" s="11"/>
    </row>
    <row r="54" spans="1:14" s="55" customFormat="1" x14ac:dyDescent="0.25">
      <c r="A54" s="10"/>
      <c r="B54" s="76"/>
      <c r="C54" s="76"/>
      <c r="D54" s="11"/>
      <c r="E54" s="75"/>
      <c r="F54"/>
      <c r="G54"/>
      <c r="H54"/>
      <c r="I54"/>
      <c r="J54"/>
      <c r="K54"/>
      <c r="L54"/>
      <c r="M54"/>
      <c r="N54"/>
    </row>
    <row r="55" spans="1:14" x14ac:dyDescent="0.25">
      <c r="A55" s="10"/>
      <c r="B55" s="76"/>
      <c r="C55" s="76"/>
      <c r="D55" s="11"/>
      <c r="E55" s="75"/>
    </row>
    <row r="56" spans="1:14" x14ac:dyDescent="0.25">
      <c r="A56" s="10"/>
      <c r="B56" s="76"/>
      <c r="C56" s="76"/>
      <c r="D56" s="11"/>
      <c r="E56" s="75"/>
    </row>
    <row r="57" spans="1:14" x14ac:dyDescent="0.25">
      <c r="A57" s="10"/>
      <c r="B57" s="11"/>
      <c r="C57" s="11"/>
      <c r="D57" s="11"/>
      <c r="E57" s="75"/>
    </row>
    <row r="58" spans="1:14" x14ac:dyDescent="0.25">
      <c r="A58" s="10"/>
      <c r="B58" s="11"/>
      <c r="C58" s="11"/>
      <c r="D58" s="12"/>
      <c r="E58" s="54"/>
    </row>
    <row r="59" spans="1:14" x14ac:dyDescent="0.25">
      <c r="A59" s="10"/>
      <c r="B59" s="50" t="s">
        <v>13</v>
      </c>
      <c r="C59" s="50" t="s">
        <v>13</v>
      </c>
      <c r="D59" s="51"/>
      <c r="E59" s="64">
        <f>SUM(B61:B66)+SUM(C61:C66)</f>
        <v>0</v>
      </c>
    </row>
    <row r="60" spans="1:14" x14ac:dyDescent="0.25">
      <c r="A60" s="10"/>
      <c r="B60" s="53"/>
      <c r="C60" s="53"/>
      <c r="D60" s="12"/>
      <c r="E60" s="54"/>
    </row>
    <row r="61" spans="1:14" x14ac:dyDescent="0.25">
      <c r="A61" s="10"/>
      <c r="B61" s="11"/>
      <c r="C61" s="11"/>
      <c r="D61" s="63" t="s">
        <v>72</v>
      </c>
      <c r="E61" s="54"/>
    </row>
    <row r="62" spans="1:14" x14ac:dyDescent="0.25">
      <c r="A62" s="10"/>
      <c r="B62" s="11" t="s">
        <v>7</v>
      </c>
      <c r="C62" s="11"/>
      <c r="D62" s="63" t="s">
        <v>42</v>
      </c>
      <c r="E62" s="54"/>
    </row>
    <row r="63" spans="1:14" x14ac:dyDescent="0.25">
      <c r="A63" s="10"/>
      <c r="B63" s="11"/>
      <c r="C63" s="11"/>
      <c r="D63" s="63" t="s">
        <v>43</v>
      </c>
      <c r="E63" s="54"/>
    </row>
    <row r="64" spans="1:14" x14ac:dyDescent="0.25">
      <c r="A64" s="10"/>
      <c r="B64" s="11"/>
      <c r="C64" s="11"/>
      <c r="D64" s="63" t="s">
        <v>62</v>
      </c>
      <c r="E64" s="54"/>
    </row>
    <row r="65" spans="1:5" x14ac:dyDescent="0.25">
      <c r="A65" s="10"/>
      <c r="B65" s="90"/>
      <c r="C65" s="90"/>
      <c r="D65" s="63" t="s">
        <v>45</v>
      </c>
      <c r="E65" s="54"/>
    </row>
    <row r="66" spans="1:5" x14ac:dyDescent="0.25">
      <c r="A66" s="10"/>
      <c r="B66" s="90"/>
      <c r="C66" s="90"/>
      <c r="D66" s="63"/>
      <c r="E66" s="54"/>
    </row>
    <row r="67" spans="1:5" x14ac:dyDescent="0.25">
      <c r="A67" s="10"/>
      <c r="B67" s="50" t="s">
        <v>14</v>
      </c>
      <c r="C67" s="50" t="s">
        <v>14</v>
      </c>
      <c r="D67" s="51"/>
      <c r="E67" s="64">
        <f>SUM(B69:B74)+SUM(C69:C74)</f>
        <v>0</v>
      </c>
    </row>
    <row r="68" spans="1:5" x14ac:dyDescent="0.25">
      <c r="A68" s="78"/>
      <c r="B68" s="53"/>
      <c r="C68" s="53"/>
      <c r="D68" s="12"/>
      <c r="E68" s="54"/>
    </row>
    <row r="69" spans="1:5" x14ac:dyDescent="0.25">
      <c r="A69" s="10"/>
      <c r="B69" s="11" t="s">
        <v>7</v>
      </c>
      <c r="C69" s="11"/>
      <c r="D69" s="12"/>
      <c r="E69" s="54"/>
    </row>
    <row r="70" spans="1:5" x14ac:dyDescent="0.25">
      <c r="A70" s="10"/>
      <c r="B70" s="11"/>
      <c r="C70" s="11"/>
      <c r="D70" s="12"/>
      <c r="E70" s="54"/>
    </row>
    <row r="71" spans="1:5" x14ac:dyDescent="0.25">
      <c r="A71" s="10"/>
      <c r="B71" s="11"/>
      <c r="C71" s="11"/>
      <c r="D71" s="12"/>
      <c r="E71" s="54"/>
    </row>
    <row r="72" spans="1:5" x14ac:dyDescent="0.25">
      <c r="A72" s="10"/>
      <c r="B72" s="11"/>
      <c r="C72" s="11"/>
      <c r="D72" s="12"/>
      <c r="E72" s="54"/>
    </row>
    <row r="73" spans="1:5" x14ac:dyDescent="0.25">
      <c r="A73" s="10"/>
      <c r="B73" s="11"/>
      <c r="C73" s="11"/>
      <c r="D73" s="12"/>
      <c r="E73" s="54"/>
    </row>
    <row r="74" spans="1:5" x14ac:dyDescent="0.25">
      <c r="A74" s="10"/>
      <c r="B74" s="11" t="s">
        <v>7</v>
      </c>
      <c r="C74" s="11"/>
      <c r="D74" s="12"/>
      <c r="E74" s="54"/>
    </row>
    <row r="75" spans="1:5" x14ac:dyDescent="0.25">
      <c r="A75" s="10"/>
      <c r="B75" s="50" t="s">
        <v>15</v>
      </c>
      <c r="C75" s="50" t="s">
        <v>15</v>
      </c>
      <c r="D75" s="51"/>
      <c r="E75" s="64">
        <f>SUM(B77:B83)+SUM(C77:C83)</f>
        <v>0</v>
      </c>
    </row>
    <row r="76" spans="1:5" x14ac:dyDescent="0.25">
      <c r="A76" s="10"/>
      <c r="B76" s="65"/>
      <c r="C76" s="65"/>
      <c r="D76" s="12"/>
      <c r="E76" s="54"/>
    </row>
    <row r="77" spans="1:5" x14ac:dyDescent="0.25">
      <c r="A77" s="41"/>
      <c r="B77" s="76"/>
      <c r="C77" s="76"/>
      <c r="D77" s="81"/>
      <c r="E77" s="54"/>
    </row>
    <row r="78" spans="1:5" x14ac:dyDescent="0.25">
      <c r="A78" s="41"/>
      <c r="B78" s="76"/>
      <c r="C78" s="76"/>
      <c r="D78" s="81"/>
      <c r="E78" s="54"/>
    </row>
    <row r="79" spans="1:5" x14ac:dyDescent="0.25">
      <c r="A79" s="41"/>
      <c r="B79" s="76"/>
      <c r="C79" s="76"/>
      <c r="D79" s="81"/>
      <c r="E79" s="54"/>
    </row>
    <row r="80" spans="1:5" x14ac:dyDescent="0.25">
      <c r="A80" s="41"/>
      <c r="B80" s="76"/>
      <c r="C80" s="76"/>
      <c r="D80" s="81"/>
      <c r="E80" s="54"/>
    </row>
    <row r="81" spans="1:5" x14ac:dyDescent="0.25">
      <c r="A81" s="41"/>
      <c r="B81" s="76"/>
      <c r="C81" s="76"/>
      <c r="D81" s="81"/>
      <c r="E81" s="54"/>
    </row>
    <row r="82" spans="1:5" x14ac:dyDescent="0.25">
      <c r="A82" s="10"/>
      <c r="B82" s="11"/>
      <c r="C82" s="11"/>
      <c r="D82" s="68"/>
      <c r="E82" s="54"/>
    </row>
    <row r="83" spans="1:5" x14ac:dyDescent="0.25">
      <c r="A83" s="10"/>
      <c r="B83" s="11"/>
      <c r="C83" s="11"/>
      <c r="D83" s="68"/>
      <c r="E83" s="54"/>
    </row>
    <row r="84" spans="1:5" x14ac:dyDescent="0.25">
      <c r="A84" s="10"/>
      <c r="B84" s="50" t="s">
        <v>16</v>
      </c>
      <c r="C84" s="50" t="s">
        <v>16</v>
      </c>
      <c r="D84" s="51"/>
      <c r="E84" s="64">
        <f>SUM(B86:B91)+SUM(C86:C91)</f>
        <v>0</v>
      </c>
    </row>
    <row r="85" spans="1:5" x14ac:dyDescent="0.25">
      <c r="A85" s="41"/>
      <c r="B85" s="65"/>
      <c r="C85" s="65"/>
      <c r="D85" s="81"/>
      <c r="E85" s="54"/>
    </row>
    <row r="86" spans="1:5" x14ac:dyDescent="0.25">
      <c r="A86" s="41"/>
      <c r="B86" s="76"/>
      <c r="C86" s="76"/>
      <c r="D86" s="81"/>
      <c r="E86" s="54"/>
    </row>
    <row r="87" spans="1:5" x14ac:dyDescent="0.25">
      <c r="A87" s="41"/>
      <c r="B87" s="76"/>
      <c r="C87" s="76"/>
      <c r="D87" s="81"/>
      <c r="E87" s="54"/>
    </row>
    <row r="88" spans="1:5" x14ac:dyDescent="0.25">
      <c r="A88" s="41"/>
      <c r="B88" s="76"/>
      <c r="C88" s="76"/>
      <c r="D88" s="81"/>
      <c r="E88" s="54"/>
    </row>
    <row r="89" spans="1:5" x14ac:dyDescent="0.25">
      <c r="A89" s="41"/>
      <c r="B89" s="76"/>
      <c r="C89" s="76"/>
      <c r="D89" s="81"/>
      <c r="E89" s="54"/>
    </row>
    <row r="90" spans="1:5" x14ac:dyDescent="0.25">
      <c r="A90" s="41"/>
      <c r="B90" s="76"/>
      <c r="C90" s="76"/>
      <c r="D90" s="81"/>
      <c r="E90" s="54"/>
    </row>
    <row r="91" spans="1:5" x14ac:dyDescent="0.25">
      <c r="A91" s="10"/>
      <c r="B91" s="11"/>
      <c r="C91" s="11"/>
      <c r="D91" s="12"/>
      <c r="E91" s="54"/>
    </row>
    <row r="92" spans="1:5" ht="26.4" x14ac:dyDescent="0.25">
      <c r="A92" s="10"/>
      <c r="B92" s="50" t="s">
        <v>17</v>
      </c>
      <c r="C92" s="50" t="s">
        <v>17</v>
      </c>
      <c r="D92" s="12"/>
      <c r="E92" s="54"/>
    </row>
    <row r="93" spans="1:5" x14ac:dyDescent="0.25">
      <c r="A93" s="41"/>
      <c r="B93" s="65"/>
      <c r="C93" s="65"/>
      <c r="D93" s="81"/>
      <c r="E93" s="92"/>
    </row>
    <row r="94" spans="1:5" x14ac:dyDescent="0.25">
      <c r="A94" s="41"/>
      <c r="B94" s="76"/>
      <c r="C94" s="76"/>
      <c r="D94" s="81"/>
      <c r="E94" s="28"/>
    </row>
    <row r="95" spans="1:5" x14ac:dyDescent="0.25">
      <c r="A95" s="10"/>
      <c r="B95" s="60" t="s">
        <v>55</v>
      </c>
      <c r="C95" s="11"/>
      <c r="D95" s="12"/>
      <c r="E95" s="28"/>
    </row>
    <row r="96" spans="1:5" x14ac:dyDescent="0.25">
      <c r="A96" s="10"/>
      <c r="B96" s="60" t="s">
        <v>56</v>
      </c>
      <c r="C96" s="11"/>
      <c r="D96" s="12"/>
      <c r="E96" s="28"/>
    </row>
    <row r="97" spans="1:4" x14ac:dyDescent="0.25">
      <c r="A97" s="10"/>
      <c r="B97" s="60" t="s">
        <v>57</v>
      </c>
      <c r="C97" s="11"/>
      <c r="D97" s="12"/>
    </row>
  </sheetData>
  <customSheetViews>
    <customSheetView guid="{074EB09C-6289-46D7-9513-012B68BCA7BF}" showPageBreaks="1">
      <selection activeCell="A7" sqref="A7"/>
      <pageMargins left="0.7" right="0.7" top="0.75" bottom="0.75" header="0.3" footer="0.3"/>
      <pageSetup orientation="portrait" r:id="rId1"/>
    </customSheetView>
  </customSheetViews>
  <mergeCells count="3">
    <mergeCell ref="B18:C18"/>
    <mergeCell ref="B19:C19"/>
    <mergeCell ref="B15:E15"/>
  </mergeCells>
  <pageMargins left="0.17" right="0.7" top="0.38" bottom="0.3" header="0.3" footer="0.3"/>
  <pageSetup paperSize="17" scale="54" orientation="landscape"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1D242"/>
    <pageSetUpPr fitToPage="1"/>
  </sheetPr>
  <dimension ref="A1:M57"/>
  <sheetViews>
    <sheetView workbookViewId="0">
      <pane xSplit="1" ySplit="1" topLeftCell="J2" activePane="bottomRight" state="frozen"/>
      <selection pane="topRight" activeCell="B1" sqref="B1"/>
      <selection pane="bottomLeft" activeCell="A2" sqref="A2"/>
      <selection pane="bottomRight"/>
    </sheetView>
  </sheetViews>
  <sheetFormatPr defaultRowHeight="13.2" x14ac:dyDescent="0.25"/>
  <cols>
    <col min="1" max="1" width="28.5546875" style="3369" customWidth="1"/>
    <col min="2" max="2" width="15.88671875" customWidth="1"/>
    <col min="3" max="3" width="35.88671875" bestFit="1" customWidth="1"/>
    <col min="4" max="4" width="12.33203125" bestFit="1" customWidth="1"/>
    <col min="5" max="5" width="11.33203125" bestFit="1" customWidth="1"/>
    <col min="6" max="6" width="21.6640625" customWidth="1"/>
    <col min="7" max="7" width="16.44140625" customWidth="1"/>
    <col min="8" max="8" width="15.109375" bestFit="1" customWidth="1"/>
    <col min="9" max="9" width="13.6640625" bestFit="1" customWidth="1"/>
    <col min="10" max="10" width="14" customWidth="1"/>
    <col min="11" max="11" width="11.5546875" customWidth="1"/>
    <col min="12" max="13" width="53.33203125" customWidth="1"/>
  </cols>
  <sheetData>
    <row r="1" spans="2:13" ht="28.5" customHeight="1" x14ac:dyDescent="0.3">
      <c r="B1" s="3727" t="s">
        <v>1135</v>
      </c>
      <c r="C1" s="3727"/>
      <c r="D1" s="3726"/>
      <c r="E1" s="3726"/>
      <c r="F1" s="3726"/>
      <c r="G1" s="3726"/>
      <c r="H1" s="3726"/>
      <c r="I1" s="3726"/>
      <c r="J1" s="3726"/>
      <c r="K1" s="3726"/>
      <c r="L1" s="3726"/>
      <c r="M1" s="3726"/>
    </row>
    <row r="3" spans="2:13" ht="15.6" x14ac:dyDescent="0.3">
      <c r="B3" s="3726"/>
      <c r="C3" s="3879"/>
      <c r="D3" s="3726"/>
      <c r="E3" s="3726"/>
      <c r="F3" s="3731"/>
      <c r="G3" s="3726"/>
      <c r="H3" s="3726"/>
      <c r="I3" s="3726"/>
      <c r="J3" s="3726"/>
      <c r="K3" s="3726"/>
      <c r="L3" s="3726"/>
      <c r="M3" s="3726"/>
    </row>
    <row r="4" spans="2:13" ht="13.8" thickBot="1" x14ac:dyDescent="0.3">
      <c r="B4" s="3726"/>
      <c r="C4" s="3726"/>
      <c r="D4" s="3726"/>
      <c r="E4" s="3726"/>
      <c r="F4" s="3726"/>
      <c r="G4" s="3726"/>
      <c r="H4" s="3726"/>
      <c r="I4" s="3726"/>
      <c r="J4" s="3726"/>
      <c r="K4" s="3726"/>
      <c r="L4" s="3726"/>
      <c r="M4" s="3726"/>
    </row>
    <row r="5" spans="2:13" x14ac:dyDescent="0.25">
      <c r="B5" s="4255"/>
      <c r="C5" s="4255"/>
      <c r="D5" s="4809" t="s">
        <v>1136</v>
      </c>
      <c r="E5" s="4810"/>
      <c r="F5" s="4809" t="s">
        <v>1137</v>
      </c>
      <c r="G5" s="4810"/>
      <c r="H5" s="4809" t="s">
        <v>1138</v>
      </c>
      <c r="I5" s="4810"/>
      <c r="J5" s="4809" t="s">
        <v>1139</v>
      </c>
      <c r="K5" s="4810"/>
      <c r="L5" s="4809" t="s">
        <v>1140</v>
      </c>
      <c r="M5" s="4810"/>
    </row>
    <row r="6" spans="2:13" ht="13.8" thickBot="1" x14ac:dyDescent="0.3">
      <c r="B6" s="4258"/>
      <c r="C6" s="4259" t="s">
        <v>1141</v>
      </c>
      <c r="D6" s="4260" t="s">
        <v>5</v>
      </c>
      <c r="E6" s="4261" t="s">
        <v>118</v>
      </c>
      <c r="F6" s="4260" t="s">
        <v>1142</v>
      </c>
      <c r="G6" s="4261" t="s">
        <v>1143</v>
      </c>
      <c r="H6" s="4260" t="s">
        <v>1144</v>
      </c>
      <c r="I6" s="4261" t="s">
        <v>1145</v>
      </c>
      <c r="J6" s="4260" t="s">
        <v>5</v>
      </c>
      <c r="K6" s="4261" t="s">
        <v>118</v>
      </c>
      <c r="L6" s="4311" t="s">
        <v>1146</v>
      </c>
      <c r="M6" s="4312" t="s">
        <v>1147</v>
      </c>
    </row>
    <row r="7" spans="2:13" ht="13.8" thickBot="1" x14ac:dyDescent="0.3">
      <c r="B7" s="4378"/>
      <c r="C7" s="4280" t="s">
        <v>1148</v>
      </c>
      <c r="D7" s="4295">
        <v>24400000</v>
      </c>
      <c r="E7" s="4296">
        <v>4059500</v>
      </c>
      <c r="F7" s="4297">
        <v>100000000</v>
      </c>
      <c r="G7" s="4298">
        <v>902000</v>
      </c>
      <c r="H7" s="4281">
        <v>0.24399999999999999</v>
      </c>
      <c r="I7" s="4282">
        <v>4.5005543237250558</v>
      </c>
      <c r="J7" s="4283">
        <v>0.54400000000000004</v>
      </c>
      <c r="K7" s="4284">
        <v>0.49334811529933481</v>
      </c>
      <c r="L7" s="4313"/>
      <c r="M7" s="4277"/>
    </row>
    <row r="8" spans="2:13" ht="40.799999999999997" x14ac:dyDescent="0.25">
      <c r="B8" s="4336" t="s">
        <v>978</v>
      </c>
      <c r="C8" s="4371" t="s">
        <v>454</v>
      </c>
      <c r="D8" s="4337">
        <v>12190000</v>
      </c>
      <c r="E8" s="4338"/>
      <c r="F8" s="4339">
        <v>53000000</v>
      </c>
      <c r="G8" s="4340"/>
      <c r="H8" s="4341">
        <v>0.23</v>
      </c>
      <c r="I8" s="4342" t="s">
        <v>1149</v>
      </c>
      <c r="J8" s="4343">
        <v>0.6</v>
      </c>
      <c r="K8" s="4344"/>
      <c r="L8" s="4381" t="s">
        <v>1226</v>
      </c>
      <c r="M8" s="4382" t="s">
        <v>1227</v>
      </c>
    </row>
    <row r="9" spans="2:13" ht="30.6" x14ac:dyDescent="0.25">
      <c r="B9" s="4336" t="s">
        <v>1150</v>
      </c>
      <c r="C9" s="4371" t="s">
        <v>747</v>
      </c>
      <c r="D9" s="4337">
        <v>3000000</v>
      </c>
      <c r="E9" s="4338">
        <v>332500</v>
      </c>
      <c r="F9" s="4339">
        <v>10000000</v>
      </c>
      <c r="G9" s="4340">
        <v>70000</v>
      </c>
      <c r="H9" s="4341">
        <v>0.3</v>
      </c>
      <c r="I9" s="4342">
        <v>4.75</v>
      </c>
      <c r="J9" s="4343">
        <v>0.5</v>
      </c>
      <c r="K9" s="4344">
        <v>0.5</v>
      </c>
      <c r="L9" s="4381" t="s">
        <v>1228</v>
      </c>
      <c r="M9" s="4382" t="s">
        <v>1229</v>
      </c>
    </row>
    <row r="10" spans="2:13" ht="30.6" x14ac:dyDescent="0.25">
      <c r="B10" s="4336" t="s">
        <v>1150</v>
      </c>
      <c r="C10" s="4371" t="s">
        <v>748</v>
      </c>
      <c r="D10" s="4337">
        <v>810000</v>
      </c>
      <c r="E10" s="4338">
        <v>60000</v>
      </c>
      <c r="F10" s="4339">
        <v>9000000</v>
      </c>
      <c r="G10" s="4340">
        <v>60000</v>
      </c>
      <c r="H10" s="4341">
        <v>0.09</v>
      </c>
      <c r="I10" s="4342">
        <v>1</v>
      </c>
      <c r="J10" s="4343">
        <v>0.4</v>
      </c>
      <c r="K10" s="4344">
        <v>0.4</v>
      </c>
      <c r="L10" s="4381" t="s">
        <v>1230</v>
      </c>
      <c r="M10" s="4382" t="s">
        <v>1231</v>
      </c>
    </row>
    <row r="11" spans="2:13" ht="40.799999999999997" x14ac:dyDescent="0.25">
      <c r="B11" s="4336" t="s">
        <v>978</v>
      </c>
      <c r="C11" s="4371" t="s">
        <v>749</v>
      </c>
      <c r="D11" s="4337">
        <v>8400000</v>
      </c>
      <c r="E11" s="4338">
        <v>3667000</v>
      </c>
      <c r="F11" s="4339">
        <v>28000000</v>
      </c>
      <c r="G11" s="4340">
        <v>772000</v>
      </c>
      <c r="H11" s="4341">
        <v>0.3</v>
      </c>
      <c r="I11" s="4342">
        <v>4.75</v>
      </c>
      <c r="J11" s="4343">
        <v>0.5</v>
      </c>
      <c r="K11" s="4344">
        <v>0.5</v>
      </c>
      <c r="L11" s="4381" t="s">
        <v>1232</v>
      </c>
      <c r="M11" s="4382" t="s">
        <v>1233</v>
      </c>
    </row>
    <row r="12" spans="2:13" ht="40.799999999999997" x14ac:dyDescent="0.25">
      <c r="B12" s="4336" t="s">
        <v>1151</v>
      </c>
      <c r="C12" s="4369" t="s">
        <v>1152</v>
      </c>
      <c r="D12" s="4337">
        <v>3500000</v>
      </c>
      <c r="E12" s="4338">
        <v>640000</v>
      </c>
      <c r="F12" s="4339">
        <v>7000000</v>
      </c>
      <c r="G12" s="4340">
        <v>200000</v>
      </c>
      <c r="H12" s="4341">
        <v>0.5</v>
      </c>
      <c r="I12" s="4342">
        <v>3.2</v>
      </c>
      <c r="J12" s="4343">
        <v>0.5</v>
      </c>
      <c r="K12" s="4344">
        <v>0.5</v>
      </c>
      <c r="L12" s="4381" t="s">
        <v>1234</v>
      </c>
      <c r="M12" s="4382" t="s">
        <v>1235</v>
      </c>
    </row>
    <row r="13" spans="2:13" ht="40.799999999999997" x14ac:dyDescent="0.25">
      <c r="B13" s="4336" t="s">
        <v>1153</v>
      </c>
      <c r="C13" s="4369" t="s">
        <v>1154</v>
      </c>
      <c r="D13" s="4337">
        <v>1695300</v>
      </c>
      <c r="E13" s="4338">
        <v>945000</v>
      </c>
      <c r="F13" s="4339">
        <v>38750000</v>
      </c>
      <c r="G13" s="4340">
        <v>1800000</v>
      </c>
      <c r="H13" s="4341">
        <v>4.3750000000000004E-2</v>
      </c>
      <c r="I13" s="4342">
        <v>0.52500000000000002</v>
      </c>
      <c r="J13" s="4343">
        <v>0.5161290322580645</v>
      </c>
      <c r="K13" s="4344">
        <v>0.55555555555555558</v>
      </c>
      <c r="L13" s="4381" t="s">
        <v>1236</v>
      </c>
      <c r="M13" s="4382" t="s">
        <v>1155</v>
      </c>
    </row>
    <row r="14" spans="2:13" ht="40.799999999999997" x14ac:dyDescent="0.25">
      <c r="B14" s="4336" t="s">
        <v>823</v>
      </c>
      <c r="C14" s="4369" t="s">
        <v>1156</v>
      </c>
      <c r="D14" s="4337">
        <v>11027500</v>
      </c>
      <c r="E14" s="4338"/>
      <c r="F14" s="4339">
        <v>40100000</v>
      </c>
      <c r="G14" s="4340"/>
      <c r="H14" s="4341">
        <v>0.27500000000000002</v>
      </c>
      <c r="I14" s="4342" t="s">
        <v>1149</v>
      </c>
      <c r="J14" s="4343">
        <v>0.6</v>
      </c>
      <c r="K14" s="4344"/>
      <c r="L14" s="4381" t="s">
        <v>1237</v>
      </c>
      <c r="M14" s="4382" t="s">
        <v>1238</v>
      </c>
    </row>
    <row r="15" spans="2:13" ht="41.4" thickBot="1" x14ac:dyDescent="0.3">
      <c r="B15" s="4325" t="s">
        <v>825</v>
      </c>
      <c r="C15" s="4326" t="s">
        <v>1157</v>
      </c>
      <c r="D15" s="4287">
        <v>9240000</v>
      </c>
      <c r="E15" s="4288"/>
      <c r="F15" s="4289">
        <v>33000000</v>
      </c>
      <c r="G15" s="4290"/>
      <c r="H15" s="4291">
        <v>0.28000000000000003</v>
      </c>
      <c r="I15" s="4292" t="s">
        <v>1149</v>
      </c>
      <c r="J15" s="4285">
        <v>0.5</v>
      </c>
      <c r="K15" s="4286"/>
      <c r="L15" s="4383" t="s">
        <v>1239</v>
      </c>
      <c r="M15" s="4384" t="s">
        <v>1240</v>
      </c>
    </row>
    <row r="16" spans="2:13" ht="13.8" thickBot="1" x14ac:dyDescent="0.3">
      <c r="B16" s="4293"/>
      <c r="C16" s="4294" t="s">
        <v>1158</v>
      </c>
      <c r="D16" s="4295">
        <v>2963100</v>
      </c>
      <c r="E16" s="4296">
        <v>793100</v>
      </c>
      <c r="F16" s="4297">
        <v>26050000</v>
      </c>
      <c r="G16" s="4298">
        <v>276000</v>
      </c>
      <c r="H16" s="4299">
        <v>0.11374664107485605</v>
      </c>
      <c r="I16" s="4300">
        <v>2.8735507246376812</v>
      </c>
      <c r="J16" s="4283">
        <v>0.51734740882917463</v>
      </c>
      <c r="K16" s="4284">
        <v>0.48007246376811596</v>
      </c>
      <c r="L16" s="4385"/>
      <c r="M16" s="4386"/>
    </row>
    <row r="17" spans="2:13" ht="30.6" x14ac:dyDescent="0.25">
      <c r="B17" s="4327" t="s">
        <v>827</v>
      </c>
      <c r="C17" s="4370" t="s">
        <v>791</v>
      </c>
      <c r="D17" s="4328">
        <v>182000</v>
      </c>
      <c r="E17" s="4329"/>
      <c r="F17" s="4330">
        <v>2600000</v>
      </c>
      <c r="G17" s="4331"/>
      <c r="H17" s="4332">
        <v>7.0000000000000007E-2</v>
      </c>
      <c r="I17" s="4333" t="s">
        <v>1149</v>
      </c>
      <c r="J17" s="4334">
        <v>0.65842307692307689</v>
      </c>
      <c r="K17" s="4335"/>
      <c r="L17" s="4387" t="s">
        <v>1241</v>
      </c>
      <c r="M17" s="4388" t="s">
        <v>1242</v>
      </c>
    </row>
    <row r="18" spans="2:13" ht="40.799999999999997" x14ac:dyDescent="0.25">
      <c r="B18" s="4336" t="s">
        <v>827</v>
      </c>
      <c r="C18" s="4371" t="s">
        <v>792</v>
      </c>
      <c r="D18" s="4337">
        <v>260800</v>
      </c>
      <c r="E18" s="4338"/>
      <c r="F18" s="4339">
        <v>800000</v>
      </c>
      <c r="G18" s="4340"/>
      <c r="H18" s="4341">
        <v>0.32600000000000001</v>
      </c>
      <c r="I18" s="4342" t="s">
        <v>1149</v>
      </c>
      <c r="J18" s="4343">
        <v>0.5</v>
      </c>
      <c r="K18" s="4344"/>
      <c r="L18" s="4381" t="s">
        <v>1243</v>
      </c>
      <c r="M18" s="4382" t="s">
        <v>1242</v>
      </c>
    </row>
    <row r="19" spans="2:13" ht="30.6" x14ac:dyDescent="0.25">
      <c r="B19" s="4336" t="s">
        <v>827</v>
      </c>
      <c r="C19" s="4371" t="s">
        <v>793</v>
      </c>
      <c r="D19" s="4337">
        <v>7000</v>
      </c>
      <c r="E19" s="4338"/>
      <c r="F19" s="4339">
        <v>100000</v>
      </c>
      <c r="G19" s="4340"/>
      <c r="H19" s="4341">
        <v>7.0000000000000007E-2</v>
      </c>
      <c r="I19" s="4342" t="s">
        <v>1149</v>
      </c>
      <c r="J19" s="4343">
        <v>0.5</v>
      </c>
      <c r="K19" s="4344"/>
      <c r="L19" s="4381" t="s">
        <v>1244</v>
      </c>
      <c r="M19" s="4382" t="s">
        <v>1245</v>
      </c>
    </row>
    <row r="20" spans="2:13" ht="20.399999999999999" x14ac:dyDescent="0.25">
      <c r="B20" s="4336" t="s">
        <v>827</v>
      </c>
      <c r="C20" s="4371" t="s">
        <v>794</v>
      </c>
      <c r="D20" s="4337">
        <v>20000</v>
      </c>
      <c r="E20" s="4338"/>
      <c r="F20" s="4339">
        <v>100000</v>
      </c>
      <c r="G20" s="4340"/>
      <c r="H20" s="4341">
        <v>0.2</v>
      </c>
      <c r="I20" s="4342" t="s">
        <v>1149</v>
      </c>
      <c r="J20" s="4343">
        <v>0.5</v>
      </c>
      <c r="K20" s="4344"/>
      <c r="L20" s="4381" t="s">
        <v>1246</v>
      </c>
      <c r="M20" s="4382" t="s">
        <v>1247</v>
      </c>
    </row>
    <row r="21" spans="2:13" ht="40.799999999999997" x14ac:dyDescent="0.25">
      <c r="B21" s="4336" t="s">
        <v>827</v>
      </c>
      <c r="C21" s="4371" t="s">
        <v>795</v>
      </c>
      <c r="D21" s="4337">
        <v>720000</v>
      </c>
      <c r="E21" s="4338"/>
      <c r="F21" s="4339">
        <v>6000000</v>
      </c>
      <c r="G21" s="4340"/>
      <c r="H21" s="4341">
        <v>0.12</v>
      </c>
      <c r="I21" s="4342" t="s">
        <v>1149</v>
      </c>
      <c r="J21" s="4343">
        <v>0.5</v>
      </c>
      <c r="K21" s="4344"/>
      <c r="L21" s="4381" t="s">
        <v>1248</v>
      </c>
      <c r="M21" s="4382" t="s">
        <v>1249</v>
      </c>
    </row>
    <row r="22" spans="2:13" ht="40.799999999999997" x14ac:dyDescent="0.25">
      <c r="B22" s="4336" t="s">
        <v>827</v>
      </c>
      <c r="C22" s="4371" t="s">
        <v>1084</v>
      </c>
      <c r="D22" s="4337">
        <v>278700</v>
      </c>
      <c r="E22" s="4338"/>
      <c r="F22" s="4339">
        <v>9290000</v>
      </c>
      <c r="G22" s="4340"/>
      <c r="H22" s="4341">
        <v>3.0002153779883696E-2</v>
      </c>
      <c r="I22" s="4342" t="s">
        <v>1149</v>
      </c>
      <c r="J22" s="4343">
        <v>0.5</v>
      </c>
      <c r="K22" s="4344"/>
      <c r="L22" s="4381" t="s">
        <v>1250</v>
      </c>
      <c r="M22" s="4382" t="s">
        <v>1238</v>
      </c>
    </row>
    <row r="23" spans="2:13" ht="40.799999999999997" x14ac:dyDescent="0.25">
      <c r="B23" s="4336" t="s">
        <v>827</v>
      </c>
      <c r="C23" s="4371" t="s">
        <v>796</v>
      </c>
      <c r="D23" s="4337">
        <v>838600</v>
      </c>
      <c r="E23" s="4338"/>
      <c r="F23" s="4339">
        <v>3646000</v>
      </c>
      <c r="G23" s="4340"/>
      <c r="H23" s="4341">
        <v>0.23001371742112484</v>
      </c>
      <c r="I23" s="4342" t="s">
        <v>1149</v>
      </c>
      <c r="J23" s="4343">
        <v>0.5</v>
      </c>
      <c r="K23" s="4344"/>
      <c r="L23" s="4381" t="s">
        <v>1251</v>
      </c>
      <c r="M23" s="4382" t="s">
        <v>1238</v>
      </c>
    </row>
    <row r="24" spans="2:13" ht="30.6" x14ac:dyDescent="0.25">
      <c r="B24" s="4336" t="s">
        <v>827</v>
      </c>
      <c r="C24" s="4371" t="s">
        <v>797</v>
      </c>
      <c r="D24" s="4337">
        <v>279000</v>
      </c>
      <c r="E24" s="4338"/>
      <c r="F24" s="4339">
        <v>900000</v>
      </c>
      <c r="G24" s="4340"/>
      <c r="H24" s="4341">
        <v>0.31</v>
      </c>
      <c r="I24" s="4342" t="s">
        <v>1149</v>
      </c>
      <c r="J24" s="4343">
        <v>0.44444444444444442</v>
      </c>
      <c r="K24" s="4344"/>
      <c r="L24" s="4381" t="s">
        <v>1252</v>
      </c>
      <c r="M24" s="4382" t="s">
        <v>1253</v>
      </c>
    </row>
    <row r="25" spans="2:13" ht="30.6" x14ac:dyDescent="0.25">
      <c r="B25" s="4336" t="s">
        <v>827</v>
      </c>
      <c r="C25" s="4371" t="s">
        <v>798</v>
      </c>
      <c r="D25" s="4337">
        <v>20400</v>
      </c>
      <c r="E25" s="4338"/>
      <c r="F25" s="4339">
        <v>510000</v>
      </c>
      <c r="G25" s="4340"/>
      <c r="H25" s="4341">
        <v>0.04</v>
      </c>
      <c r="I25" s="4342"/>
      <c r="J25" s="4343">
        <v>0.78431372549019607</v>
      </c>
      <c r="K25" s="4344"/>
      <c r="L25" s="4381" t="s">
        <v>1254</v>
      </c>
      <c r="M25" s="4382" t="s">
        <v>1255</v>
      </c>
    </row>
    <row r="26" spans="2:13" ht="40.799999999999997" x14ac:dyDescent="0.25">
      <c r="B26" s="4336" t="s">
        <v>1159</v>
      </c>
      <c r="C26" s="4371" t="s">
        <v>1256</v>
      </c>
      <c r="D26" s="4337">
        <v>355300</v>
      </c>
      <c r="E26" s="4338">
        <v>724900</v>
      </c>
      <c r="F26" s="4339">
        <v>2090000</v>
      </c>
      <c r="G26" s="4340">
        <v>231000</v>
      </c>
      <c r="H26" s="4341">
        <v>0.16998556998556999</v>
      </c>
      <c r="I26" s="4342">
        <v>3.138095238095238</v>
      </c>
      <c r="J26" s="4343">
        <v>0.47368421052631576</v>
      </c>
      <c r="K26" s="4344">
        <v>0.47619047619047616</v>
      </c>
      <c r="L26" s="4381" t="s">
        <v>1257</v>
      </c>
      <c r="M26" s="4382" t="s">
        <v>1258</v>
      </c>
    </row>
    <row r="27" spans="2:13" ht="20.399999999999999" x14ac:dyDescent="0.25">
      <c r="B27" s="4336" t="s">
        <v>1159</v>
      </c>
      <c r="C27" s="4371" t="s">
        <v>1259</v>
      </c>
      <c r="D27" s="4337">
        <v>1300</v>
      </c>
      <c r="E27" s="4338">
        <v>32200</v>
      </c>
      <c r="F27" s="4339">
        <v>14000</v>
      </c>
      <c r="G27" s="4340">
        <v>21000</v>
      </c>
      <c r="H27" s="4341">
        <v>9.285714285714286E-2</v>
      </c>
      <c r="I27" s="4342">
        <v>1.5333333333333334</v>
      </c>
      <c r="J27" s="4343">
        <v>0.5</v>
      </c>
      <c r="K27" s="4344">
        <v>0.5</v>
      </c>
      <c r="L27" s="4381" t="s">
        <v>1260</v>
      </c>
      <c r="M27" s="4382" t="s">
        <v>1261</v>
      </c>
    </row>
    <row r="28" spans="2:13" ht="13.8" thickBot="1" x14ac:dyDescent="0.3">
      <c r="B28" s="4301" t="s">
        <v>827</v>
      </c>
      <c r="C28" s="4372" t="s">
        <v>818</v>
      </c>
      <c r="D28" s="4287"/>
      <c r="E28" s="4288">
        <v>36000</v>
      </c>
      <c r="F28" s="4289">
        <v>0</v>
      </c>
      <c r="G28" s="4290">
        <v>24000</v>
      </c>
      <c r="H28" s="4291" t="s">
        <v>1149</v>
      </c>
      <c r="I28" s="4292">
        <v>1.5</v>
      </c>
      <c r="J28" s="4302" t="s">
        <v>1149</v>
      </c>
      <c r="K28" s="4303">
        <v>0.5</v>
      </c>
      <c r="L28" s="4389" t="s">
        <v>1262</v>
      </c>
      <c r="M28" s="4390" t="s">
        <v>1261</v>
      </c>
    </row>
    <row r="29" spans="2:13" ht="13.8" thickBot="1" x14ac:dyDescent="0.3">
      <c r="B29" s="4262"/>
      <c r="C29" s="4263" t="s">
        <v>801</v>
      </c>
      <c r="D29" s="4295">
        <v>52825900</v>
      </c>
      <c r="E29" s="4296">
        <v>6437600</v>
      </c>
      <c r="F29" s="4297">
        <v>244900000</v>
      </c>
      <c r="G29" s="4298">
        <v>3178000</v>
      </c>
      <c r="H29" s="4264"/>
      <c r="I29" s="4265"/>
      <c r="J29" s="4255"/>
      <c r="K29" s="4255"/>
      <c r="L29" s="4255"/>
      <c r="M29" s="4255"/>
    </row>
    <row r="30" spans="2:13" x14ac:dyDescent="0.25">
      <c r="B30" s="4262"/>
      <c r="C30" s="4263"/>
      <c r="D30" s="4266"/>
      <c r="E30" s="4266"/>
      <c r="F30" s="4267"/>
      <c r="G30" s="4267"/>
      <c r="H30" s="4257"/>
      <c r="I30" s="4255"/>
      <c r="J30" s="4255"/>
      <c r="K30" s="4255"/>
      <c r="L30" s="4255"/>
      <c r="M30" s="4255"/>
    </row>
    <row r="31" spans="2:13" ht="13.8" thickBot="1" x14ac:dyDescent="0.3">
      <c r="B31" s="4262"/>
      <c r="C31" s="4268"/>
      <c r="D31" s="4269"/>
      <c r="E31" s="4269"/>
      <c r="F31" s="4270"/>
      <c r="G31" s="4271"/>
      <c r="H31" s="4257"/>
      <c r="I31" s="4255"/>
      <c r="J31" s="4255"/>
      <c r="K31" s="4255"/>
      <c r="L31" s="4255"/>
      <c r="M31" s="4255"/>
    </row>
    <row r="32" spans="2:13" ht="13.8" thickBot="1" x14ac:dyDescent="0.3">
      <c r="B32" s="4262"/>
      <c r="C32" s="4268"/>
      <c r="D32" s="4809" t="s">
        <v>1136</v>
      </c>
      <c r="E32" s="4810"/>
      <c r="F32" s="4809" t="s">
        <v>1137</v>
      </c>
      <c r="G32" s="4810"/>
      <c r="H32" s="4257"/>
      <c r="I32" s="4274"/>
      <c r="J32" s="4809" t="s">
        <v>1139</v>
      </c>
      <c r="K32" s="4811"/>
      <c r="L32" s="4809" t="s">
        <v>1140</v>
      </c>
      <c r="M32" s="4810"/>
    </row>
    <row r="33" spans="2:13" ht="13.8" thickBot="1" x14ac:dyDescent="0.3">
      <c r="B33" s="4262"/>
      <c r="C33" s="4272" t="s">
        <v>1160</v>
      </c>
      <c r="D33" s="4260" t="s">
        <v>5</v>
      </c>
      <c r="E33" s="4261" t="s">
        <v>118</v>
      </c>
      <c r="F33" s="4260" t="s">
        <v>1142</v>
      </c>
      <c r="G33" s="4261" t="s">
        <v>1143</v>
      </c>
      <c r="H33" s="4257"/>
      <c r="I33" s="4275"/>
      <c r="J33" s="4260" t="s">
        <v>5</v>
      </c>
      <c r="K33" s="4276"/>
      <c r="L33" s="4311" t="s">
        <v>1146</v>
      </c>
      <c r="M33" s="4312" t="s">
        <v>1147</v>
      </c>
    </row>
    <row r="34" spans="2:13" ht="13.8" thickBot="1" x14ac:dyDescent="0.3">
      <c r="B34" s="4256"/>
      <c r="C34" s="4349" t="s">
        <v>1063</v>
      </c>
      <c r="D34" s="4316"/>
      <c r="E34" s="4317"/>
      <c r="F34" s="4319"/>
      <c r="G34" s="4318"/>
      <c r="H34" s="4279"/>
      <c r="I34" s="4350" t="s">
        <v>1063</v>
      </c>
      <c r="J34" s="4283">
        <v>0.60540540540540544</v>
      </c>
      <c r="K34" s="4306"/>
      <c r="L34" s="4313"/>
      <c r="M34" s="4277"/>
    </row>
    <row r="35" spans="2:13" ht="39.6" x14ac:dyDescent="0.25">
      <c r="B35" s="4256"/>
      <c r="C35" s="4373" t="s">
        <v>1064</v>
      </c>
      <c r="D35" s="4328">
        <v>0</v>
      </c>
      <c r="E35" s="4329">
        <v>0</v>
      </c>
      <c r="F35" s="4367">
        <v>56000</v>
      </c>
      <c r="G35" s="4331">
        <v>0</v>
      </c>
      <c r="H35" s="4279"/>
      <c r="I35" s="4314"/>
      <c r="J35" s="4334">
        <v>1</v>
      </c>
      <c r="K35" s="4365"/>
      <c r="L35" s="4345" t="s">
        <v>1161</v>
      </c>
      <c r="M35" s="4346" t="s">
        <v>966</v>
      </c>
    </row>
    <row r="36" spans="2:13" ht="39.6" x14ac:dyDescent="0.25">
      <c r="B36" s="4256"/>
      <c r="C36" s="4374" t="s">
        <v>1065</v>
      </c>
      <c r="D36" s="4337">
        <v>0</v>
      </c>
      <c r="E36" s="4338">
        <v>0</v>
      </c>
      <c r="F36" s="4368">
        <v>3000</v>
      </c>
      <c r="G36" s="4340">
        <v>0</v>
      </c>
      <c r="H36" s="4315"/>
      <c r="I36" s="4314"/>
      <c r="J36" s="4343">
        <v>1</v>
      </c>
      <c r="K36" s="4366"/>
      <c r="L36" s="4347" t="s">
        <v>1161</v>
      </c>
      <c r="M36" s="4348" t="s">
        <v>966</v>
      </c>
    </row>
    <row r="37" spans="2:13" ht="39.6" x14ac:dyDescent="0.25">
      <c r="B37" s="4256"/>
      <c r="C37" s="4374" t="s">
        <v>1066</v>
      </c>
      <c r="D37" s="4337">
        <v>0</v>
      </c>
      <c r="E37" s="4338">
        <v>0</v>
      </c>
      <c r="F37" s="4368">
        <v>28000</v>
      </c>
      <c r="G37" s="4340">
        <v>0</v>
      </c>
      <c r="H37" s="4315"/>
      <c r="I37" s="4314"/>
      <c r="J37" s="4343">
        <v>1</v>
      </c>
      <c r="K37" s="4366"/>
      <c r="L37" s="4347" t="s">
        <v>1161</v>
      </c>
      <c r="M37" s="4348" t="s">
        <v>966</v>
      </c>
    </row>
    <row r="38" spans="2:13" ht="39.6" x14ac:dyDescent="0.25">
      <c r="B38" s="4256"/>
      <c r="C38" s="4374" t="s">
        <v>1067</v>
      </c>
      <c r="D38" s="4337">
        <v>0</v>
      </c>
      <c r="E38" s="4338">
        <v>0</v>
      </c>
      <c r="F38" s="4368">
        <v>24000</v>
      </c>
      <c r="G38" s="4340">
        <v>0</v>
      </c>
      <c r="H38" s="4315"/>
      <c r="I38" s="4314"/>
      <c r="J38" s="4343">
        <v>1</v>
      </c>
      <c r="K38" s="4366"/>
      <c r="L38" s="4347" t="s">
        <v>1162</v>
      </c>
      <c r="M38" s="4348" t="s">
        <v>966</v>
      </c>
    </row>
    <row r="39" spans="2:13" ht="26.4" x14ac:dyDescent="0.25">
      <c r="B39" s="4256"/>
      <c r="C39" s="4374" t="s">
        <v>1068</v>
      </c>
      <c r="D39" s="4337">
        <v>0</v>
      </c>
      <c r="E39" s="4338">
        <v>0</v>
      </c>
      <c r="F39" s="4368">
        <v>1000</v>
      </c>
      <c r="G39" s="4340">
        <v>0</v>
      </c>
      <c r="H39" s="4315"/>
      <c r="I39" s="4314"/>
      <c r="J39" s="4343">
        <v>1</v>
      </c>
      <c r="K39" s="4366"/>
      <c r="L39" s="4347" t="s">
        <v>1163</v>
      </c>
      <c r="M39" s="4348" t="s">
        <v>966</v>
      </c>
    </row>
    <row r="40" spans="2:13" ht="26.4" x14ac:dyDescent="0.25">
      <c r="B40" s="4256"/>
      <c r="C40" s="4374" t="s">
        <v>1069</v>
      </c>
      <c r="D40" s="4337">
        <v>0</v>
      </c>
      <c r="E40" s="4338">
        <v>0</v>
      </c>
      <c r="F40" s="4368">
        <v>0</v>
      </c>
      <c r="G40" s="4340">
        <v>0</v>
      </c>
      <c r="H40" s="4315"/>
      <c r="I40" s="4314"/>
      <c r="J40" s="4343">
        <v>0</v>
      </c>
      <c r="K40" s="4366"/>
      <c r="L40" s="4347" t="s">
        <v>1263</v>
      </c>
      <c r="M40" s="4348" t="s">
        <v>966</v>
      </c>
    </row>
    <row r="41" spans="2:13" ht="39.6" x14ac:dyDescent="0.25">
      <c r="B41" s="4256"/>
      <c r="C41" s="4374" t="s">
        <v>1070</v>
      </c>
      <c r="D41" s="4337">
        <v>0</v>
      </c>
      <c r="E41" s="4338">
        <v>0</v>
      </c>
      <c r="F41" s="4368">
        <v>35000</v>
      </c>
      <c r="G41" s="4340">
        <v>0</v>
      </c>
      <c r="H41" s="4315"/>
      <c r="I41" s="4314"/>
      <c r="J41" s="4343">
        <v>0</v>
      </c>
      <c r="K41" s="4366"/>
      <c r="L41" s="4347" t="s">
        <v>1164</v>
      </c>
      <c r="M41" s="4348" t="s">
        <v>966</v>
      </c>
    </row>
    <row r="42" spans="2:13" ht="40.200000000000003" thickBot="1" x14ac:dyDescent="0.3">
      <c r="B42" s="4256"/>
      <c r="C42" s="4375" t="s">
        <v>1071</v>
      </c>
      <c r="D42" s="4287">
        <v>0</v>
      </c>
      <c r="E42" s="4288">
        <v>0</v>
      </c>
      <c r="F42" s="4356">
        <v>38000</v>
      </c>
      <c r="G42" s="4290">
        <v>0</v>
      </c>
      <c r="H42" s="4361"/>
      <c r="I42" s="4314"/>
      <c r="J42" s="4285">
        <v>0</v>
      </c>
      <c r="K42" s="4305"/>
      <c r="L42" s="4307" t="s">
        <v>1161</v>
      </c>
      <c r="M42" s="4308" t="s">
        <v>966</v>
      </c>
    </row>
    <row r="43" spans="2:13" ht="13.8" thickBot="1" x14ac:dyDescent="0.3">
      <c r="B43" s="4256"/>
      <c r="C43" s="4349" t="s">
        <v>1165</v>
      </c>
      <c r="D43" s="4357"/>
      <c r="E43" s="4358"/>
      <c r="F43" s="4359"/>
      <c r="G43" s="4360"/>
      <c r="H43" s="4315"/>
      <c r="I43" s="4362" t="s">
        <v>1072</v>
      </c>
      <c r="J43" s="4363">
        <v>0.5</v>
      </c>
      <c r="K43" s="4364"/>
      <c r="L43" s="4313"/>
      <c r="M43" s="4278"/>
    </row>
    <row r="44" spans="2:13" x14ac:dyDescent="0.25">
      <c r="B44" s="4256"/>
      <c r="C44" s="4376" t="s">
        <v>1073</v>
      </c>
      <c r="D44" s="4351">
        <v>0</v>
      </c>
      <c r="E44" s="4352">
        <v>0</v>
      </c>
      <c r="F44" s="4353">
        <v>1700000</v>
      </c>
      <c r="G44" s="4354">
        <v>0</v>
      </c>
      <c r="H44" s="4315"/>
      <c r="I44" s="4314"/>
      <c r="J44" s="4334">
        <v>0.5</v>
      </c>
      <c r="K44" s="4365"/>
      <c r="L44" s="4345" t="s">
        <v>1166</v>
      </c>
      <c r="M44" s="4346" t="s">
        <v>966</v>
      </c>
    </row>
    <row r="45" spans="2:13" ht="40.200000000000003" thickBot="1" x14ac:dyDescent="0.3">
      <c r="B45" s="4256"/>
      <c r="C45" s="4377" t="s">
        <v>1074</v>
      </c>
      <c r="D45" s="4316">
        <v>0</v>
      </c>
      <c r="E45" s="4317">
        <v>0</v>
      </c>
      <c r="F45" s="4355">
        <v>14272000</v>
      </c>
      <c r="G45" s="4318">
        <v>0</v>
      </c>
      <c r="H45" s="4315"/>
      <c r="I45" s="4319"/>
      <c r="J45" s="4379">
        <v>0.5</v>
      </c>
      <c r="K45" s="4380"/>
      <c r="L45" s="4309" t="s">
        <v>1167</v>
      </c>
      <c r="M45" s="4310" t="s">
        <v>966</v>
      </c>
    </row>
    <row r="46" spans="2:13" ht="13.8" thickBot="1" x14ac:dyDescent="0.3">
      <c r="B46" s="4257"/>
      <c r="C46" s="4320" t="s">
        <v>801</v>
      </c>
      <c r="D46" s="4321">
        <v>0</v>
      </c>
      <c r="E46" s="4322">
        <v>0</v>
      </c>
      <c r="F46" s="4323">
        <v>16157000</v>
      </c>
      <c r="G46" s="4324">
        <v>0</v>
      </c>
      <c r="H46" s="4315"/>
      <c r="I46" s="4315"/>
      <c r="J46" s="4305"/>
      <c r="K46" s="4305"/>
      <c r="L46" s="4304"/>
      <c r="M46" s="4304"/>
    </row>
    <row r="47" spans="2:13" x14ac:dyDescent="0.25">
      <c r="B47" s="4257"/>
      <c r="C47" s="4255"/>
      <c r="D47" s="4255"/>
      <c r="E47" s="4255"/>
      <c r="F47" s="4273"/>
      <c r="G47" s="4255"/>
      <c r="H47" s="4255"/>
      <c r="I47" s="4255"/>
      <c r="J47" s="4305"/>
      <c r="K47" s="4305"/>
      <c r="L47" s="4304"/>
      <c r="M47" s="4304"/>
    </row>
    <row r="48" spans="2:13" x14ac:dyDescent="0.25">
      <c r="B48" s="3726"/>
      <c r="C48" s="3726"/>
      <c r="D48" s="3726"/>
      <c r="E48" s="3726"/>
      <c r="F48" s="3728"/>
      <c r="G48" s="3726"/>
      <c r="H48" s="3726"/>
      <c r="I48" s="3726"/>
      <c r="J48" s="3730"/>
      <c r="K48" s="3730"/>
      <c r="L48" s="3729"/>
      <c r="M48" s="3729"/>
    </row>
    <row r="49" spans="6:13" x14ac:dyDescent="0.25">
      <c r="F49" s="3726"/>
      <c r="G49" s="3726"/>
      <c r="H49" s="3726"/>
      <c r="I49" s="3726"/>
      <c r="J49" s="3730"/>
      <c r="K49" s="3730"/>
      <c r="L49" s="3729"/>
      <c r="M49" s="3729"/>
    </row>
    <row r="50" spans="6:13" x14ac:dyDescent="0.25">
      <c r="F50" s="3728"/>
      <c r="G50" s="3726"/>
      <c r="H50" s="3726"/>
      <c r="I50" s="3726"/>
      <c r="J50" s="3730"/>
      <c r="K50" s="3730"/>
      <c r="L50" s="3729"/>
      <c r="M50" s="3729"/>
    </row>
    <row r="51" spans="6:13" x14ac:dyDescent="0.25">
      <c r="F51" s="3728"/>
      <c r="G51" s="3726"/>
      <c r="H51" s="3726"/>
      <c r="I51" s="3726"/>
      <c r="J51" s="3730"/>
      <c r="K51" s="3730"/>
      <c r="L51" s="3729"/>
      <c r="M51" s="3729"/>
    </row>
    <row r="52" spans="6:13" x14ac:dyDescent="0.25">
      <c r="F52" s="3726"/>
      <c r="G52" s="3726"/>
      <c r="H52" s="3726"/>
      <c r="I52" s="3726"/>
      <c r="J52" s="3730"/>
      <c r="K52" s="3730"/>
      <c r="L52" s="3729"/>
      <c r="M52" s="3729"/>
    </row>
    <row r="53" spans="6:13" x14ac:dyDescent="0.25">
      <c r="F53" s="3726"/>
      <c r="G53" s="3726"/>
      <c r="H53" s="3726"/>
      <c r="I53" s="3726"/>
      <c r="J53" s="3730"/>
      <c r="K53" s="3730"/>
      <c r="L53" s="3729"/>
      <c r="M53" s="3729"/>
    </row>
    <row r="54" spans="6:13" x14ac:dyDescent="0.25">
      <c r="F54" s="3726"/>
      <c r="G54" s="3726"/>
      <c r="H54" s="3726"/>
      <c r="I54" s="3726"/>
      <c r="J54" s="3730"/>
      <c r="K54" s="3730"/>
      <c r="L54" s="3729"/>
      <c r="M54" s="3729"/>
    </row>
    <row r="55" spans="6:13" x14ac:dyDescent="0.25">
      <c r="F55" s="3726"/>
      <c r="G55" s="3726"/>
      <c r="H55" s="3726"/>
      <c r="I55" s="3726"/>
      <c r="J55" s="3730"/>
      <c r="K55" s="3730"/>
      <c r="L55" s="3729"/>
      <c r="M55" s="3729"/>
    </row>
    <row r="56" spans="6:13" x14ac:dyDescent="0.25">
      <c r="F56" s="3726"/>
      <c r="G56" s="3726"/>
      <c r="H56" s="3726"/>
      <c r="I56" s="3726"/>
      <c r="J56" s="3730"/>
      <c r="K56" s="3730"/>
      <c r="L56" s="3729"/>
      <c r="M56" s="3729"/>
    </row>
    <row r="57" spans="6:13" x14ac:dyDescent="0.25">
      <c r="F57" s="3726"/>
      <c r="G57" s="3726"/>
      <c r="H57" s="3726"/>
      <c r="I57" s="3726"/>
      <c r="J57" s="3730"/>
      <c r="K57" s="3730"/>
      <c r="L57" s="3729"/>
      <c r="M57" s="3729"/>
    </row>
  </sheetData>
  <mergeCells count="9">
    <mergeCell ref="D32:E32"/>
    <mergeCell ref="F32:G32"/>
    <mergeCell ref="L5:M5"/>
    <mergeCell ref="J32:K32"/>
    <mergeCell ref="L32:M32"/>
    <mergeCell ref="H5:I5"/>
    <mergeCell ref="J5:K5"/>
    <mergeCell ref="D5:E5"/>
    <mergeCell ref="F5:G5"/>
  </mergeCells>
  <pageMargins left="0.7" right="0.7" top="0.75" bottom="0.75" header="0.3" footer="0.3"/>
  <pageSetup paperSize="17" scale="5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1D242"/>
    <pageSetUpPr fitToPage="1"/>
  </sheetPr>
  <dimension ref="A1:R24"/>
  <sheetViews>
    <sheetView workbookViewId="0">
      <pane xSplit="1" ySplit="1" topLeftCell="H2" activePane="bottomRight" state="frozen"/>
      <selection pane="topRight" activeCell="B1" sqref="B1"/>
      <selection pane="bottomLeft" activeCell="A2" sqref="A2"/>
      <selection pane="bottomRight" activeCell="B5" sqref="B5:R18"/>
    </sheetView>
  </sheetViews>
  <sheetFormatPr defaultRowHeight="13.2" x14ac:dyDescent="0.25"/>
  <cols>
    <col min="1" max="1" width="28" style="3369" customWidth="1"/>
    <col min="4" max="9" width="18.33203125" customWidth="1"/>
    <col min="14" max="15" width="42" customWidth="1"/>
    <col min="17" max="17" width="12.33203125" customWidth="1"/>
  </cols>
  <sheetData>
    <row r="1" spans="2:18" ht="29.25" customHeight="1" x14ac:dyDescent="0.3">
      <c r="B1" s="3738" t="s">
        <v>1168</v>
      </c>
      <c r="C1" s="3738"/>
      <c r="D1" s="3737"/>
      <c r="E1" s="3737"/>
      <c r="F1" s="3737"/>
      <c r="G1" s="3737"/>
      <c r="H1" s="3737"/>
      <c r="I1" s="3737"/>
      <c r="J1" s="3737"/>
      <c r="K1" s="3737"/>
      <c r="L1" s="3737"/>
      <c r="M1" s="3737"/>
      <c r="N1" s="3737"/>
      <c r="O1" s="3737"/>
      <c r="P1" s="3737"/>
      <c r="Q1" s="3737"/>
      <c r="R1" s="3737"/>
    </row>
    <row r="3" spans="2:18" ht="15.6" x14ac:dyDescent="0.3">
      <c r="B3" s="3737"/>
      <c r="C3" s="3737"/>
      <c r="D3" s="3881"/>
      <c r="E3" s="3737"/>
      <c r="F3" s="3737"/>
      <c r="G3" s="3742"/>
      <c r="H3" s="3737"/>
      <c r="I3" s="3737"/>
      <c r="J3" s="3737"/>
      <c r="K3" s="3737"/>
      <c r="L3" s="3737"/>
      <c r="M3" s="3737"/>
      <c r="N3" s="3737"/>
      <c r="O3" s="3737"/>
      <c r="P3" s="3737"/>
      <c r="Q3" s="3737"/>
      <c r="R3" s="3737"/>
    </row>
    <row r="4" spans="2:18" ht="13.8" thickBot="1" x14ac:dyDescent="0.3">
      <c r="B4" s="3737"/>
      <c r="C4" s="3737"/>
      <c r="D4" s="3737"/>
      <c r="E4" s="3737"/>
      <c r="F4" s="3737"/>
      <c r="G4" s="3737"/>
      <c r="H4" s="3737"/>
      <c r="I4" s="3737"/>
      <c r="J4" s="3737"/>
      <c r="K4" s="3737"/>
      <c r="L4" s="3737"/>
      <c r="M4" s="3737"/>
      <c r="N4" s="3737"/>
      <c r="O4" s="3737"/>
      <c r="P4" s="3737"/>
      <c r="Q4" s="3737"/>
      <c r="R4" s="3737"/>
    </row>
    <row r="5" spans="2:18" x14ac:dyDescent="0.25">
      <c r="B5" s="4391"/>
      <c r="C5" s="4391"/>
      <c r="D5" s="4809" t="s">
        <v>1136</v>
      </c>
      <c r="E5" s="4810"/>
      <c r="F5" s="4809" t="s">
        <v>1169</v>
      </c>
      <c r="G5" s="4810"/>
      <c r="H5" s="4809" t="s">
        <v>1137</v>
      </c>
      <c r="I5" s="4810"/>
      <c r="J5" s="4809" t="s">
        <v>1138</v>
      </c>
      <c r="K5" s="4811"/>
      <c r="L5" s="4809" t="s">
        <v>1139</v>
      </c>
      <c r="M5" s="4810"/>
      <c r="N5" s="4809" t="s">
        <v>1140</v>
      </c>
      <c r="O5" s="4810"/>
      <c r="P5" s="4391"/>
      <c r="Q5" s="4481">
        <v>2012</v>
      </c>
      <c r="R5" s="4482">
        <v>2012</v>
      </c>
    </row>
    <row r="6" spans="2:18" ht="13.8" thickBot="1" x14ac:dyDescent="0.3">
      <c r="B6" s="4392"/>
      <c r="C6" s="4405" t="s">
        <v>1141</v>
      </c>
      <c r="D6" s="4403" t="s">
        <v>5</v>
      </c>
      <c r="E6" s="4404" t="s">
        <v>118</v>
      </c>
      <c r="F6" s="4403" t="s">
        <v>5</v>
      </c>
      <c r="G6" s="4404" t="s">
        <v>118</v>
      </c>
      <c r="H6" s="4403" t="s">
        <v>1142</v>
      </c>
      <c r="I6" s="4404" t="s">
        <v>1143</v>
      </c>
      <c r="J6" s="4403" t="s">
        <v>1144</v>
      </c>
      <c r="K6" s="4406" t="s">
        <v>1145</v>
      </c>
      <c r="L6" s="4403" t="s">
        <v>5</v>
      </c>
      <c r="M6" s="4404" t="s">
        <v>118</v>
      </c>
      <c r="N6" s="4399" t="s">
        <v>1146</v>
      </c>
      <c r="O6" s="4409" t="s">
        <v>1264</v>
      </c>
      <c r="P6" s="4391"/>
      <c r="Q6" s="4491" t="s">
        <v>1170</v>
      </c>
      <c r="R6" s="4492" t="s">
        <v>1171</v>
      </c>
    </row>
    <row r="7" spans="2:18" ht="13.8" thickBot="1" x14ac:dyDescent="0.3">
      <c r="B7" s="4474"/>
      <c r="C7" s="4411" t="s">
        <v>1148</v>
      </c>
      <c r="D7" s="4412">
        <v>5019200</v>
      </c>
      <c r="E7" s="4413">
        <v>0</v>
      </c>
      <c r="F7" s="4412">
        <v>4007700</v>
      </c>
      <c r="G7" s="4413">
        <v>0</v>
      </c>
      <c r="H7" s="4414">
        <v>38350000</v>
      </c>
      <c r="I7" s="4415">
        <v>50000</v>
      </c>
      <c r="J7" s="4416">
        <v>0.1308787483702738</v>
      </c>
      <c r="K7" s="4417">
        <v>0</v>
      </c>
      <c r="L7" s="4418">
        <v>0.40156453715775747</v>
      </c>
      <c r="M7" s="4419">
        <v>0.66666666666666652</v>
      </c>
      <c r="N7" s="4400"/>
      <c r="O7" s="4407"/>
      <c r="P7" s="4391"/>
      <c r="Q7" s="4493"/>
      <c r="R7" s="4494"/>
    </row>
    <row r="8" spans="2:18" ht="45.6" x14ac:dyDescent="0.25">
      <c r="B8" s="4475" t="s">
        <v>1150</v>
      </c>
      <c r="C8" s="4420" t="s">
        <v>741</v>
      </c>
      <c r="D8" s="4421">
        <v>2160000</v>
      </c>
      <c r="E8" s="4422">
        <v>0</v>
      </c>
      <c r="F8" s="4421">
        <v>2160000</v>
      </c>
      <c r="G8" s="4422">
        <v>0</v>
      </c>
      <c r="H8" s="4423">
        <v>18000000</v>
      </c>
      <c r="I8" s="4424">
        <v>50000</v>
      </c>
      <c r="J8" s="4425">
        <v>0.12</v>
      </c>
      <c r="K8" s="4426">
        <v>0</v>
      </c>
      <c r="L8" s="4427">
        <v>0.6</v>
      </c>
      <c r="M8" s="4428">
        <v>0.66666666666666663</v>
      </c>
      <c r="N8" s="4499" t="s">
        <v>1191</v>
      </c>
      <c r="O8" s="4500" t="s">
        <v>1265</v>
      </c>
      <c r="P8" s="4391"/>
      <c r="Q8" s="4489"/>
      <c r="R8" s="4490"/>
    </row>
    <row r="9" spans="2:18" ht="68.400000000000006" x14ac:dyDescent="0.25">
      <c r="B9" s="4475" t="s">
        <v>1150</v>
      </c>
      <c r="C9" s="4454" t="s">
        <v>1266</v>
      </c>
      <c r="D9" s="4455">
        <v>423400</v>
      </c>
      <c r="E9" s="4456">
        <v>0</v>
      </c>
      <c r="F9" s="4455">
        <v>172800</v>
      </c>
      <c r="G9" s="4456">
        <v>0</v>
      </c>
      <c r="H9" s="4458">
        <v>3350000</v>
      </c>
      <c r="I9" s="4459">
        <v>0</v>
      </c>
      <c r="J9" s="4460">
        <v>0.12640000000000001</v>
      </c>
      <c r="K9" s="4461">
        <v>0</v>
      </c>
      <c r="L9" s="4462">
        <v>0</v>
      </c>
      <c r="M9" s="4463">
        <v>0</v>
      </c>
      <c r="N9" s="4501" t="s">
        <v>1267</v>
      </c>
      <c r="O9" s="4502" t="s">
        <v>1268</v>
      </c>
      <c r="P9" s="4391"/>
      <c r="Q9" s="4485">
        <v>145800</v>
      </c>
      <c r="R9" s="4486">
        <v>66200</v>
      </c>
    </row>
    <row r="10" spans="2:18" ht="57" x14ac:dyDescent="0.25">
      <c r="B10" s="4476" t="s">
        <v>978</v>
      </c>
      <c r="C10" s="4429" t="s">
        <v>1269</v>
      </c>
      <c r="D10" s="4430">
        <v>603800</v>
      </c>
      <c r="E10" s="4431">
        <v>0</v>
      </c>
      <c r="F10" s="4430">
        <v>910800</v>
      </c>
      <c r="G10" s="4431">
        <v>0</v>
      </c>
      <c r="H10" s="4432">
        <v>9000000</v>
      </c>
      <c r="I10" s="4433">
        <v>0</v>
      </c>
      <c r="J10" s="4434">
        <v>6.7088888888888892E-2</v>
      </c>
      <c r="K10" s="4435" t="s">
        <v>1149</v>
      </c>
      <c r="L10" s="4436">
        <v>0.2</v>
      </c>
      <c r="M10" s="4437">
        <v>0</v>
      </c>
      <c r="N10" s="4503" t="s">
        <v>1270</v>
      </c>
      <c r="O10" s="4504" t="s">
        <v>1271</v>
      </c>
      <c r="P10" s="4391"/>
      <c r="Q10" s="4483"/>
      <c r="R10" s="4484"/>
    </row>
    <row r="11" spans="2:18" ht="57.6" thickBot="1" x14ac:dyDescent="0.3">
      <c r="B11" s="4476" t="s">
        <v>978</v>
      </c>
      <c r="C11" s="4439" t="s">
        <v>1192</v>
      </c>
      <c r="D11" s="4440">
        <v>1832000</v>
      </c>
      <c r="E11" s="4441">
        <v>0</v>
      </c>
      <c r="F11" s="4440">
        <v>764100</v>
      </c>
      <c r="G11" s="4441">
        <v>0</v>
      </c>
      <c r="H11" s="4442">
        <v>8000000</v>
      </c>
      <c r="I11" s="4443">
        <v>0</v>
      </c>
      <c r="J11" s="4444">
        <v>0.22900000000000001</v>
      </c>
      <c r="K11" s="4445" t="s">
        <v>1149</v>
      </c>
      <c r="L11" s="4446">
        <v>0.35</v>
      </c>
      <c r="M11" s="4447">
        <v>0</v>
      </c>
      <c r="N11" s="4505" t="s">
        <v>1272</v>
      </c>
      <c r="O11" s="4506" t="s">
        <v>1273</v>
      </c>
      <c r="P11" s="4391"/>
      <c r="Q11" s="4487"/>
      <c r="R11" s="4488"/>
    </row>
    <row r="12" spans="2:18" ht="13.8" thickBot="1" x14ac:dyDescent="0.3">
      <c r="B12" s="4477"/>
      <c r="C12" s="4448" t="s">
        <v>1158</v>
      </c>
      <c r="D12" s="4449">
        <v>3922900</v>
      </c>
      <c r="E12" s="4450">
        <v>261700</v>
      </c>
      <c r="F12" s="4412">
        <v>913300</v>
      </c>
      <c r="G12" s="4450">
        <v>3600</v>
      </c>
      <c r="H12" s="4414">
        <v>28810000</v>
      </c>
      <c r="I12" s="4451">
        <v>2530000</v>
      </c>
      <c r="J12" s="4452">
        <v>0.13616452620617842</v>
      </c>
      <c r="K12" s="4453">
        <v>0.10343873517786562</v>
      </c>
      <c r="L12" s="4418">
        <v>0.4747309961818813</v>
      </c>
      <c r="M12" s="4419">
        <v>0.50335968379446638</v>
      </c>
      <c r="N12" s="4400"/>
      <c r="O12" s="4407"/>
      <c r="P12" s="4391"/>
      <c r="Q12" s="4493"/>
      <c r="R12" s="4494"/>
    </row>
    <row r="13" spans="2:18" ht="79.2" x14ac:dyDescent="0.25">
      <c r="B13" s="4478" t="s">
        <v>1159</v>
      </c>
      <c r="C13" s="4454" t="s">
        <v>786</v>
      </c>
      <c r="D13" s="4455">
        <v>1500000</v>
      </c>
      <c r="E13" s="4456">
        <v>52100</v>
      </c>
      <c r="F13" s="4455">
        <v>250000</v>
      </c>
      <c r="G13" s="4457">
        <v>0</v>
      </c>
      <c r="H13" s="4458">
        <v>6000000</v>
      </c>
      <c r="I13" s="4459">
        <v>22000</v>
      </c>
      <c r="J13" s="4460">
        <v>0.25</v>
      </c>
      <c r="K13" s="4461">
        <v>2.3690000000000002</v>
      </c>
      <c r="L13" s="4462">
        <v>0.5</v>
      </c>
      <c r="M13" s="4463">
        <v>0.56818181818181823</v>
      </c>
      <c r="N13" s="4401" t="s">
        <v>1274</v>
      </c>
      <c r="O13" s="4408" t="s">
        <v>1275</v>
      </c>
      <c r="P13" s="4391"/>
      <c r="Q13" s="4489"/>
      <c r="R13" s="4490"/>
    </row>
    <row r="14" spans="2:18" ht="79.2" x14ac:dyDescent="0.25">
      <c r="B14" s="4479" t="s">
        <v>1159</v>
      </c>
      <c r="C14" s="4495" t="s">
        <v>1193</v>
      </c>
      <c r="D14" s="4430">
        <v>25600</v>
      </c>
      <c r="E14" s="4431">
        <v>195400</v>
      </c>
      <c r="F14" s="4497">
        <v>0</v>
      </c>
      <c r="G14" s="4498">
        <v>0</v>
      </c>
      <c r="H14" s="4432">
        <v>12406000</v>
      </c>
      <c r="I14" s="4438">
        <v>2486000</v>
      </c>
      <c r="J14" s="4434">
        <v>2.0600000000000002E-3</v>
      </c>
      <c r="K14" s="4435">
        <v>7.8600000000000003E-2</v>
      </c>
      <c r="L14" s="4436">
        <v>0.44131871674995971</v>
      </c>
      <c r="M14" s="4437">
        <v>0.50281576830249397</v>
      </c>
      <c r="N14" s="4402" t="s">
        <v>1276</v>
      </c>
      <c r="O14" s="4410" t="s">
        <v>1277</v>
      </c>
      <c r="P14" s="4391"/>
      <c r="Q14" s="4483"/>
      <c r="R14" s="4484"/>
    </row>
    <row r="15" spans="2:18" ht="79.2" x14ac:dyDescent="0.25">
      <c r="B15" s="4479" t="s">
        <v>827</v>
      </c>
      <c r="C15" s="4464" t="s">
        <v>788</v>
      </c>
      <c r="D15" s="4430">
        <v>9900</v>
      </c>
      <c r="E15" s="4431"/>
      <c r="F15" s="4430">
        <v>2400</v>
      </c>
      <c r="G15" s="4431">
        <v>0</v>
      </c>
      <c r="H15" s="4432">
        <v>68000</v>
      </c>
      <c r="I15" s="4438">
        <v>0</v>
      </c>
      <c r="J15" s="4434">
        <v>0.14499999999999999</v>
      </c>
      <c r="K15" s="4435" t="s">
        <v>1149</v>
      </c>
      <c r="L15" s="4436">
        <v>0.5</v>
      </c>
      <c r="M15" s="4437">
        <v>0</v>
      </c>
      <c r="N15" s="4402" t="s">
        <v>1278</v>
      </c>
      <c r="O15" s="4410" t="s">
        <v>1279</v>
      </c>
      <c r="P15" s="4391"/>
      <c r="Q15" s="4483"/>
      <c r="R15" s="4484"/>
    </row>
    <row r="16" spans="2:18" ht="79.2" x14ac:dyDescent="0.25">
      <c r="B16" s="4479" t="s">
        <v>1159</v>
      </c>
      <c r="C16" s="4496" t="s">
        <v>1194</v>
      </c>
      <c r="D16" s="4430">
        <v>1875400</v>
      </c>
      <c r="E16" s="4431">
        <v>14200</v>
      </c>
      <c r="F16" s="4430">
        <v>468900</v>
      </c>
      <c r="G16" s="4431">
        <v>3600</v>
      </c>
      <c r="H16" s="4432">
        <v>6336000</v>
      </c>
      <c r="I16" s="4438">
        <v>22000</v>
      </c>
      <c r="J16" s="4434">
        <v>0.29598999999999998</v>
      </c>
      <c r="K16" s="4435">
        <v>0.64700000000000002</v>
      </c>
      <c r="L16" s="4436">
        <v>0.5</v>
      </c>
      <c r="M16" s="4437">
        <v>0.5</v>
      </c>
      <c r="N16" s="4402" t="s">
        <v>1280</v>
      </c>
      <c r="O16" s="4410" t="s">
        <v>1281</v>
      </c>
      <c r="P16" s="4391"/>
      <c r="Q16" s="4483"/>
      <c r="R16" s="4484"/>
    </row>
    <row r="17" spans="2:18" ht="79.8" thickBot="1" x14ac:dyDescent="0.3">
      <c r="B17" s="4480" t="s">
        <v>827</v>
      </c>
      <c r="C17" s="4465" t="s">
        <v>790</v>
      </c>
      <c r="D17" s="4466">
        <v>512000</v>
      </c>
      <c r="E17" s="4467"/>
      <c r="F17" s="4466">
        <v>192000</v>
      </c>
      <c r="G17" s="4467">
        <v>0</v>
      </c>
      <c r="H17" s="4468">
        <v>4000000</v>
      </c>
      <c r="I17" s="4469">
        <v>0</v>
      </c>
      <c r="J17" s="4470">
        <v>0.128</v>
      </c>
      <c r="K17" s="4471" t="s">
        <v>1149</v>
      </c>
      <c r="L17" s="4472">
        <v>0.5</v>
      </c>
      <c r="M17" s="4473">
        <v>0</v>
      </c>
      <c r="N17" s="4507" t="s">
        <v>1282</v>
      </c>
      <c r="O17" s="4508" t="s">
        <v>1283</v>
      </c>
      <c r="P17" s="4391"/>
      <c r="Q17" s="4487"/>
      <c r="R17" s="4488"/>
    </row>
    <row r="18" spans="2:18" ht="13.8" thickBot="1" x14ac:dyDescent="0.3">
      <c r="B18" s="4398"/>
      <c r="C18" s="4393" t="s">
        <v>801</v>
      </c>
      <c r="D18" s="4394">
        <v>8942100</v>
      </c>
      <c r="E18" s="4395">
        <v>261700</v>
      </c>
      <c r="F18" s="4394">
        <v>4921000</v>
      </c>
      <c r="G18" s="4395">
        <v>3600</v>
      </c>
      <c r="H18" s="4396">
        <v>67160000</v>
      </c>
      <c r="I18" s="4397">
        <v>2580000</v>
      </c>
      <c r="J18" s="4391"/>
      <c r="K18" s="4391"/>
      <c r="L18" s="4391"/>
      <c r="M18" s="4391"/>
      <c r="N18" s="4391"/>
      <c r="O18" s="4391"/>
      <c r="P18" s="4391"/>
      <c r="Q18" s="4391"/>
      <c r="R18" s="4391"/>
    </row>
    <row r="19" spans="2:18" x14ac:dyDescent="0.25">
      <c r="B19" s="3740"/>
      <c r="C19" s="3737"/>
      <c r="D19" s="3739"/>
      <c r="E19" s="3739"/>
      <c r="F19" s="3737"/>
      <c r="G19" s="3737"/>
      <c r="H19" s="3737"/>
      <c r="I19" s="3737"/>
      <c r="J19" s="3737"/>
      <c r="K19" s="3737"/>
      <c r="L19" s="3737"/>
      <c r="M19" s="3737"/>
      <c r="N19" s="3737"/>
      <c r="O19" s="3737"/>
    </row>
    <row r="20" spans="2:18" x14ac:dyDescent="0.25">
      <c r="B20" s="3740"/>
      <c r="C20" s="3737"/>
      <c r="D20" s="3739"/>
      <c r="E20" s="3739"/>
      <c r="F20" s="3737"/>
      <c r="G20" s="3737"/>
      <c r="H20" s="3737"/>
      <c r="I20" s="3737"/>
      <c r="J20" s="3737"/>
      <c r="K20" s="3737"/>
      <c r="L20" s="3737"/>
      <c r="M20" s="3737"/>
      <c r="N20" s="3737"/>
      <c r="O20" s="3737"/>
    </row>
    <row r="21" spans="2:18" x14ac:dyDescent="0.25">
      <c r="B21" s="3740"/>
      <c r="C21" s="3737"/>
      <c r="D21" s="3737"/>
      <c r="E21" s="3737"/>
      <c r="F21" s="3737"/>
      <c r="G21" s="3737"/>
      <c r="H21" s="3737"/>
      <c r="I21" s="3737"/>
      <c r="J21" s="3737"/>
      <c r="K21" s="3737"/>
      <c r="L21" s="3737"/>
      <c r="M21" s="3737"/>
      <c r="N21" s="3737"/>
      <c r="O21" s="3737"/>
    </row>
    <row r="22" spans="2:18" x14ac:dyDescent="0.25">
      <c r="B22" s="3740"/>
      <c r="C22" s="3737"/>
      <c r="D22" s="3737"/>
      <c r="E22" s="3737"/>
      <c r="F22" s="3737"/>
      <c r="G22" s="3737"/>
      <c r="H22" s="3737"/>
      <c r="I22" s="3737"/>
      <c r="J22" s="3737"/>
      <c r="K22" s="3737"/>
      <c r="L22" s="3737"/>
      <c r="M22" s="3737"/>
      <c r="N22" s="3737"/>
      <c r="O22" s="3737"/>
    </row>
    <row r="23" spans="2:18" x14ac:dyDescent="0.25">
      <c r="B23" s="3740"/>
      <c r="C23" s="3737"/>
      <c r="D23" s="3737"/>
      <c r="E23" s="3741"/>
      <c r="F23" s="3737"/>
      <c r="G23" s="3737"/>
      <c r="H23" s="3737"/>
      <c r="I23" s="3737"/>
      <c r="J23" s="3737"/>
      <c r="K23" s="3737"/>
      <c r="L23" s="3737"/>
      <c r="M23" s="3737"/>
      <c r="N23" s="3737"/>
      <c r="O23" s="3737"/>
    </row>
    <row r="24" spans="2:18" x14ac:dyDescent="0.25">
      <c r="B24" s="3740"/>
      <c r="C24" s="3737"/>
      <c r="D24" s="3737"/>
      <c r="E24" s="3737"/>
      <c r="F24" s="3737"/>
      <c r="G24" s="3737"/>
      <c r="H24" s="3737"/>
      <c r="I24" s="3737"/>
      <c r="J24" s="3737"/>
      <c r="K24" s="3737"/>
      <c r="L24" s="3737"/>
      <c r="M24" s="3737"/>
      <c r="N24" s="3737"/>
      <c r="O24" s="3737"/>
    </row>
  </sheetData>
  <mergeCells count="6">
    <mergeCell ref="L5:M5"/>
    <mergeCell ref="N5:O5"/>
    <mergeCell ref="D5:E5"/>
    <mergeCell ref="F5:G5"/>
    <mergeCell ref="H5:I5"/>
    <mergeCell ref="J5:K5"/>
  </mergeCells>
  <pageMargins left="0.7" right="0.7" top="0.75" bottom="0.75" header="0.3" footer="0.3"/>
  <pageSetup paperSize="17" scale="6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Y104"/>
  <sheetViews>
    <sheetView workbookViewId="0">
      <pane xSplit="1" ySplit="1" topLeftCell="B80" activePane="bottomRight" state="frozen"/>
      <selection pane="topRight" activeCell="B1" sqref="B1"/>
      <selection pane="bottomLeft" activeCell="A2" sqref="A2"/>
      <selection pane="bottomRight" activeCell="A4" sqref="A4"/>
    </sheetView>
  </sheetViews>
  <sheetFormatPr defaultRowHeight="13.2" x14ac:dyDescent="0.25"/>
  <cols>
    <col min="1" max="1" width="15.88671875" style="3369" customWidth="1"/>
    <col min="2" max="2" width="19.33203125" customWidth="1"/>
    <col min="3" max="3" width="34" customWidth="1"/>
    <col min="4" max="4" width="19.6640625" style="19" bestFit="1" customWidth="1"/>
    <col min="5" max="5" width="15.33203125" bestFit="1" customWidth="1"/>
    <col min="6" max="6" width="15.88671875" bestFit="1" customWidth="1"/>
    <col min="7" max="7" width="13.44140625" customWidth="1"/>
    <col min="8" max="8" width="15.33203125" bestFit="1" customWidth="1"/>
    <col min="9" max="9" width="14.109375" bestFit="1" customWidth="1"/>
    <col min="10" max="10" width="15.33203125" customWidth="1"/>
    <col min="11" max="11" width="15.88671875" customWidth="1"/>
    <col min="12" max="12" width="17" bestFit="1" customWidth="1"/>
    <col min="13" max="13" width="12.6640625" customWidth="1"/>
    <col min="14" max="14" width="13.6640625" customWidth="1"/>
    <col min="15" max="15" width="13.88671875" bestFit="1" customWidth="1"/>
    <col min="16" max="16" width="15.5546875" bestFit="1" customWidth="1"/>
    <col min="17" max="17" width="16.109375" customWidth="1"/>
    <col min="18" max="18" width="16.6640625" bestFit="1" customWidth="1"/>
    <col min="19" max="20" width="15.5546875" bestFit="1" customWidth="1"/>
    <col min="21" max="21" width="16.44140625" bestFit="1" customWidth="1"/>
    <col min="22" max="22" width="14.33203125" customWidth="1"/>
    <col min="23" max="23" width="12.88671875" bestFit="1" customWidth="1"/>
    <col min="24" max="24" width="11.33203125" bestFit="1" customWidth="1"/>
    <col min="25" max="25" width="12.5546875" bestFit="1" customWidth="1"/>
    <col min="26" max="26" width="14" bestFit="1" customWidth="1"/>
    <col min="27" max="27" width="6" bestFit="1" customWidth="1"/>
    <col min="28" max="28" width="15" customWidth="1"/>
    <col min="29" max="29" width="14.88671875" bestFit="1" customWidth="1"/>
    <col min="30" max="30" width="16.109375" bestFit="1" customWidth="1"/>
    <col min="258" max="258" width="24" bestFit="1" customWidth="1"/>
    <col min="259" max="259" width="45.6640625" bestFit="1" customWidth="1"/>
    <col min="260" max="260" width="19.6640625" bestFit="1" customWidth="1"/>
    <col min="261" max="261" width="15.33203125" bestFit="1" customWidth="1"/>
    <col min="262" max="262" width="15.88671875" bestFit="1" customWidth="1"/>
    <col min="263" max="263" width="13.44140625" customWidth="1"/>
    <col min="264" max="264" width="15.33203125" bestFit="1" customWidth="1"/>
    <col min="265" max="265" width="14.109375" bestFit="1" customWidth="1"/>
    <col min="266" max="266" width="15.33203125" customWidth="1"/>
    <col min="267" max="267" width="15.88671875" customWidth="1"/>
    <col min="268" max="268" width="17" bestFit="1" customWidth="1"/>
    <col min="269" max="269" width="12.6640625" customWidth="1"/>
    <col min="270" max="270" width="13.6640625" customWidth="1"/>
    <col min="271" max="271" width="13.88671875" bestFit="1" customWidth="1"/>
    <col min="272" max="272" width="15.5546875" bestFit="1" customWidth="1"/>
    <col min="273" max="273" width="16.109375" customWidth="1"/>
    <col min="274" max="274" width="16.6640625" bestFit="1" customWidth="1"/>
    <col min="275" max="276" width="15.5546875" bestFit="1" customWidth="1"/>
    <col min="277" max="277" width="16.44140625" bestFit="1" customWidth="1"/>
    <col min="278" max="278" width="14.33203125" customWidth="1"/>
    <col min="279" max="279" width="12.88671875" bestFit="1" customWidth="1"/>
    <col min="280" max="280" width="11.33203125" bestFit="1" customWidth="1"/>
    <col min="281" max="281" width="12.5546875" bestFit="1" customWidth="1"/>
    <col min="282" max="282" width="14" bestFit="1" customWidth="1"/>
    <col min="283" max="283" width="6" bestFit="1" customWidth="1"/>
    <col min="284" max="284" width="15" customWidth="1"/>
    <col min="285" max="285" width="14.88671875" bestFit="1" customWidth="1"/>
    <col min="286" max="286" width="16.109375" bestFit="1" customWidth="1"/>
    <col min="514" max="514" width="24" bestFit="1" customWidth="1"/>
    <col min="515" max="515" width="45.6640625" bestFit="1" customWidth="1"/>
    <col min="516" max="516" width="19.6640625" bestFit="1" customWidth="1"/>
    <col min="517" max="517" width="15.33203125" bestFit="1" customWidth="1"/>
    <col min="518" max="518" width="15.88671875" bestFit="1" customWidth="1"/>
    <col min="519" max="519" width="13.44140625" customWidth="1"/>
    <col min="520" max="520" width="15.33203125" bestFit="1" customWidth="1"/>
    <col min="521" max="521" width="14.109375" bestFit="1" customWidth="1"/>
    <col min="522" max="522" width="15.33203125" customWidth="1"/>
    <col min="523" max="523" width="15.88671875" customWidth="1"/>
    <col min="524" max="524" width="17" bestFit="1" customWidth="1"/>
    <col min="525" max="525" width="12.6640625" customWidth="1"/>
    <col min="526" max="526" width="13.6640625" customWidth="1"/>
    <col min="527" max="527" width="13.88671875" bestFit="1" customWidth="1"/>
    <col min="528" max="528" width="15.5546875" bestFit="1" customWidth="1"/>
    <col min="529" max="529" width="16.109375" customWidth="1"/>
    <col min="530" max="530" width="16.6640625" bestFit="1" customWidth="1"/>
    <col min="531" max="532" width="15.5546875" bestFit="1" customWidth="1"/>
    <col min="533" max="533" width="16.44140625" bestFit="1" customWidth="1"/>
    <col min="534" max="534" width="14.33203125" customWidth="1"/>
    <col min="535" max="535" width="12.88671875" bestFit="1" customWidth="1"/>
    <col min="536" max="536" width="11.33203125" bestFit="1" customWidth="1"/>
    <col min="537" max="537" width="12.5546875" bestFit="1" customWidth="1"/>
    <col min="538" max="538" width="14" bestFit="1" customWidth="1"/>
    <col min="539" max="539" width="6" bestFit="1" customWidth="1"/>
    <col min="540" max="540" width="15" customWidth="1"/>
    <col min="541" max="541" width="14.88671875" bestFit="1" customWidth="1"/>
    <col min="542" max="542" width="16.109375" bestFit="1" customWidth="1"/>
    <col min="770" max="770" width="24" bestFit="1" customWidth="1"/>
    <col min="771" max="771" width="45.6640625" bestFit="1" customWidth="1"/>
    <col min="772" max="772" width="19.6640625" bestFit="1" customWidth="1"/>
    <col min="773" max="773" width="15.33203125" bestFit="1" customWidth="1"/>
    <col min="774" max="774" width="15.88671875" bestFit="1" customWidth="1"/>
    <col min="775" max="775" width="13.44140625" customWidth="1"/>
    <col min="776" max="776" width="15.33203125" bestFit="1" customWidth="1"/>
    <col min="777" max="777" width="14.109375" bestFit="1" customWidth="1"/>
    <col min="778" max="778" width="15.33203125" customWidth="1"/>
    <col min="779" max="779" width="15.88671875" customWidth="1"/>
    <col min="780" max="780" width="17" bestFit="1" customWidth="1"/>
    <col min="781" max="781" width="12.6640625" customWidth="1"/>
    <col min="782" max="782" width="13.6640625" customWidth="1"/>
    <col min="783" max="783" width="13.88671875" bestFit="1" customWidth="1"/>
    <col min="784" max="784" width="15.5546875" bestFit="1" customWidth="1"/>
    <col min="785" max="785" width="16.109375" customWidth="1"/>
    <col min="786" max="786" width="16.6640625" bestFit="1" customWidth="1"/>
    <col min="787" max="788" width="15.5546875" bestFit="1" customWidth="1"/>
    <col min="789" max="789" width="16.44140625" bestFit="1" customWidth="1"/>
    <col min="790" max="790" width="14.33203125" customWidth="1"/>
    <col min="791" max="791" width="12.88671875" bestFit="1" customWidth="1"/>
    <col min="792" max="792" width="11.33203125" bestFit="1" customWidth="1"/>
    <col min="793" max="793" width="12.5546875" bestFit="1" customWidth="1"/>
    <col min="794" max="794" width="14" bestFit="1" customWidth="1"/>
    <col min="795" max="795" width="6" bestFit="1" customWidth="1"/>
    <col min="796" max="796" width="15" customWidth="1"/>
    <col min="797" max="797" width="14.88671875" bestFit="1" customWidth="1"/>
    <col min="798" max="798" width="16.109375" bestFit="1" customWidth="1"/>
    <col min="1026" max="1026" width="24" bestFit="1" customWidth="1"/>
    <col min="1027" max="1027" width="45.6640625" bestFit="1" customWidth="1"/>
    <col min="1028" max="1028" width="19.6640625" bestFit="1" customWidth="1"/>
    <col min="1029" max="1029" width="15.33203125" bestFit="1" customWidth="1"/>
    <col min="1030" max="1030" width="15.88671875" bestFit="1" customWidth="1"/>
    <col min="1031" max="1031" width="13.44140625" customWidth="1"/>
    <col min="1032" max="1032" width="15.33203125" bestFit="1" customWidth="1"/>
    <col min="1033" max="1033" width="14.109375" bestFit="1" customWidth="1"/>
    <col min="1034" max="1034" width="15.33203125" customWidth="1"/>
    <col min="1035" max="1035" width="15.88671875" customWidth="1"/>
    <col min="1036" max="1036" width="17" bestFit="1" customWidth="1"/>
    <col min="1037" max="1037" width="12.6640625" customWidth="1"/>
    <col min="1038" max="1038" width="13.6640625" customWidth="1"/>
    <col min="1039" max="1039" width="13.88671875" bestFit="1" customWidth="1"/>
    <col min="1040" max="1040" width="15.5546875" bestFit="1" customWidth="1"/>
    <col min="1041" max="1041" width="16.109375" customWidth="1"/>
    <col min="1042" max="1042" width="16.6640625" bestFit="1" customWidth="1"/>
    <col min="1043" max="1044" width="15.5546875" bestFit="1" customWidth="1"/>
    <col min="1045" max="1045" width="16.44140625" bestFit="1" customWidth="1"/>
    <col min="1046" max="1046" width="14.33203125" customWidth="1"/>
    <col min="1047" max="1047" width="12.88671875" bestFit="1" customWidth="1"/>
    <col min="1048" max="1048" width="11.33203125" bestFit="1" customWidth="1"/>
    <col min="1049" max="1049" width="12.5546875" bestFit="1" customWidth="1"/>
    <col min="1050" max="1050" width="14" bestFit="1" customWidth="1"/>
    <col min="1051" max="1051" width="6" bestFit="1" customWidth="1"/>
    <col min="1052" max="1052" width="15" customWidth="1"/>
    <col min="1053" max="1053" width="14.88671875" bestFit="1" customWidth="1"/>
    <col min="1054" max="1054" width="16.109375" bestFit="1" customWidth="1"/>
    <col min="1282" max="1282" width="24" bestFit="1" customWidth="1"/>
    <col min="1283" max="1283" width="45.6640625" bestFit="1" customWidth="1"/>
    <col min="1284" max="1284" width="19.6640625" bestFit="1" customWidth="1"/>
    <col min="1285" max="1285" width="15.33203125" bestFit="1" customWidth="1"/>
    <col min="1286" max="1286" width="15.88671875" bestFit="1" customWidth="1"/>
    <col min="1287" max="1287" width="13.44140625" customWidth="1"/>
    <col min="1288" max="1288" width="15.33203125" bestFit="1" customWidth="1"/>
    <col min="1289" max="1289" width="14.109375" bestFit="1" customWidth="1"/>
    <col min="1290" max="1290" width="15.33203125" customWidth="1"/>
    <col min="1291" max="1291" width="15.88671875" customWidth="1"/>
    <col min="1292" max="1292" width="17" bestFit="1" customWidth="1"/>
    <col min="1293" max="1293" width="12.6640625" customWidth="1"/>
    <col min="1294" max="1294" width="13.6640625" customWidth="1"/>
    <col min="1295" max="1295" width="13.88671875" bestFit="1" customWidth="1"/>
    <col min="1296" max="1296" width="15.5546875" bestFit="1" customWidth="1"/>
    <col min="1297" max="1297" width="16.109375" customWidth="1"/>
    <col min="1298" max="1298" width="16.6640625" bestFit="1" customWidth="1"/>
    <col min="1299" max="1300" width="15.5546875" bestFit="1" customWidth="1"/>
    <col min="1301" max="1301" width="16.44140625" bestFit="1" customWidth="1"/>
    <col min="1302" max="1302" width="14.33203125" customWidth="1"/>
    <col min="1303" max="1303" width="12.88671875" bestFit="1" customWidth="1"/>
    <col min="1304" max="1304" width="11.33203125" bestFit="1" customWidth="1"/>
    <col min="1305" max="1305" width="12.5546875" bestFit="1" customWidth="1"/>
    <col min="1306" max="1306" width="14" bestFit="1" customWidth="1"/>
    <col min="1307" max="1307" width="6" bestFit="1" customWidth="1"/>
    <col min="1308" max="1308" width="15" customWidth="1"/>
    <col min="1309" max="1309" width="14.88671875" bestFit="1" customWidth="1"/>
    <col min="1310" max="1310" width="16.109375" bestFit="1" customWidth="1"/>
    <col min="1538" max="1538" width="24" bestFit="1" customWidth="1"/>
    <col min="1539" max="1539" width="45.6640625" bestFit="1" customWidth="1"/>
    <col min="1540" max="1540" width="19.6640625" bestFit="1" customWidth="1"/>
    <col min="1541" max="1541" width="15.33203125" bestFit="1" customWidth="1"/>
    <col min="1542" max="1542" width="15.88671875" bestFit="1" customWidth="1"/>
    <col min="1543" max="1543" width="13.44140625" customWidth="1"/>
    <col min="1544" max="1544" width="15.33203125" bestFit="1" customWidth="1"/>
    <col min="1545" max="1545" width="14.109375" bestFit="1" customWidth="1"/>
    <col min="1546" max="1546" width="15.33203125" customWidth="1"/>
    <col min="1547" max="1547" width="15.88671875" customWidth="1"/>
    <col min="1548" max="1548" width="17" bestFit="1" customWidth="1"/>
    <col min="1549" max="1549" width="12.6640625" customWidth="1"/>
    <col min="1550" max="1550" width="13.6640625" customWidth="1"/>
    <col min="1551" max="1551" width="13.88671875" bestFit="1" customWidth="1"/>
    <col min="1552" max="1552" width="15.5546875" bestFit="1" customWidth="1"/>
    <col min="1553" max="1553" width="16.109375" customWidth="1"/>
    <col min="1554" max="1554" width="16.6640625" bestFit="1" customWidth="1"/>
    <col min="1555" max="1556" width="15.5546875" bestFit="1" customWidth="1"/>
    <col min="1557" max="1557" width="16.44140625" bestFit="1" customWidth="1"/>
    <col min="1558" max="1558" width="14.33203125" customWidth="1"/>
    <col min="1559" max="1559" width="12.88671875" bestFit="1" customWidth="1"/>
    <col min="1560" max="1560" width="11.33203125" bestFit="1" customWidth="1"/>
    <col min="1561" max="1561" width="12.5546875" bestFit="1" customWidth="1"/>
    <col min="1562" max="1562" width="14" bestFit="1" customWidth="1"/>
    <col min="1563" max="1563" width="6" bestFit="1" customWidth="1"/>
    <col min="1564" max="1564" width="15" customWidth="1"/>
    <col min="1565" max="1565" width="14.88671875" bestFit="1" customWidth="1"/>
    <col min="1566" max="1566" width="16.109375" bestFit="1" customWidth="1"/>
    <col min="1794" max="1794" width="24" bestFit="1" customWidth="1"/>
    <col min="1795" max="1795" width="45.6640625" bestFit="1" customWidth="1"/>
    <col min="1796" max="1796" width="19.6640625" bestFit="1" customWidth="1"/>
    <col min="1797" max="1797" width="15.33203125" bestFit="1" customWidth="1"/>
    <col min="1798" max="1798" width="15.88671875" bestFit="1" customWidth="1"/>
    <col min="1799" max="1799" width="13.44140625" customWidth="1"/>
    <col min="1800" max="1800" width="15.33203125" bestFit="1" customWidth="1"/>
    <col min="1801" max="1801" width="14.109375" bestFit="1" customWidth="1"/>
    <col min="1802" max="1802" width="15.33203125" customWidth="1"/>
    <col min="1803" max="1803" width="15.88671875" customWidth="1"/>
    <col min="1804" max="1804" width="17" bestFit="1" customWidth="1"/>
    <col min="1805" max="1805" width="12.6640625" customWidth="1"/>
    <col min="1806" max="1806" width="13.6640625" customWidth="1"/>
    <col min="1807" max="1807" width="13.88671875" bestFit="1" customWidth="1"/>
    <col min="1808" max="1808" width="15.5546875" bestFit="1" customWidth="1"/>
    <col min="1809" max="1809" width="16.109375" customWidth="1"/>
    <col min="1810" max="1810" width="16.6640625" bestFit="1" customWidth="1"/>
    <col min="1811" max="1812" width="15.5546875" bestFit="1" customWidth="1"/>
    <col min="1813" max="1813" width="16.44140625" bestFit="1" customWidth="1"/>
    <col min="1814" max="1814" width="14.33203125" customWidth="1"/>
    <col min="1815" max="1815" width="12.88671875" bestFit="1" customWidth="1"/>
    <col min="1816" max="1816" width="11.33203125" bestFit="1" customWidth="1"/>
    <col min="1817" max="1817" width="12.5546875" bestFit="1" customWidth="1"/>
    <col min="1818" max="1818" width="14" bestFit="1" customWidth="1"/>
    <col min="1819" max="1819" width="6" bestFit="1" customWidth="1"/>
    <col min="1820" max="1820" width="15" customWidth="1"/>
    <col min="1821" max="1821" width="14.88671875" bestFit="1" customWidth="1"/>
    <col min="1822" max="1822" width="16.109375" bestFit="1" customWidth="1"/>
    <col min="2050" max="2050" width="24" bestFit="1" customWidth="1"/>
    <col min="2051" max="2051" width="45.6640625" bestFit="1" customWidth="1"/>
    <col min="2052" max="2052" width="19.6640625" bestFit="1" customWidth="1"/>
    <col min="2053" max="2053" width="15.33203125" bestFit="1" customWidth="1"/>
    <col min="2054" max="2054" width="15.88671875" bestFit="1" customWidth="1"/>
    <col min="2055" max="2055" width="13.44140625" customWidth="1"/>
    <col min="2056" max="2056" width="15.33203125" bestFit="1" customWidth="1"/>
    <col min="2057" max="2057" width="14.109375" bestFit="1" customWidth="1"/>
    <col min="2058" max="2058" width="15.33203125" customWidth="1"/>
    <col min="2059" max="2059" width="15.88671875" customWidth="1"/>
    <col min="2060" max="2060" width="17" bestFit="1" customWidth="1"/>
    <col min="2061" max="2061" width="12.6640625" customWidth="1"/>
    <col min="2062" max="2062" width="13.6640625" customWidth="1"/>
    <col min="2063" max="2063" width="13.88671875" bestFit="1" customWidth="1"/>
    <col min="2064" max="2064" width="15.5546875" bestFit="1" customWidth="1"/>
    <col min="2065" max="2065" width="16.109375" customWidth="1"/>
    <col min="2066" max="2066" width="16.6640625" bestFit="1" customWidth="1"/>
    <col min="2067" max="2068" width="15.5546875" bestFit="1" customWidth="1"/>
    <col min="2069" max="2069" width="16.44140625" bestFit="1" customWidth="1"/>
    <col min="2070" max="2070" width="14.33203125" customWidth="1"/>
    <col min="2071" max="2071" width="12.88671875" bestFit="1" customWidth="1"/>
    <col min="2072" max="2072" width="11.33203125" bestFit="1" customWidth="1"/>
    <col min="2073" max="2073" width="12.5546875" bestFit="1" customWidth="1"/>
    <col min="2074" max="2074" width="14" bestFit="1" customWidth="1"/>
    <col min="2075" max="2075" width="6" bestFit="1" customWidth="1"/>
    <col min="2076" max="2076" width="15" customWidth="1"/>
    <col min="2077" max="2077" width="14.88671875" bestFit="1" customWidth="1"/>
    <col min="2078" max="2078" width="16.109375" bestFit="1" customWidth="1"/>
    <col min="2306" max="2306" width="24" bestFit="1" customWidth="1"/>
    <col min="2307" max="2307" width="45.6640625" bestFit="1" customWidth="1"/>
    <col min="2308" max="2308" width="19.6640625" bestFit="1" customWidth="1"/>
    <col min="2309" max="2309" width="15.33203125" bestFit="1" customWidth="1"/>
    <col min="2310" max="2310" width="15.88671875" bestFit="1" customWidth="1"/>
    <col min="2311" max="2311" width="13.44140625" customWidth="1"/>
    <col min="2312" max="2312" width="15.33203125" bestFit="1" customWidth="1"/>
    <col min="2313" max="2313" width="14.109375" bestFit="1" customWidth="1"/>
    <col min="2314" max="2314" width="15.33203125" customWidth="1"/>
    <col min="2315" max="2315" width="15.88671875" customWidth="1"/>
    <col min="2316" max="2316" width="17" bestFit="1" customWidth="1"/>
    <col min="2317" max="2317" width="12.6640625" customWidth="1"/>
    <col min="2318" max="2318" width="13.6640625" customWidth="1"/>
    <col min="2319" max="2319" width="13.88671875" bestFit="1" customWidth="1"/>
    <col min="2320" max="2320" width="15.5546875" bestFit="1" customWidth="1"/>
    <col min="2321" max="2321" width="16.109375" customWidth="1"/>
    <col min="2322" max="2322" width="16.6640625" bestFit="1" customWidth="1"/>
    <col min="2323" max="2324" width="15.5546875" bestFit="1" customWidth="1"/>
    <col min="2325" max="2325" width="16.44140625" bestFit="1" customWidth="1"/>
    <col min="2326" max="2326" width="14.33203125" customWidth="1"/>
    <col min="2327" max="2327" width="12.88671875" bestFit="1" customWidth="1"/>
    <col min="2328" max="2328" width="11.33203125" bestFit="1" customWidth="1"/>
    <col min="2329" max="2329" width="12.5546875" bestFit="1" customWidth="1"/>
    <col min="2330" max="2330" width="14" bestFit="1" customWidth="1"/>
    <col min="2331" max="2331" width="6" bestFit="1" customWidth="1"/>
    <col min="2332" max="2332" width="15" customWidth="1"/>
    <col min="2333" max="2333" width="14.88671875" bestFit="1" customWidth="1"/>
    <col min="2334" max="2334" width="16.109375" bestFit="1" customWidth="1"/>
    <col min="2562" max="2562" width="24" bestFit="1" customWidth="1"/>
    <col min="2563" max="2563" width="45.6640625" bestFit="1" customWidth="1"/>
    <col min="2564" max="2564" width="19.6640625" bestFit="1" customWidth="1"/>
    <col min="2565" max="2565" width="15.33203125" bestFit="1" customWidth="1"/>
    <col min="2566" max="2566" width="15.88671875" bestFit="1" customWidth="1"/>
    <col min="2567" max="2567" width="13.44140625" customWidth="1"/>
    <col min="2568" max="2568" width="15.33203125" bestFit="1" customWidth="1"/>
    <col min="2569" max="2569" width="14.109375" bestFit="1" customWidth="1"/>
    <col min="2570" max="2570" width="15.33203125" customWidth="1"/>
    <col min="2571" max="2571" width="15.88671875" customWidth="1"/>
    <col min="2572" max="2572" width="17" bestFit="1" customWidth="1"/>
    <col min="2573" max="2573" width="12.6640625" customWidth="1"/>
    <col min="2574" max="2574" width="13.6640625" customWidth="1"/>
    <col min="2575" max="2575" width="13.88671875" bestFit="1" customWidth="1"/>
    <col min="2576" max="2576" width="15.5546875" bestFit="1" customWidth="1"/>
    <col min="2577" max="2577" width="16.109375" customWidth="1"/>
    <col min="2578" max="2578" width="16.6640625" bestFit="1" customWidth="1"/>
    <col min="2579" max="2580" width="15.5546875" bestFit="1" customWidth="1"/>
    <col min="2581" max="2581" width="16.44140625" bestFit="1" customWidth="1"/>
    <col min="2582" max="2582" width="14.33203125" customWidth="1"/>
    <col min="2583" max="2583" width="12.88671875" bestFit="1" customWidth="1"/>
    <col min="2584" max="2584" width="11.33203125" bestFit="1" customWidth="1"/>
    <col min="2585" max="2585" width="12.5546875" bestFit="1" customWidth="1"/>
    <col min="2586" max="2586" width="14" bestFit="1" customWidth="1"/>
    <col min="2587" max="2587" width="6" bestFit="1" customWidth="1"/>
    <col min="2588" max="2588" width="15" customWidth="1"/>
    <col min="2589" max="2589" width="14.88671875" bestFit="1" customWidth="1"/>
    <col min="2590" max="2590" width="16.109375" bestFit="1" customWidth="1"/>
    <col min="2818" max="2818" width="24" bestFit="1" customWidth="1"/>
    <col min="2819" max="2819" width="45.6640625" bestFit="1" customWidth="1"/>
    <col min="2820" max="2820" width="19.6640625" bestFit="1" customWidth="1"/>
    <col min="2821" max="2821" width="15.33203125" bestFit="1" customWidth="1"/>
    <col min="2822" max="2822" width="15.88671875" bestFit="1" customWidth="1"/>
    <col min="2823" max="2823" width="13.44140625" customWidth="1"/>
    <col min="2824" max="2824" width="15.33203125" bestFit="1" customWidth="1"/>
    <col min="2825" max="2825" width="14.109375" bestFit="1" customWidth="1"/>
    <col min="2826" max="2826" width="15.33203125" customWidth="1"/>
    <col min="2827" max="2827" width="15.88671875" customWidth="1"/>
    <col min="2828" max="2828" width="17" bestFit="1" customWidth="1"/>
    <col min="2829" max="2829" width="12.6640625" customWidth="1"/>
    <col min="2830" max="2830" width="13.6640625" customWidth="1"/>
    <col min="2831" max="2831" width="13.88671875" bestFit="1" customWidth="1"/>
    <col min="2832" max="2832" width="15.5546875" bestFit="1" customWidth="1"/>
    <col min="2833" max="2833" width="16.109375" customWidth="1"/>
    <col min="2834" max="2834" width="16.6640625" bestFit="1" customWidth="1"/>
    <col min="2835" max="2836" width="15.5546875" bestFit="1" customWidth="1"/>
    <col min="2837" max="2837" width="16.44140625" bestFit="1" customWidth="1"/>
    <col min="2838" max="2838" width="14.33203125" customWidth="1"/>
    <col min="2839" max="2839" width="12.88671875" bestFit="1" customWidth="1"/>
    <col min="2840" max="2840" width="11.33203125" bestFit="1" customWidth="1"/>
    <col min="2841" max="2841" width="12.5546875" bestFit="1" customWidth="1"/>
    <col min="2842" max="2842" width="14" bestFit="1" customWidth="1"/>
    <col min="2843" max="2843" width="6" bestFit="1" customWidth="1"/>
    <col min="2844" max="2844" width="15" customWidth="1"/>
    <col min="2845" max="2845" width="14.88671875" bestFit="1" customWidth="1"/>
    <col min="2846" max="2846" width="16.109375" bestFit="1" customWidth="1"/>
    <col min="3074" max="3074" width="24" bestFit="1" customWidth="1"/>
    <col min="3075" max="3075" width="45.6640625" bestFit="1" customWidth="1"/>
    <col min="3076" max="3076" width="19.6640625" bestFit="1" customWidth="1"/>
    <col min="3077" max="3077" width="15.33203125" bestFit="1" customWidth="1"/>
    <col min="3078" max="3078" width="15.88671875" bestFit="1" customWidth="1"/>
    <col min="3079" max="3079" width="13.44140625" customWidth="1"/>
    <col min="3080" max="3080" width="15.33203125" bestFit="1" customWidth="1"/>
    <col min="3081" max="3081" width="14.109375" bestFit="1" customWidth="1"/>
    <col min="3082" max="3082" width="15.33203125" customWidth="1"/>
    <col min="3083" max="3083" width="15.88671875" customWidth="1"/>
    <col min="3084" max="3084" width="17" bestFit="1" customWidth="1"/>
    <col min="3085" max="3085" width="12.6640625" customWidth="1"/>
    <col min="3086" max="3086" width="13.6640625" customWidth="1"/>
    <col min="3087" max="3087" width="13.88671875" bestFit="1" customWidth="1"/>
    <col min="3088" max="3088" width="15.5546875" bestFit="1" customWidth="1"/>
    <col min="3089" max="3089" width="16.109375" customWidth="1"/>
    <col min="3090" max="3090" width="16.6640625" bestFit="1" customWidth="1"/>
    <col min="3091" max="3092" width="15.5546875" bestFit="1" customWidth="1"/>
    <col min="3093" max="3093" width="16.44140625" bestFit="1" customWidth="1"/>
    <col min="3094" max="3094" width="14.33203125" customWidth="1"/>
    <col min="3095" max="3095" width="12.88671875" bestFit="1" customWidth="1"/>
    <col min="3096" max="3096" width="11.33203125" bestFit="1" customWidth="1"/>
    <col min="3097" max="3097" width="12.5546875" bestFit="1" customWidth="1"/>
    <col min="3098" max="3098" width="14" bestFit="1" customWidth="1"/>
    <col min="3099" max="3099" width="6" bestFit="1" customWidth="1"/>
    <col min="3100" max="3100" width="15" customWidth="1"/>
    <col min="3101" max="3101" width="14.88671875" bestFit="1" customWidth="1"/>
    <col min="3102" max="3102" width="16.109375" bestFit="1" customWidth="1"/>
    <col min="3330" max="3330" width="24" bestFit="1" customWidth="1"/>
    <col min="3331" max="3331" width="45.6640625" bestFit="1" customWidth="1"/>
    <col min="3332" max="3332" width="19.6640625" bestFit="1" customWidth="1"/>
    <col min="3333" max="3333" width="15.33203125" bestFit="1" customWidth="1"/>
    <col min="3334" max="3334" width="15.88671875" bestFit="1" customWidth="1"/>
    <col min="3335" max="3335" width="13.44140625" customWidth="1"/>
    <col min="3336" max="3336" width="15.33203125" bestFit="1" customWidth="1"/>
    <col min="3337" max="3337" width="14.109375" bestFit="1" customWidth="1"/>
    <col min="3338" max="3338" width="15.33203125" customWidth="1"/>
    <col min="3339" max="3339" width="15.88671875" customWidth="1"/>
    <col min="3340" max="3340" width="17" bestFit="1" customWidth="1"/>
    <col min="3341" max="3341" width="12.6640625" customWidth="1"/>
    <col min="3342" max="3342" width="13.6640625" customWidth="1"/>
    <col min="3343" max="3343" width="13.88671875" bestFit="1" customWidth="1"/>
    <col min="3344" max="3344" width="15.5546875" bestFit="1" customWidth="1"/>
    <col min="3345" max="3345" width="16.109375" customWidth="1"/>
    <col min="3346" max="3346" width="16.6640625" bestFit="1" customWidth="1"/>
    <col min="3347" max="3348" width="15.5546875" bestFit="1" customWidth="1"/>
    <col min="3349" max="3349" width="16.44140625" bestFit="1" customWidth="1"/>
    <col min="3350" max="3350" width="14.33203125" customWidth="1"/>
    <col min="3351" max="3351" width="12.88671875" bestFit="1" customWidth="1"/>
    <col min="3352" max="3352" width="11.33203125" bestFit="1" customWidth="1"/>
    <col min="3353" max="3353" width="12.5546875" bestFit="1" customWidth="1"/>
    <col min="3354" max="3354" width="14" bestFit="1" customWidth="1"/>
    <col min="3355" max="3355" width="6" bestFit="1" customWidth="1"/>
    <col min="3356" max="3356" width="15" customWidth="1"/>
    <col min="3357" max="3357" width="14.88671875" bestFit="1" customWidth="1"/>
    <col min="3358" max="3358" width="16.109375" bestFit="1" customWidth="1"/>
    <col min="3586" max="3586" width="24" bestFit="1" customWidth="1"/>
    <col min="3587" max="3587" width="45.6640625" bestFit="1" customWidth="1"/>
    <col min="3588" max="3588" width="19.6640625" bestFit="1" customWidth="1"/>
    <col min="3589" max="3589" width="15.33203125" bestFit="1" customWidth="1"/>
    <col min="3590" max="3590" width="15.88671875" bestFit="1" customWidth="1"/>
    <col min="3591" max="3591" width="13.44140625" customWidth="1"/>
    <col min="3592" max="3592" width="15.33203125" bestFit="1" customWidth="1"/>
    <col min="3593" max="3593" width="14.109375" bestFit="1" customWidth="1"/>
    <col min="3594" max="3594" width="15.33203125" customWidth="1"/>
    <col min="3595" max="3595" width="15.88671875" customWidth="1"/>
    <col min="3596" max="3596" width="17" bestFit="1" customWidth="1"/>
    <col min="3597" max="3597" width="12.6640625" customWidth="1"/>
    <col min="3598" max="3598" width="13.6640625" customWidth="1"/>
    <col min="3599" max="3599" width="13.88671875" bestFit="1" customWidth="1"/>
    <col min="3600" max="3600" width="15.5546875" bestFit="1" customWidth="1"/>
    <col min="3601" max="3601" width="16.109375" customWidth="1"/>
    <col min="3602" max="3602" width="16.6640625" bestFit="1" customWidth="1"/>
    <col min="3603" max="3604" width="15.5546875" bestFit="1" customWidth="1"/>
    <col min="3605" max="3605" width="16.44140625" bestFit="1" customWidth="1"/>
    <col min="3606" max="3606" width="14.33203125" customWidth="1"/>
    <col min="3607" max="3607" width="12.88671875" bestFit="1" customWidth="1"/>
    <col min="3608" max="3608" width="11.33203125" bestFit="1" customWidth="1"/>
    <col min="3609" max="3609" width="12.5546875" bestFit="1" customWidth="1"/>
    <col min="3610" max="3610" width="14" bestFit="1" customWidth="1"/>
    <col min="3611" max="3611" width="6" bestFit="1" customWidth="1"/>
    <col min="3612" max="3612" width="15" customWidth="1"/>
    <col min="3613" max="3613" width="14.88671875" bestFit="1" customWidth="1"/>
    <col min="3614" max="3614" width="16.109375" bestFit="1" customWidth="1"/>
    <col min="3842" max="3842" width="24" bestFit="1" customWidth="1"/>
    <col min="3843" max="3843" width="45.6640625" bestFit="1" customWidth="1"/>
    <col min="3844" max="3844" width="19.6640625" bestFit="1" customWidth="1"/>
    <col min="3845" max="3845" width="15.33203125" bestFit="1" customWidth="1"/>
    <col min="3846" max="3846" width="15.88671875" bestFit="1" customWidth="1"/>
    <col min="3847" max="3847" width="13.44140625" customWidth="1"/>
    <col min="3848" max="3848" width="15.33203125" bestFit="1" customWidth="1"/>
    <col min="3849" max="3849" width="14.109375" bestFit="1" customWidth="1"/>
    <col min="3850" max="3850" width="15.33203125" customWidth="1"/>
    <col min="3851" max="3851" width="15.88671875" customWidth="1"/>
    <col min="3852" max="3852" width="17" bestFit="1" customWidth="1"/>
    <col min="3853" max="3853" width="12.6640625" customWidth="1"/>
    <col min="3854" max="3854" width="13.6640625" customWidth="1"/>
    <col min="3855" max="3855" width="13.88671875" bestFit="1" customWidth="1"/>
    <col min="3856" max="3856" width="15.5546875" bestFit="1" customWidth="1"/>
    <col min="3857" max="3857" width="16.109375" customWidth="1"/>
    <col min="3858" max="3858" width="16.6640625" bestFit="1" customWidth="1"/>
    <col min="3859" max="3860" width="15.5546875" bestFit="1" customWidth="1"/>
    <col min="3861" max="3861" width="16.44140625" bestFit="1" customWidth="1"/>
    <col min="3862" max="3862" width="14.33203125" customWidth="1"/>
    <col min="3863" max="3863" width="12.88671875" bestFit="1" customWidth="1"/>
    <col min="3864" max="3864" width="11.33203125" bestFit="1" customWidth="1"/>
    <col min="3865" max="3865" width="12.5546875" bestFit="1" customWidth="1"/>
    <col min="3866" max="3866" width="14" bestFit="1" customWidth="1"/>
    <col min="3867" max="3867" width="6" bestFit="1" customWidth="1"/>
    <col min="3868" max="3868" width="15" customWidth="1"/>
    <col min="3869" max="3869" width="14.88671875" bestFit="1" customWidth="1"/>
    <col min="3870" max="3870" width="16.109375" bestFit="1" customWidth="1"/>
    <col min="4098" max="4098" width="24" bestFit="1" customWidth="1"/>
    <col min="4099" max="4099" width="45.6640625" bestFit="1" customWidth="1"/>
    <col min="4100" max="4100" width="19.6640625" bestFit="1" customWidth="1"/>
    <col min="4101" max="4101" width="15.33203125" bestFit="1" customWidth="1"/>
    <col min="4102" max="4102" width="15.88671875" bestFit="1" customWidth="1"/>
    <col min="4103" max="4103" width="13.44140625" customWidth="1"/>
    <col min="4104" max="4104" width="15.33203125" bestFit="1" customWidth="1"/>
    <col min="4105" max="4105" width="14.109375" bestFit="1" customWidth="1"/>
    <col min="4106" max="4106" width="15.33203125" customWidth="1"/>
    <col min="4107" max="4107" width="15.88671875" customWidth="1"/>
    <col min="4108" max="4108" width="17" bestFit="1" customWidth="1"/>
    <col min="4109" max="4109" width="12.6640625" customWidth="1"/>
    <col min="4110" max="4110" width="13.6640625" customWidth="1"/>
    <col min="4111" max="4111" width="13.88671875" bestFit="1" customWidth="1"/>
    <col min="4112" max="4112" width="15.5546875" bestFit="1" customWidth="1"/>
    <col min="4113" max="4113" width="16.109375" customWidth="1"/>
    <col min="4114" max="4114" width="16.6640625" bestFit="1" customWidth="1"/>
    <col min="4115" max="4116" width="15.5546875" bestFit="1" customWidth="1"/>
    <col min="4117" max="4117" width="16.44140625" bestFit="1" customWidth="1"/>
    <col min="4118" max="4118" width="14.33203125" customWidth="1"/>
    <col min="4119" max="4119" width="12.88671875" bestFit="1" customWidth="1"/>
    <col min="4120" max="4120" width="11.33203125" bestFit="1" customWidth="1"/>
    <col min="4121" max="4121" width="12.5546875" bestFit="1" customWidth="1"/>
    <col min="4122" max="4122" width="14" bestFit="1" customWidth="1"/>
    <col min="4123" max="4123" width="6" bestFit="1" customWidth="1"/>
    <col min="4124" max="4124" width="15" customWidth="1"/>
    <col min="4125" max="4125" width="14.88671875" bestFit="1" customWidth="1"/>
    <col min="4126" max="4126" width="16.109375" bestFit="1" customWidth="1"/>
    <col min="4354" max="4354" width="24" bestFit="1" customWidth="1"/>
    <col min="4355" max="4355" width="45.6640625" bestFit="1" customWidth="1"/>
    <col min="4356" max="4356" width="19.6640625" bestFit="1" customWidth="1"/>
    <col min="4357" max="4357" width="15.33203125" bestFit="1" customWidth="1"/>
    <col min="4358" max="4358" width="15.88671875" bestFit="1" customWidth="1"/>
    <col min="4359" max="4359" width="13.44140625" customWidth="1"/>
    <col min="4360" max="4360" width="15.33203125" bestFit="1" customWidth="1"/>
    <col min="4361" max="4361" width="14.109375" bestFit="1" customWidth="1"/>
    <col min="4362" max="4362" width="15.33203125" customWidth="1"/>
    <col min="4363" max="4363" width="15.88671875" customWidth="1"/>
    <col min="4364" max="4364" width="17" bestFit="1" customWidth="1"/>
    <col min="4365" max="4365" width="12.6640625" customWidth="1"/>
    <col min="4366" max="4366" width="13.6640625" customWidth="1"/>
    <col min="4367" max="4367" width="13.88671875" bestFit="1" customWidth="1"/>
    <col min="4368" max="4368" width="15.5546875" bestFit="1" customWidth="1"/>
    <col min="4369" max="4369" width="16.109375" customWidth="1"/>
    <col min="4370" max="4370" width="16.6640625" bestFit="1" customWidth="1"/>
    <col min="4371" max="4372" width="15.5546875" bestFit="1" customWidth="1"/>
    <col min="4373" max="4373" width="16.44140625" bestFit="1" customWidth="1"/>
    <col min="4374" max="4374" width="14.33203125" customWidth="1"/>
    <col min="4375" max="4375" width="12.88671875" bestFit="1" customWidth="1"/>
    <col min="4376" max="4376" width="11.33203125" bestFit="1" customWidth="1"/>
    <col min="4377" max="4377" width="12.5546875" bestFit="1" customWidth="1"/>
    <col min="4378" max="4378" width="14" bestFit="1" customWidth="1"/>
    <col min="4379" max="4379" width="6" bestFit="1" customWidth="1"/>
    <col min="4380" max="4380" width="15" customWidth="1"/>
    <col min="4381" max="4381" width="14.88671875" bestFit="1" customWidth="1"/>
    <col min="4382" max="4382" width="16.109375" bestFit="1" customWidth="1"/>
    <col min="4610" max="4610" width="24" bestFit="1" customWidth="1"/>
    <col min="4611" max="4611" width="45.6640625" bestFit="1" customWidth="1"/>
    <col min="4612" max="4612" width="19.6640625" bestFit="1" customWidth="1"/>
    <col min="4613" max="4613" width="15.33203125" bestFit="1" customWidth="1"/>
    <col min="4614" max="4614" width="15.88671875" bestFit="1" customWidth="1"/>
    <col min="4615" max="4615" width="13.44140625" customWidth="1"/>
    <col min="4616" max="4616" width="15.33203125" bestFit="1" customWidth="1"/>
    <col min="4617" max="4617" width="14.109375" bestFit="1" customWidth="1"/>
    <col min="4618" max="4618" width="15.33203125" customWidth="1"/>
    <col min="4619" max="4619" width="15.88671875" customWidth="1"/>
    <col min="4620" max="4620" width="17" bestFit="1" customWidth="1"/>
    <col min="4621" max="4621" width="12.6640625" customWidth="1"/>
    <col min="4622" max="4622" width="13.6640625" customWidth="1"/>
    <col min="4623" max="4623" width="13.88671875" bestFit="1" customWidth="1"/>
    <col min="4624" max="4624" width="15.5546875" bestFit="1" customWidth="1"/>
    <col min="4625" max="4625" width="16.109375" customWidth="1"/>
    <col min="4626" max="4626" width="16.6640625" bestFit="1" customWidth="1"/>
    <col min="4627" max="4628" width="15.5546875" bestFit="1" customWidth="1"/>
    <col min="4629" max="4629" width="16.44140625" bestFit="1" customWidth="1"/>
    <col min="4630" max="4630" width="14.33203125" customWidth="1"/>
    <col min="4631" max="4631" width="12.88671875" bestFit="1" customWidth="1"/>
    <col min="4632" max="4632" width="11.33203125" bestFit="1" customWidth="1"/>
    <col min="4633" max="4633" width="12.5546875" bestFit="1" customWidth="1"/>
    <col min="4634" max="4634" width="14" bestFit="1" customWidth="1"/>
    <col min="4635" max="4635" width="6" bestFit="1" customWidth="1"/>
    <col min="4636" max="4636" width="15" customWidth="1"/>
    <col min="4637" max="4637" width="14.88671875" bestFit="1" customWidth="1"/>
    <col min="4638" max="4638" width="16.109375" bestFit="1" customWidth="1"/>
    <col min="4866" max="4866" width="24" bestFit="1" customWidth="1"/>
    <col min="4867" max="4867" width="45.6640625" bestFit="1" customWidth="1"/>
    <col min="4868" max="4868" width="19.6640625" bestFit="1" customWidth="1"/>
    <col min="4869" max="4869" width="15.33203125" bestFit="1" customWidth="1"/>
    <col min="4870" max="4870" width="15.88671875" bestFit="1" customWidth="1"/>
    <col min="4871" max="4871" width="13.44140625" customWidth="1"/>
    <col min="4872" max="4872" width="15.33203125" bestFit="1" customWidth="1"/>
    <col min="4873" max="4873" width="14.109375" bestFit="1" customWidth="1"/>
    <col min="4874" max="4874" width="15.33203125" customWidth="1"/>
    <col min="4875" max="4875" width="15.88671875" customWidth="1"/>
    <col min="4876" max="4876" width="17" bestFit="1" customWidth="1"/>
    <col min="4877" max="4877" width="12.6640625" customWidth="1"/>
    <col min="4878" max="4878" width="13.6640625" customWidth="1"/>
    <col min="4879" max="4879" width="13.88671875" bestFit="1" customWidth="1"/>
    <col min="4880" max="4880" width="15.5546875" bestFit="1" customWidth="1"/>
    <col min="4881" max="4881" width="16.109375" customWidth="1"/>
    <col min="4882" max="4882" width="16.6640625" bestFit="1" customWidth="1"/>
    <col min="4883" max="4884" width="15.5546875" bestFit="1" customWidth="1"/>
    <col min="4885" max="4885" width="16.44140625" bestFit="1" customWidth="1"/>
    <col min="4886" max="4886" width="14.33203125" customWidth="1"/>
    <col min="4887" max="4887" width="12.88671875" bestFit="1" customWidth="1"/>
    <col min="4888" max="4888" width="11.33203125" bestFit="1" customWidth="1"/>
    <col min="4889" max="4889" width="12.5546875" bestFit="1" customWidth="1"/>
    <col min="4890" max="4890" width="14" bestFit="1" customWidth="1"/>
    <col min="4891" max="4891" width="6" bestFit="1" customWidth="1"/>
    <col min="4892" max="4892" width="15" customWidth="1"/>
    <col min="4893" max="4893" width="14.88671875" bestFit="1" customWidth="1"/>
    <col min="4894" max="4894" width="16.109375" bestFit="1" customWidth="1"/>
    <col min="5122" max="5122" width="24" bestFit="1" customWidth="1"/>
    <col min="5123" max="5123" width="45.6640625" bestFit="1" customWidth="1"/>
    <col min="5124" max="5124" width="19.6640625" bestFit="1" customWidth="1"/>
    <col min="5125" max="5125" width="15.33203125" bestFit="1" customWidth="1"/>
    <col min="5126" max="5126" width="15.88671875" bestFit="1" customWidth="1"/>
    <col min="5127" max="5127" width="13.44140625" customWidth="1"/>
    <col min="5128" max="5128" width="15.33203125" bestFit="1" customWidth="1"/>
    <col min="5129" max="5129" width="14.109375" bestFit="1" customWidth="1"/>
    <col min="5130" max="5130" width="15.33203125" customWidth="1"/>
    <col min="5131" max="5131" width="15.88671875" customWidth="1"/>
    <col min="5132" max="5132" width="17" bestFit="1" customWidth="1"/>
    <col min="5133" max="5133" width="12.6640625" customWidth="1"/>
    <col min="5134" max="5134" width="13.6640625" customWidth="1"/>
    <col min="5135" max="5135" width="13.88671875" bestFit="1" customWidth="1"/>
    <col min="5136" max="5136" width="15.5546875" bestFit="1" customWidth="1"/>
    <col min="5137" max="5137" width="16.109375" customWidth="1"/>
    <col min="5138" max="5138" width="16.6640625" bestFit="1" customWidth="1"/>
    <col min="5139" max="5140" width="15.5546875" bestFit="1" customWidth="1"/>
    <col min="5141" max="5141" width="16.44140625" bestFit="1" customWidth="1"/>
    <col min="5142" max="5142" width="14.33203125" customWidth="1"/>
    <col min="5143" max="5143" width="12.88671875" bestFit="1" customWidth="1"/>
    <col min="5144" max="5144" width="11.33203125" bestFit="1" customWidth="1"/>
    <col min="5145" max="5145" width="12.5546875" bestFit="1" customWidth="1"/>
    <col min="5146" max="5146" width="14" bestFit="1" customWidth="1"/>
    <col min="5147" max="5147" width="6" bestFit="1" customWidth="1"/>
    <col min="5148" max="5148" width="15" customWidth="1"/>
    <col min="5149" max="5149" width="14.88671875" bestFit="1" customWidth="1"/>
    <col min="5150" max="5150" width="16.109375" bestFit="1" customWidth="1"/>
    <col min="5378" max="5378" width="24" bestFit="1" customWidth="1"/>
    <col min="5379" max="5379" width="45.6640625" bestFit="1" customWidth="1"/>
    <col min="5380" max="5380" width="19.6640625" bestFit="1" customWidth="1"/>
    <col min="5381" max="5381" width="15.33203125" bestFit="1" customWidth="1"/>
    <col min="5382" max="5382" width="15.88671875" bestFit="1" customWidth="1"/>
    <col min="5383" max="5383" width="13.44140625" customWidth="1"/>
    <col min="5384" max="5384" width="15.33203125" bestFit="1" customWidth="1"/>
    <col min="5385" max="5385" width="14.109375" bestFit="1" customWidth="1"/>
    <col min="5386" max="5386" width="15.33203125" customWidth="1"/>
    <col min="5387" max="5387" width="15.88671875" customWidth="1"/>
    <col min="5388" max="5388" width="17" bestFit="1" customWidth="1"/>
    <col min="5389" max="5389" width="12.6640625" customWidth="1"/>
    <col min="5390" max="5390" width="13.6640625" customWidth="1"/>
    <col min="5391" max="5391" width="13.88671875" bestFit="1" customWidth="1"/>
    <col min="5392" max="5392" width="15.5546875" bestFit="1" customWidth="1"/>
    <col min="5393" max="5393" width="16.109375" customWidth="1"/>
    <col min="5394" max="5394" width="16.6640625" bestFit="1" customWidth="1"/>
    <col min="5395" max="5396" width="15.5546875" bestFit="1" customWidth="1"/>
    <col min="5397" max="5397" width="16.44140625" bestFit="1" customWidth="1"/>
    <col min="5398" max="5398" width="14.33203125" customWidth="1"/>
    <col min="5399" max="5399" width="12.88671875" bestFit="1" customWidth="1"/>
    <col min="5400" max="5400" width="11.33203125" bestFit="1" customWidth="1"/>
    <col min="5401" max="5401" width="12.5546875" bestFit="1" customWidth="1"/>
    <col min="5402" max="5402" width="14" bestFit="1" customWidth="1"/>
    <col min="5403" max="5403" width="6" bestFit="1" customWidth="1"/>
    <col min="5404" max="5404" width="15" customWidth="1"/>
    <col min="5405" max="5405" width="14.88671875" bestFit="1" customWidth="1"/>
    <col min="5406" max="5406" width="16.109375" bestFit="1" customWidth="1"/>
    <col min="5634" max="5634" width="24" bestFit="1" customWidth="1"/>
    <col min="5635" max="5635" width="45.6640625" bestFit="1" customWidth="1"/>
    <col min="5636" max="5636" width="19.6640625" bestFit="1" customWidth="1"/>
    <col min="5637" max="5637" width="15.33203125" bestFit="1" customWidth="1"/>
    <col min="5638" max="5638" width="15.88671875" bestFit="1" customWidth="1"/>
    <col min="5639" max="5639" width="13.44140625" customWidth="1"/>
    <col min="5640" max="5640" width="15.33203125" bestFit="1" customWidth="1"/>
    <col min="5641" max="5641" width="14.109375" bestFit="1" customWidth="1"/>
    <col min="5642" max="5642" width="15.33203125" customWidth="1"/>
    <col min="5643" max="5643" width="15.88671875" customWidth="1"/>
    <col min="5644" max="5644" width="17" bestFit="1" customWidth="1"/>
    <col min="5645" max="5645" width="12.6640625" customWidth="1"/>
    <col min="5646" max="5646" width="13.6640625" customWidth="1"/>
    <col min="5647" max="5647" width="13.88671875" bestFit="1" customWidth="1"/>
    <col min="5648" max="5648" width="15.5546875" bestFit="1" customWidth="1"/>
    <col min="5649" max="5649" width="16.109375" customWidth="1"/>
    <col min="5650" max="5650" width="16.6640625" bestFit="1" customWidth="1"/>
    <col min="5651" max="5652" width="15.5546875" bestFit="1" customWidth="1"/>
    <col min="5653" max="5653" width="16.44140625" bestFit="1" customWidth="1"/>
    <col min="5654" max="5654" width="14.33203125" customWidth="1"/>
    <col min="5655" max="5655" width="12.88671875" bestFit="1" customWidth="1"/>
    <col min="5656" max="5656" width="11.33203125" bestFit="1" customWidth="1"/>
    <col min="5657" max="5657" width="12.5546875" bestFit="1" customWidth="1"/>
    <col min="5658" max="5658" width="14" bestFit="1" customWidth="1"/>
    <col min="5659" max="5659" width="6" bestFit="1" customWidth="1"/>
    <col min="5660" max="5660" width="15" customWidth="1"/>
    <col min="5661" max="5661" width="14.88671875" bestFit="1" customWidth="1"/>
    <col min="5662" max="5662" width="16.109375" bestFit="1" customWidth="1"/>
    <col min="5890" max="5890" width="24" bestFit="1" customWidth="1"/>
    <col min="5891" max="5891" width="45.6640625" bestFit="1" customWidth="1"/>
    <col min="5892" max="5892" width="19.6640625" bestFit="1" customWidth="1"/>
    <col min="5893" max="5893" width="15.33203125" bestFit="1" customWidth="1"/>
    <col min="5894" max="5894" width="15.88671875" bestFit="1" customWidth="1"/>
    <col min="5895" max="5895" width="13.44140625" customWidth="1"/>
    <col min="5896" max="5896" width="15.33203125" bestFit="1" customWidth="1"/>
    <col min="5897" max="5897" width="14.109375" bestFit="1" customWidth="1"/>
    <col min="5898" max="5898" width="15.33203125" customWidth="1"/>
    <col min="5899" max="5899" width="15.88671875" customWidth="1"/>
    <col min="5900" max="5900" width="17" bestFit="1" customWidth="1"/>
    <col min="5901" max="5901" width="12.6640625" customWidth="1"/>
    <col min="5902" max="5902" width="13.6640625" customWidth="1"/>
    <col min="5903" max="5903" width="13.88671875" bestFit="1" customWidth="1"/>
    <col min="5904" max="5904" width="15.5546875" bestFit="1" customWidth="1"/>
    <col min="5905" max="5905" width="16.109375" customWidth="1"/>
    <col min="5906" max="5906" width="16.6640625" bestFit="1" customWidth="1"/>
    <col min="5907" max="5908" width="15.5546875" bestFit="1" customWidth="1"/>
    <col min="5909" max="5909" width="16.44140625" bestFit="1" customWidth="1"/>
    <col min="5910" max="5910" width="14.33203125" customWidth="1"/>
    <col min="5911" max="5911" width="12.88671875" bestFit="1" customWidth="1"/>
    <col min="5912" max="5912" width="11.33203125" bestFit="1" customWidth="1"/>
    <col min="5913" max="5913" width="12.5546875" bestFit="1" customWidth="1"/>
    <col min="5914" max="5914" width="14" bestFit="1" customWidth="1"/>
    <col min="5915" max="5915" width="6" bestFit="1" customWidth="1"/>
    <col min="5916" max="5916" width="15" customWidth="1"/>
    <col min="5917" max="5917" width="14.88671875" bestFit="1" customWidth="1"/>
    <col min="5918" max="5918" width="16.109375" bestFit="1" customWidth="1"/>
    <col min="6146" max="6146" width="24" bestFit="1" customWidth="1"/>
    <col min="6147" max="6147" width="45.6640625" bestFit="1" customWidth="1"/>
    <col min="6148" max="6148" width="19.6640625" bestFit="1" customWidth="1"/>
    <col min="6149" max="6149" width="15.33203125" bestFit="1" customWidth="1"/>
    <col min="6150" max="6150" width="15.88671875" bestFit="1" customWidth="1"/>
    <col min="6151" max="6151" width="13.44140625" customWidth="1"/>
    <col min="6152" max="6152" width="15.33203125" bestFit="1" customWidth="1"/>
    <col min="6153" max="6153" width="14.109375" bestFit="1" customWidth="1"/>
    <col min="6154" max="6154" width="15.33203125" customWidth="1"/>
    <col min="6155" max="6155" width="15.88671875" customWidth="1"/>
    <col min="6156" max="6156" width="17" bestFit="1" customWidth="1"/>
    <col min="6157" max="6157" width="12.6640625" customWidth="1"/>
    <col min="6158" max="6158" width="13.6640625" customWidth="1"/>
    <col min="6159" max="6159" width="13.88671875" bestFit="1" customWidth="1"/>
    <col min="6160" max="6160" width="15.5546875" bestFit="1" customWidth="1"/>
    <col min="6161" max="6161" width="16.109375" customWidth="1"/>
    <col min="6162" max="6162" width="16.6640625" bestFit="1" customWidth="1"/>
    <col min="6163" max="6164" width="15.5546875" bestFit="1" customWidth="1"/>
    <col min="6165" max="6165" width="16.44140625" bestFit="1" customWidth="1"/>
    <col min="6166" max="6166" width="14.33203125" customWidth="1"/>
    <col min="6167" max="6167" width="12.88671875" bestFit="1" customWidth="1"/>
    <col min="6168" max="6168" width="11.33203125" bestFit="1" customWidth="1"/>
    <col min="6169" max="6169" width="12.5546875" bestFit="1" customWidth="1"/>
    <col min="6170" max="6170" width="14" bestFit="1" customWidth="1"/>
    <col min="6171" max="6171" width="6" bestFit="1" customWidth="1"/>
    <col min="6172" max="6172" width="15" customWidth="1"/>
    <col min="6173" max="6173" width="14.88671875" bestFit="1" customWidth="1"/>
    <col min="6174" max="6174" width="16.109375" bestFit="1" customWidth="1"/>
    <col min="6402" max="6402" width="24" bestFit="1" customWidth="1"/>
    <col min="6403" max="6403" width="45.6640625" bestFit="1" customWidth="1"/>
    <col min="6404" max="6404" width="19.6640625" bestFit="1" customWidth="1"/>
    <col min="6405" max="6405" width="15.33203125" bestFit="1" customWidth="1"/>
    <col min="6406" max="6406" width="15.88671875" bestFit="1" customWidth="1"/>
    <col min="6407" max="6407" width="13.44140625" customWidth="1"/>
    <col min="6408" max="6408" width="15.33203125" bestFit="1" customWidth="1"/>
    <col min="6409" max="6409" width="14.109375" bestFit="1" customWidth="1"/>
    <col min="6410" max="6410" width="15.33203125" customWidth="1"/>
    <col min="6411" max="6411" width="15.88671875" customWidth="1"/>
    <col min="6412" max="6412" width="17" bestFit="1" customWidth="1"/>
    <col min="6413" max="6413" width="12.6640625" customWidth="1"/>
    <col min="6414" max="6414" width="13.6640625" customWidth="1"/>
    <col min="6415" max="6415" width="13.88671875" bestFit="1" customWidth="1"/>
    <col min="6416" max="6416" width="15.5546875" bestFit="1" customWidth="1"/>
    <col min="6417" max="6417" width="16.109375" customWidth="1"/>
    <col min="6418" max="6418" width="16.6640625" bestFit="1" customWidth="1"/>
    <col min="6419" max="6420" width="15.5546875" bestFit="1" customWidth="1"/>
    <col min="6421" max="6421" width="16.44140625" bestFit="1" customWidth="1"/>
    <col min="6422" max="6422" width="14.33203125" customWidth="1"/>
    <col min="6423" max="6423" width="12.88671875" bestFit="1" customWidth="1"/>
    <col min="6424" max="6424" width="11.33203125" bestFit="1" customWidth="1"/>
    <col min="6425" max="6425" width="12.5546875" bestFit="1" customWidth="1"/>
    <col min="6426" max="6426" width="14" bestFit="1" customWidth="1"/>
    <col min="6427" max="6427" width="6" bestFit="1" customWidth="1"/>
    <col min="6428" max="6428" width="15" customWidth="1"/>
    <col min="6429" max="6429" width="14.88671875" bestFit="1" customWidth="1"/>
    <col min="6430" max="6430" width="16.109375" bestFit="1" customWidth="1"/>
    <col min="6658" max="6658" width="24" bestFit="1" customWidth="1"/>
    <col min="6659" max="6659" width="45.6640625" bestFit="1" customWidth="1"/>
    <col min="6660" max="6660" width="19.6640625" bestFit="1" customWidth="1"/>
    <col min="6661" max="6661" width="15.33203125" bestFit="1" customWidth="1"/>
    <col min="6662" max="6662" width="15.88671875" bestFit="1" customWidth="1"/>
    <col min="6663" max="6663" width="13.44140625" customWidth="1"/>
    <col min="6664" max="6664" width="15.33203125" bestFit="1" customWidth="1"/>
    <col min="6665" max="6665" width="14.109375" bestFit="1" customWidth="1"/>
    <col min="6666" max="6666" width="15.33203125" customWidth="1"/>
    <col min="6667" max="6667" width="15.88671875" customWidth="1"/>
    <col min="6668" max="6668" width="17" bestFit="1" customWidth="1"/>
    <col min="6669" max="6669" width="12.6640625" customWidth="1"/>
    <col min="6670" max="6670" width="13.6640625" customWidth="1"/>
    <col min="6671" max="6671" width="13.88671875" bestFit="1" customWidth="1"/>
    <col min="6672" max="6672" width="15.5546875" bestFit="1" customWidth="1"/>
    <col min="6673" max="6673" width="16.109375" customWidth="1"/>
    <col min="6674" max="6674" width="16.6640625" bestFit="1" customWidth="1"/>
    <col min="6675" max="6676" width="15.5546875" bestFit="1" customWidth="1"/>
    <col min="6677" max="6677" width="16.44140625" bestFit="1" customWidth="1"/>
    <col min="6678" max="6678" width="14.33203125" customWidth="1"/>
    <col min="6679" max="6679" width="12.88671875" bestFit="1" customWidth="1"/>
    <col min="6680" max="6680" width="11.33203125" bestFit="1" customWidth="1"/>
    <col min="6681" max="6681" width="12.5546875" bestFit="1" customWidth="1"/>
    <col min="6682" max="6682" width="14" bestFit="1" customWidth="1"/>
    <col min="6683" max="6683" width="6" bestFit="1" customWidth="1"/>
    <col min="6684" max="6684" width="15" customWidth="1"/>
    <col min="6685" max="6685" width="14.88671875" bestFit="1" customWidth="1"/>
    <col min="6686" max="6686" width="16.109375" bestFit="1" customWidth="1"/>
    <col min="6914" max="6914" width="24" bestFit="1" customWidth="1"/>
    <col min="6915" max="6915" width="45.6640625" bestFit="1" customWidth="1"/>
    <col min="6916" max="6916" width="19.6640625" bestFit="1" customWidth="1"/>
    <col min="6917" max="6917" width="15.33203125" bestFit="1" customWidth="1"/>
    <col min="6918" max="6918" width="15.88671875" bestFit="1" customWidth="1"/>
    <col min="6919" max="6919" width="13.44140625" customWidth="1"/>
    <col min="6920" max="6920" width="15.33203125" bestFit="1" customWidth="1"/>
    <col min="6921" max="6921" width="14.109375" bestFit="1" customWidth="1"/>
    <col min="6922" max="6922" width="15.33203125" customWidth="1"/>
    <col min="6923" max="6923" width="15.88671875" customWidth="1"/>
    <col min="6924" max="6924" width="17" bestFit="1" customWidth="1"/>
    <col min="6925" max="6925" width="12.6640625" customWidth="1"/>
    <col min="6926" max="6926" width="13.6640625" customWidth="1"/>
    <col min="6927" max="6927" width="13.88671875" bestFit="1" customWidth="1"/>
    <col min="6928" max="6928" width="15.5546875" bestFit="1" customWidth="1"/>
    <col min="6929" max="6929" width="16.109375" customWidth="1"/>
    <col min="6930" max="6930" width="16.6640625" bestFit="1" customWidth="1"/>
    <col min="6931" max="6932" width="15.5546875" bestFit="1" customWidth="1"/>
    <col min="6933" max="6933" width="16.44140625" bestFit="1" customWidth="1"/>
    <col min="6934" max="6934" width="14.33203125" customWidth="1"/>
    <col min="6935" max="6935" width="12.88671875" bestFit="1" customWidth="1"/>
    <col min="6936" max="6936" width="11.33203125" bestFit="1" customWidth="1"/>
    <col min="6937" max="6937" width="12.5546875" bestFit="1" customWidth="1"/>
    <col min="6938" max="6938" width="14" bestFit="1" customWidth="1"/>
    <col min="6939" max="6939" width="6" bestFit="1" customWidth="1"/>
    <col min="6940" max="6940" width="15" customWidth="1"/>
    <col min="6941" max="6941" width="14.88671875" bestFit="1" customWidth="1"/>
    <col min="6942" max="6942" width="16.109375" bestFit="1" customWidth="1"/>
    <col min="7170" max="7170" width="24" bestFit="1" customWidth="1"/>
    <col min="7171" max="7171" width="45.6640625" bestFit="1" customWidth="1"/>
    <col min="7172" max="7172" width="19.6640625" bestFit="1" customWidth="1"/>
    <col min="7173" max="7173" width="15.33203125" bestFit="1" customWidth="1"/>
    <col min="7174" max="7174" width="15.88671875" bestFit="1" customWidth="1"/>
    <col min="7175" max="7175" width="13.44140625" customWidth="1"/>
    <col min="7176" max="7176" width="15.33203125" bestFit="1" customWidth="1"/>
    <col min="7177" max="7177" width="14.109375" bestFit="1" customWidth="1"/>
    <col min="7178" max="7178" width="15.33203125" customWidth="1"/>
    <col min="7179" max="7179" width="15.88671875" customWidth="1"/>
    <col min="7180" max="7180" width="17" bestFit="1" customWidth="1"/>
    <col min="7181" max="7181" width="12.6640625" customWidth="1"/>
    <col min="7182" max="7182" width="13.6640625" customWidth="1"/>
    <col min="7183" max="7183" width="13.88671875" bestFit="1" customWidth="1"/>
    <col min="7184" max="7184" width="15.5546875" bestFit="1" customWidth="1"/>
    <col min="7185" max="7185" width="16.109375" customWidth="1"/>
    <col min="7186" max="7186" width="16.6640625" bestFit="1" customWidth="1"/>
    <col min="7187" max="7188" width="15.5546875" bestFit="1" customWidth="1"/>
    <col min="7189" max="7189" width="16.44140625" bestFit="1" customWidth="1"/>
    <col min="7190" max="7190" width="14.33203125" customWidth="1"/>
    <col min="7191" max="7191" width="12.88671875" bestFit="1" customWidth="1"/>
    <col min="7192" max="7192" width="11.33203125" bestFit="1" customWidth="1"/>
    <col min="7193" max="7193" width="12.5546875" bestFit="1" customWidth="1"/>
    <col min="7194" max="7194" width="14" bestFit="1" customWidth="1"/>
    <col min="7195" max="7195" width="6" bestFit="1" customWidth="1"/>
    <col min="7196" max="7196" width="15" customWidth="1"/>
    <col min="7197" max="7197" width="14.88671875" bestFit="1" customWidth="1"/>
    <col min="7198" max="7198" width="16.109375" bestFit="1" customWidth="1"/>
    <col min="7426" max="7426" width="24" bestFit="1" customWidth="1"/>
    <col min="7427" max="7427" width="45.6640625" bestFit="1" customWidth="1"/>
    <col min="7428" max="7428" width="19.6640625" bestFit="1" customWidth="1"/>
    <col min="7429" max="7429" width="15.33203125" bestFit="1" customWidth="1"/>
    <col min="7430" max="7430" width="15.88671875" bestFit="1" customWidth="1"/>
    <col min="7431" max="7431" width="13.44140625" customWidth="1"/>
    <col min="7432" max="7432" width="15.33203125" bestFit="1" customWidth="1"/>
    <col min="7433" max="7433" width="14.109375" bestFit="1" customWidth="1"/>
    <col min="7434" max="7434" width="15.33203125" customWidth="1"/>
    <col min="7435" max="7435" width="15.88671875" customWidth="1"/>
    <col min="7436" max="7436" width="17" bestFit="1" customWidth="1"/>
    <col min="7437" max="7437" width="12.6640625" customWidth="1"/>
    <col min="7438" max="7438" width="13.6640625" customWidth="1"/>
    <col min="7439" max="7439" width="13.88671875" bestFit="1" customWidth="1"/>
    <col min="7440" max="7440" width="15.5546875" bestFit="1" customWidth="1"/>
    <col min="7441" max="7441" width="16.109375" customWidth="1"/>
    <col min="7442" max="7442" width="16.6640625" bestFit="1" customWidth="1"/>
    <col min="7443" max="7444" width="15.5546875" bestFit="1" customWidth="1"/>
    <col min="7445" max="7445" width="16.44140625" bestFit="1" customWidth="1"/>
    <col min="7446" max="7446" width="14.33203125" customWidth="1"/>
    <col min="7447" max="7447" width="12.88671875" bestFit="1" customWidth="1"/>
    <col min="7448" max="7448" width="11.33203125" bestFit="1" customWidth="1"/>
    <col min="7449" max="7449" width="12.5546875" bestFit="1" customWidth="1"/>
    <col min="7450" max="7450" width="14" bestFit="1" customWidth="1"/>
    <col min="7451" max="7451" width="6" bestFit="1" customWidth="1"/>
    <col min="7452" max="7452" width="15" customWidth="1"/>
    <col min="7453" max="7453" width="14.88671875" bestFit="1" customWidth="1"/>
    <col min="7454" max="7454" width="16.109375" bestFit="1" customWidth="1"/>
    <col min="7682" max="7682" width="24" bestFit="1" customWidth="1"/>
    <col min="7683" max="7683" width="45.6640625" bestFit="1" customWidth="1"/>
    <col min="7684" max="7684" width="19.6640625" bestFit="1" customWidth="1"/>
    <col min="7685" max="7685" width="15.33203125" bestFit="1" customWidth="1"/>
    <col min="7686" max="7686" width="15.88671875" bestFit="1" customWidth="1"/>
    <col min="7687" max="7687" width="13.44140625" customWidth="1"/>
    <col min="7688" max="7688" width="15.33203125" bestFit="1" customWidth="1"/>
    <col min="7689" max="7689" width="14.109375" bestFit="1" customWidth="1"/>
    <col min="7690" max="7690" width="15.33203125" customWidth="1"/>
    <col min="7691" max="7691" width="15.88671875" customWidth="1"/>
    <col min="7692" max="7692" width="17" bestFit="1" customWidth="1"/>
    <col min="7693" max="7693" width="12.6640625" customWidth="1"/>
    <col min="7694" max="7694" width="13.6640625" customWidth="1"/>
    <col min="7695" max="7695" width="13.88671875" bestFit="1" customWidth="1"/>
    <col min="7696" max="7696" width="15.5546875" bestFit="1" customWidth="1"/>
    <col min="7697" max="7697" width="16.109375" customWidth="1"/>
    <col min="7698" max="7698" width="16.6640625" bestFit="1" customWidth="1"/>
    <col min="7699" max="7700" width="15.5546875" bestFit="1" customWidth="1"/>
    <col min="7701" max="7701" width="16.44140625" bestFit="1" customWidth="1"/>
    <col min="7702" max="7702" width="14.33203125" customWidth="1"/>
    <col min="7703" max="7703" width="12.88671875" bestFit="1" customWidth="1"/>
    <col min="7704" max="7704" width="11.33203125" bestFit="1" customWidth="1"/>
    <col min="7705" max="7705" width="12.5546875" bestFit="1" customWidth="1"/>
    <col min="7706" max="7706" width="14" bestFit="1" customWidth="1"/>
    <col min="7707" max="7707" width="6" bestFit="1" customWidth="1"/>
    <col min="7708" max="7708" width="15" customWidth="1"/>
    <col min="7709" max="7709" width="14.88671875" bestFit="1" customWidth="1"/>
    <col min="7710" max="7710" width="16.109375" bestFit="1" customWidth="1"/>
    <col min="7938" max="7938" width="24" bestFit="1" customWidth="1"/>
    <col min="7939" max="7939" width="45.6640625" bestFit="1" customWidth="1"/>
    <col min="7940" max="7940" width="19.6640625" bestFit="1" customWidth="1"/>
    <col min="7941" max="7941" width="15.33203125" bestFit="1" customWidth="1"/>
    <col min="7942" max="7942" width="15.88671875" bestFit="1" customWidth="1"/>
    <col min="7943" max="7943" width="13.44140625" customWidth="1"/>
    <col min="7944" max="7944" width="15.33203125" bestFit="1" customWidth="1"/>
    <col min="7945" max="7945" width="14.109375" bestFit="1" customWidth="1"/>
    <col min="7946" max="7946" width="15.33203125" customWidth="1"/>
    <col min="7947" max="7947" width="15.88671875" customWidth="1"/>
    <col min="7948" max="7948" width="17" bestFit="1" customWidth="1"/>
    <col min="7949" max="7949" width="12.6640625" customWidth="1"/>
    <col min="7950" max="7950" width="13.6640625" customWidth="1"/>
    <col min="7951" max="7951" width="13.88671875" bestFit="1" customWidth="1"/>
    <col min="7952" max="7952" width="15.5546875" bestFit="1" customWidth="1"/>
    <col min="7953" max="7953" width="16.109375" customWidth="1"/>
    <col min="7954" max="7954" width="16.6640625" bestFit="1" customWidth="1"/>
    <col min="7955" max="7956" width="15.5546875" bestFit="1" customWidth="1"/>
    <col min="7957" max="7957" width="16.44140625" bestFit="1" customWidth="1"/>
    <col min="7958" max="7958" width="14.33203125" customWidth="1"/>
    <col min="7959" max="7959" width="12.88671875" bestFit="1" customWidth="1"/>
    <col min="7960" max="7960" width="11.33203125" bestFit="1" customWidth="1"/>
    <col min="7961" max="7961" width="12.5546875" bestFit="1" customWidth="1"/>
    <col min="7962" max="7962" width="14" bestFit="1" customWidth="1"/>
    <col min="7963" max="7963" width="6" bestFit="1" customWidth="1"/>
    <col min="7964" max="7964" width="15" customWidth="1"/>
    <col min="7965" max="7965" width="14.88671875" bestFit="1" customWidth="1"/>
    <col min="7966" max="7966" width="16.109375" bestFit="1" customWidth="1"/>
    <col min="8194" max="8194" width="24" bestFit="1" customWidth="1"/>
    <col min="8195" max="8195" width="45.6640625" bestFit="1" customWidth="1"/>
    <col min="8196" max="8196" width="19.6640625" bestFit="1" customWidth="1"/>
    <col min="8197" max="8197" width="15.33203125" bestFit="1" customWidth="1"/>
    <col min="8198" max="8198" width="15.88671875" bestFit="1" customWidth="1"/>
    <col min="8199" max="8199" width="13.44140625" customWidth="1"/>
    <col min="8200" max="8200" width="15.33203125" bestFit="1" customWidth="1"/>
    <col min="8201" max="8201" width="14.109375" bestFit="1" customWidth="1"/>
    <col min="8202" max="8202" width="15.33203125" customWidth="1"/>
    <col min="8203" max="8203" width="15.88671875" customWidth="1"/>
    <col min="8204" max="8204" width="17" bestFit="1" customWidth="1"/>
    <col min="8205" max="8205" width="12.6640625" customWidth="1"/>
    <col min="8206" max="8206" width="13.6640625" customWidth="1"/>
    <col min="8207" max="8207" width="13.88671875" bestFit="1" customWidth="1"/>
    <col min="8208" max="8208" width="15.5546875" bestFit="1" customWidth="1"/>
    <col min="8209" max="8209" width="16.109375" customWidth="1"/>
    <col min="8210" max="8210" width="16.6640625" bestFit="1" customWidth="1"/>
    <col min="8211" max="8212" width="15.5546875" bestFit="1" customWidth="1"/>
    <col min="8213" max="8213" width="16.44140625" bestFit="1" customWidth="1"/>
    <col min="8214" max="8214" width="14.33203125" customWidth="1"/>
    <col min="8215" max="8215" width="12.88671875" bestFit="1" customWidth="1"/>
    <col min="8216" max="8216" width="11.33203125" bestFit="1" customWidth="1"/>
    <col min="8217" max="8217" width="12.5546875" bestFit="1" customWidth="1"/>
    <col min="8218" max="8218" width="14" bestFit="1" customWidth="1"/>
    <col min="8219" max="8219" width="6" bestFit="1" customWidth="1"/>
    <col min="8220" max="8220" width="15" customWidth="1"/>
    <col min="8221" max="8221" width="14.88671875" bestFit="1" customWidth="1"/>
    <col min="8222" max="8222" width="16.109375" bestFit="1" customWidth="1"/>
    <col min="8450" max="8450" width="24" bestFit="1" customWidth="1"/>
    <col min="8451" max="8451" width="45.6640625" bestFit="1" customWidth="1"/>
    <col min="8452" max="8452" width="19.6640625" bestFit="1" customWidth="1"/>
    <col min="8453" max="8453" width="15.33203125" bestFit="1" customWidth="1"/>
    <col min="8454" max="8454" width="15.88671875" bestFit="1" customWidth="1"/>
    <col min="8455" max="8455" width="13.44140625" customWidth="1"/>
    <col min="8456" max="8456" width="15.33203125" bestFit="1" customWidth="1"/>
    <col min="8457" max="8457" width="14.109375" bestFit="1" customWidth="1"/>
    <col min="8458" max="8458" width="15.33203125" customWidth="1"/>
    <col min="8459" max="8459" width="15.88671875" customWidth="1"/>
    <col min="8460" max="8460" width="17" bestFit="1" customWidth="1"/>
    <col min="8461" max="8461" width="12.6640625" customWidth="1"/>
    <col min="8462" max="8462" width="13.6640625" customWidth="1"/>
    <col min="8463" max="8463" width="13.88671875" bestFit="1" customWidth="1"/>
    <col min="8464" max="8464" width="15.5546875" bestFit="1" customWidth="1"/>
    <col min="8465" max="8465" width="16.109375" customWidth="1"/>
    <col min="8466" max="8466" width="16.6640625" bestFit="1" customWidth="1"/>
    <col min="8467" max="8468" width="15.5546875" bestFit="1" customWidth="1"/>
    <col min="8469" max="8469" width="16.44140625" bestFit="1" customWidth="1"/>
    <col min="8470" max="8470" width="14.33203125" customWidth="1"/>
    <col min="8471" max="8471" width="12.88671875" bestFit="1" customWidth="1"/>
    <col min="8472" max="8472" width="11.33203125" bestFit="1" customWidth="1"/>
    <col min="8473" max="8473" width="12.5546875" bestFit="1" customWidth="1"/>
    <col min="8474" max="8474" width="14" bestFit="1" customWidth="1"/>
    <col min="8475" max="8475" width="6" bestFit="1" customWidth="1"/>
    <col min="8476" max="8476" width="15" customWidth="1"/>
    <col min="8477" max="8477" width="14.88671875" bestFit="1" customWidth="1"/>
    <col min="8478" max="8478" width="16.109375" bestFit="1" customWidth="1"/>
    <col min="8706" max="8706" width="24" bestFit="1" customWidth="1"/>
    <col min="8707" max="8707" width="45.6640625" bestFit="1" customWidth="1"/>
    <col min="8708" max="8708" width="19.6640625" bestFit="1" customWidth="1"/>
    <col min="8709" max="8709" width="15.33203125" bestFit="1" customWidth="1"/>
    <col min="8710" max="8710" width="15.88671875" bestFit="1" customWidth="1"/>
    <col min="8711" max="8711" width="13.44140625" customWidth="1"/>
    <col min="8712" max="8712" width="15.33203125" bestFit="1" customWidth="1"/>
    <col min="8713" max="8713" width="14.109375" bestFit="1" customWidth="1"/>
    <col min="8714" max="8714" width="15.33203125" customWidth="1"/>
    <col min="8715" max="8715" width="15.88671875" customWidth="1"/>
    <col min="8716" max="8716" width="17" bestFit="1" customWidth="1"/>
    <col min="8717" max="8717" width="12.6640625" customWidth="1"/>
    <col min="8718" max="8718" width="13.6640625" customWidth="1"/>
    <col min="8719" max="8719" width="13.88671875" bestFit="1" customWidth="1"/>
    <col min="8720" max="8720" width="15.5546875" bestFit="1" customWidth="1"/>
    <col min="8721" max="8721" width="16.109375" customWidth="1"/>
    <col min="8722" max="8722" width="16.6640625" bestFit="1" customWidth="1"/>
    <col min="8723" max="8724" width="15.5546875" bestFit="1" customWidth="1"/>
    <col min="8725" max="8725" width="16.44140625" bestFit="1" customWidth="1"/>
    <col min="8726" max="8726" width="14.33203125" customWidth="1"/>
    <col min="8727" max="8727" width="12.88671875" bestFit="1" customWidth="1"/>
    <col min="8728" max="8728" width="11.33203125" bestFit="1" customWidth="1"/>
    <col min="8729" max="8729" width="12.5546875" bestFit="1" customWidth="1"/>
    <col min="8730" max="8730" width="14" bestFit="1" customWidth="1"/>
    <col min="8731" max="8731" width="6" bestFit="1" customWidth="1"/>
    <col min="8732" max="8732" width="15" customWidth="1"/>
    <col min="8733" max="8733" width="14.88671875" bestFit="1" customWidth="1"/>
    <col min="8734" max="8734" width="16.109375" bestFit="1" customWidth="1"/>
    <col min="8962" max="8962" width="24" bestFit="1" customWidth="1"/>
    <col min="8963" max="8963" width="45.6640625" bestFit="1" customWidth="1"/>
    <col min="8964" max="8964" width="19.6640625" bestFit="1" customWidth="1"/>
    <col min="8965" max="8965" width="15.33203125" bestFit="1" customWidth="1"/>
    <col min="8966" max="8966" width="15.88671875" bestFit="1" customWidth="1"/>
    <col min="8967" max="8967" width="13.44140625" customWidth="1"/>
    <col min="8968" max="8968" width="15.33203125" bestFit="1" customWidth="1"/>
    <col min="8969" max="8969" width="14.109375" bestFit="1" customWidth="1"/>
    <col min="8970" max="8970" width="15.33203125" customWidth="1"/>
    <col min="8971" max="8971" width="15.88671875" customWidth="1"/>
    <col min="8972" max="8972" width="17" bestFit="1" customWidth="1"/>
    <col min="8973" max="8973" width="12.6640625" customWidth="1"/>
    <col min="8974" max="8974" width="13.6640625" customWidth="1"/>
    <col min="8975" max="8975" width="13.88671875" bestFit="1" customWidth="1"/>
    <col min="8976" max="8976" width="15.5546875" bestFit="1" customWidth="1"/>
    <col min="8977" max="8977" width="16.109375" customWidth="1"/>
    <col min="8978" max="8978" width="16.6640625" bestFit="1" customWidth="1"/>
    <col min="8979" max="8980" width="15.5546875" bestFit="1" customWidth="1"/>
    <col min="8981" max="8981" width="16.44140625" bestFit="1" customWidth="1"/>
    <col min="8982" max="8982" width="14.33203125" customWidth="1"/>
    <col min="8983" max="8983" width="12.88671875" bestFit="1" customWidth="1"/>
    <col min="8984" max="8984" width="11.33203125" bestFit="1" customWidth="1"/>
    <col min="8985" max="8985" width="12.5546875" bestFit="1" customWidth="1"/>
    <col min="8986" max="8986" width="14" bestFit="1" customWidth="1"/>
    <col min="8987" max="8987" width="6" bestFit="1" customWidth="1"/>
    <col min="8988" max="8988" width="15" customWidth="1"/>
    <col min="8989" max="8989" width="14.88671875" bestFit="1" customWidth="1"/>
    <col min="8990" max="8990" width="16.109375" bestFit="1" customWidth="1"/>
    <col min="9218" max="9218" width="24" bestFit="1" customWidth="1"/>
    <col min="9219" max="9219" width="45.6640625" bestFit="1" customWidth="1"/>
    <col min="9220" max="9220" width="19.6640625" bestFit="1" customWidth="1"/>
    <col min="9221" max="9221" width="15.33203125" bestFit="1" customWidth="1"/>
    <col min="9222" max="9222" width="15.88671875" bestFit="1" customWidth="1"/>
    <col min="9223" max="9223" width="13.44140625" customWidth="1"/>
    <col min="9224" max="9224" width="15.33203125" bestFit="1" customWidth="1"/>
    <col min="9225" max="9225" width="14.109375" bestFit="1" customWidth="1"/>
    <col min="9226" max="9226" width="15.33203125" customWidth="1"/>
    <col min="9227" max="9227" width="15.88671875" customWidth="1"/>
    <col min="9228" max="9228" width="17" bestFit="1" customWidth="1"/>
    <col min="9229" max="9229" width="12.6640625" customWidth="1"/>
    <col min="9230" max="9230" width="13.6640625" customWidth="1"/>
    <col min="9231" max="9231" width="13.88671875" bestFit="1" customWidth="1"/>
    <col min="9232" max="9232" width="15.5546875" bestFit="1" customWidth="1"/>
    <col min="9233" max="9233" width="16.109375" customWidth="1"/>
    <col min="9234" max="9234" width="16.6640625" bestFit="1" customWidth="1"/>
    <col min="9235" max="9236" width="15.5546875" bestFit="1" customWidth="1"/>
    <col min="9237" max="9237" width="16.44140625" bestFit="1" customWidth="1"/>
    <col min="9238" max="9238" width="14.33203125" customWidth="1"/>
    <col min="9239" max="9239" width="12.88671875" bestFit="1" customWidth="1"/>
    <col min="9240" max="9240" width="11.33203125" bestFit="1" customWidth="1"/>
    <col min="9241" max="9241" width="12.5546875" bestFit="1" customWidth="1"/>
    <col min="9242" max="9242" width="14" bestFit="1" customWidth="1"/>
    <col min="9243" max="9243" width="6" bestFit="1" customWidth="1"/>
    <col min="9244" max="9244" width="15" customWidth="1"/>
    <col min="9245" max="9245" width="14.88671875" bestFit="1" customWidth="1"/>
    <col min="9246" max="9246" width="16.109375" bestFit="1" customWidth="1"/>
    <col min="9474" max="9474" width="24" bestFit="1" customWidth="1"/>
    <col min="9475" max="9475" width="45.6640625" bestFit="1" customWidth="1"/>
    <col min="9476" max="9476" width="19.6640625" bestFit="1" customWidth="1"/>
    <col min="9477" max="9477" width="15.33203125" bestFit="1" customWidth="1"/>
    <col min="9478" max="9478" width="15.88671875" bestFit="1" customWidth="1"/>
    <col min="9479" max="9479" width="13.44140625" customWidth="1"/>
    <col min="9480" max="9480" width="15.33203125" bestFit="1" customWidth="1"/>
    <col min="9481" max="9481" width="14.109375" bestFit="1" customWidth="1"/>
    <col min="9482" max="9482" width="15.33203125" customWidth="1"/>
    <col min="9483" max="9483" width="15.88671875" customWidth="1"/>
    <col min="9484" max="9484" width="17" bestFit="1" customWidth="1"/>
    <col min="9485" max="9485" width="12.6640625" customWidth="1"/>
    <col min="9486" max="9486" width="13.6640625" customWidth="1"/>
    <col min="9487" max="9487" width="13.88671875" bestFit="1" customWidth="1"/>
    <col min="9488" max="9488" width="15.5546875" bestFit="1" customWidth="1"/>
    <col min="9489" max="9489" width="16.109375" customWidth="1"/>
    <col min="9490" max="9490" width="16.6640625" bestFit="1" customWidth="1"/>
    <col min="9491" max="9492" width="15.5546875" bestFit="1" customWidth="1"/>
    <col min="9493" max="9493" width="16.44140625" bestFit="1" customWidth="1"/>
    <col min="9494" max="9494" width="14.33203125" customWidth="1"/>
    <col min="9495" max="9495" width="12.88671875" bestFit="1" customWidth="1"/>
    <col min="9496" max="9496" width="11.33203125" bestFit="1" customWidth="1"/>
    <col min="9497" max="9497" width="12.5546875" bestFit="1" customWidth="1"/>
    <col min="9498" max="9498" width="14" bestFit="1" customWidth="1"/>
    <col min="9499" max="9499" width="6" bestFit="1" customWidth="1"/>
    <col min="9500" max="9500" width="15" customWidth="1"/>
    <col min="9501" max="9501" width="14.88671875" bestFit="1" customWidth="1"/>
    <col min="9502" max="9502" width="16.109375" bestFit="1" customWidth="1"/>
    <col min="9730" max="9730" width="24" bestFit="1" customWidth="1"/>
    <col min="9731" max="9731" width="45.6640625" bestFit="1" customWidth="1"/>
    <col min="9732" max="9732" width="19.6640625" bestFit="1" customWidth="1"/>
    <col min="9733" max="9733" width="15.33203125" bestFit="1" customWidth="1"/>
    <col min="9734" max="9734" width="15.88671875" bestFit="1" customWidth="1"/>
    <col min="9735" max="9735" width="13.44140625" customWidth="1"/>
    <col min="9736" max="9736" width="15.33203125" bestFit="1" customWidth="1"/>
    <col min="9737" max="9737" width="14.109375" bestFit="1" customWidth="1"/>
    <col min="9738" max="9738" width="15.33203125" customWidth="1"/>
    <col min="9739" max="9739" width="15.88671875" customWidth="1"/>
    <col min="9740" max="9740" width="17" bestFit="1" customWidth="1"/>
    <col min="9741" max="9741" width="12.6640625" customWidth="1"/>
    <col min="9742" max="9742" width="13.6640625" customWidth="1"/>
    <col min="9743" max="9743" width="13.88671875" bestFit="1" customWidth="1"/>
    <col min="9744" max="9744" width="15.5546875" bestFit="1" customWidth="1"/>
    <col min="9745" max="9745" width="16.109375" customWidth="1"/>
    <col min="9746" max="9746" width="16.6640625" bestFit="1" customWidth="1"/>
    <col min="9747" max="9748" width="15.5546875" bestFit="1" customWidth="1"/>
    <col min="9749" max="9749" width="16.44140625" bestFit="1" customWidth="1"/>
    <col min="9750" max="9750" width="14.33203125" customWidth="1"/>
    <col min="9751" max="9751" width="12.88671875" bestFit="1" customWidth="1"/>
    <col min="9752" max="9752" width="11.33203125" bestFit="1" customWidth="1"/>
    <col min="9753" max="9753" width="12.5546875" bestFit="1" customWidth="1"/>
    <col min="9754" max="9754" width="14" bestFit="1" customWidth="1"/>
    <col min="9755" max="9755" width="6" bestFit="1" customWidth="1"/>
    <col min="9756" max="9756" width="15" customWidth="1"/>
    <col min="9757" max="9757" width="14.88671875" bestFit="1" customWidth="1"/>
    <col min="9758" max="9758" width="16.109375" bestFit="1" customWidth="1"/>
    <col min="9986" max="9986" width="24" bestFit="1" customWidth="1"/>
    <col min="9987" max="9987" width="45.6640625" bestFit="1" customWidth="1"/>
    <col min="9988" max="9988" width="19.6640625" bestFit="1" customWidth="1"/>
    <col min="9989" max="9989" width="15.33203125" bestFit="1" customWidth="1"/>
    <col min="9990" max="9990" width="15.88671875" bestFit="1" customWidth="1"/>
    <col min="9991" max="9991" width="13.44140625" customWidth="1"/>
    <col min="9992" max="9992" width="15.33203125" bestFit="1" customWidth="1"/>
    <col min="9993" max="9993" width="14.109375" bestFit="1" customWidth="1"/>
    <col min="9994" max="9994" width="15.33203125" customWidth="1"/>
    <col min="9995" max="9995" width="15.88671875" customWidth="1"/>
    <col min="9996" max="9996" width="17" bestFit="1" customWidth="1"/>
    <col min="9997" max="9997" width="12.6640625" customWidth="1"/>
    <col min="9998" max="9998" width="13.6640625" customWidth="1"/>
    <col min="9999" max="9999" width="13.88671875" bestFit="1" customWidth="1"/>
    <col min="10000" max="10000" width="15.5546875" bestFit="1" customWidth="1"/>
    <col min="10001" max="10001" width="16.109375" customWidth="1"/>
    <col min="10002" max="10002" width="16.6640625" bestFit="1" customWidth="1"/>
    <col min="10003" max="10004" width="15.5546875" bestFit="1" customWidth="1"/>
    <col min="10005" max="10005" width="16.44140625" bestFit="1" customWidth="1"/>
    <col min="10006" max="10006" width="14.33203125" customWidth="1"/>
    <col min="10007" max="10007" width="12.88671875" bestFit="1" customWidth="1"/>
    <col min="10008" max="10008" width="11.33203125" bestFit="1" customWidth="1"/>
    <col min="10009" max="10009" width="12.5546875" bestFit="1" customWidth="1"/>
    <col min="10010" max="10010" width="14" bestFit="1" customWidth="1"/>
    <col min="10011" max="10011" width="6" bestFit="1" customWidth="1"/>
    <col min="10012" max="10012" width="15" customWidth="1"/>
    <col min="10013" max="10013" width="14.88671875" bestFit="1" customWidth="1"/>
    <col min="10014" max="10014" width="16.109375" bestFit="1" customWidth="1"/>
    <col min="10242" max="10242" width="24" bestFit="1" customWidth="1"/>
    <col min="10243" max="10243" width="45.6640625" bestFit="1" customWidth="1"/>
    <col min="10244" max="10244" width="19.6640625" bestFit="1" customWidth="1"/>
    <col min="10245" max="10245" width="15.33203125" bestFit="1" customWidth="1"/>
    <col min="10246" max="10246" width="15.88671875" bestFit="1" customWidth="1"/>
    <col min="10247" max="10247" width="13.44140625" customWidth="1"/>
    <col min="10248" max="10248" width="15.33203125" bestFit="1" customWidth="1"/>
    <col min="10249" max="10249" width="14.109375" bestFit="1" customWidth="1"/>
    <col min="10250" max="10250" width="15.33203125" customWidth="1"/>
    <col min="10251" max="10251" width="15.88671875" customWidth="1"/>
    <col min="10252" max="10252" width="17" bestFit="1" customWidth="1"/>
    <col min="10253" max="10253" width="12.6640625" customWidth="1"/>
    <col min="10254" max="10254" width="13.6640625" customWidth="1"/>
    <col min="10255" max="10255" width="13.88671875" bestFit="1" customWidth="1"/>
    <col min="10256" max="10256" width="15.5546875" bestFit="1" customWidth="1"/>
    <col min="10257" max="10257" width="16.109375" customWidth="1"/>
    <col min="10258" max="10258" width="16.6640625" bestFit="1" customWidth="1"/>
    <col min="10259" max="10260" width="15.5546875" bestFit="1" customWidth="1"/>
    <col min="10261" max="10261" width="16.44140625" bestFit="1" customWidth="1"/>
    <col min="10262" max="10262" width="14.33203125" customWidth="1"/>
    <col min="10263" max="10263" width="12.88671875" bestFit="1" customWidth="1"/>
    <col min="10264" max="10264" width="11.33203125" bestFit="1" customWidth="1"/>
    <col min="10265" max="10265" width="12.5546875" bestFit="1" customWidth="1"/>
    <col min="10266" max="10266" width="14" bestFit="1" customWidth="1"/>
    <col min="10267" max="10267" width="6" bestFit="1" customWidth="1"/>
    <col min="10268" max="10268" width="15" customWidth="1"/>
    <col min="10269" max="10269" width="14.88671875" bestFit="1" customWidth="1"/>
    <col min="10270" max="10270" width="16.109375" bestFit="1" customWidth="1"/>
    <col min="10498" max="10498" width="24" bestFit="1" customWidth="1"/>
    <col min="10499" max="10499" width="45.6640625" bestFit="1" customWidth="1"/>
    <col min="10500" max="10500" width="19.6640625" bestFit="1" customWidth="1"/>
    <col min="10501" max="10501" width="15.33203125" bestFit="1" customWidth="1"/>
    <col min="10502" max="10502" width="15.88671875" bestFit="1" customWidth="1"/>
    <col min="10503" max="10503" width="13.44140625" customWidth="1"/>
    <col min="10504" max="10504" width="15.33203125" bestFit="1" customWidth="1"/>
    <col min="10505" max="10505" width="14.109375" bestFit="1" customWidth="1"/>
    <col min="10506" max="10506" width="15.33203125" customWidth="1"/>
    <col min="10507" max="10507" width="15.88671875" customWidth="1"/>
    <col min="10508" max="10508" width="17" bestFit="1" customWidth="1"/>
    <col min="10509" max="10509" width="12.6640625" customWidth="1"/>
    <col min="10510" max="10510" width="13.6640625" customWidth="1"/>
    <col min="10511" max="10511" width="13.88671875" bestFit="1" customWidth="1"/>
    <col min="10512" max="10512" width="15.5546875" bestFit="1" customWidth="1"/>
    <col min="10513" max="10513" width="16.109375" customWidth="1"/>
    <col min="10514" max="10514" width="16.6640625" bestFit="1" customWidth="1"/>
    <col min="10515" max="10516" width="15.5546875" bestFit="1" customWidth="1"/>
    <col min="10517" max="10517" width="16.44140625" bestFit="1" customWidth="1"/>
    <col min="10518" max="10518" width="14.33203125" customWidth="1"/>
    <col min="10519" max="10519" width="12.88671875" bestFit="1" customWidth="1"/>
    <col min="10520" max="10520" width="11.33203125" bestFit="1" customWidth="1"/>
    <col min="10521" max="10521" width="12.5546875" bestFit="1" customWidth="1"/>
    <col min="10522" max="10522" width="14" bestFit="1" customWidth="1"/>
    <col min="10523" max="10523" width="6" bestFit="1" customWidth="1"/>
    <col min="10524" max="10524" width="15" customWidth="1"/>
    <col min="10525" max="10525" width="14.88671875" bestFit="1" customWidth="1"/>
    <col min="10526" max="10526" width="16.109375" bestFit="1" customWidth="1"/>
    <col min="10754" max="10754" width="24" bestFit="1" customWidth="1"/>
    <col min="10755" max="10755" width="45.6640625" bestFit="1" customWidth="1"/>
    <col min="10756" max="10756" width="19.6640625" bestFit="1" customWidth="1"/>
    <col min="10757" max="10757" width="15.33203125" bestFit="1" customWidth="1"/>
    <col min="10758" max="10758" width="15.88671875" bestFit="1" customWidth="1"/>
    <col min="10759" max="10759" width="13.44140625" customWidth="1"/>
    <col min="10760" max="10760" width="15.33203125" bestFit="1" customWidth="1"/>
    <col min="10761" max="10761" width="14.109375" bestFit="1" customWidth="1"/>
    <col min="10762" max="10762" width="15.33203125" customWidth="1"/>
    <col min="10763" max="10763" width="15.88671875" customWidth="1"/>
    <col min="10764" max="10764" width="17" bestFit="1" customWidth="1"/>
    <col min="10765" max="10765" width="12.6640625" customWidth="1"/>
    <col min="10766" max="10766" width="13.6640625" customWidth="1"/>
    <col min="10767" max="10767" width="13.88671875" bestFit="1" customWidth="1"/>
    <col min="10768" max="10768" width="15.5546875" bestFit="1" customWidth="1"/>
    <col min="10769" max="10769" width="16.109375" customWidth="1"/>
    <col min="10770" max="10770" width="16.6640625" bestFit="1" customWidth="1"/>
    <col min="10771" max="10772" width="15.5546875" bestFit="1" customWidth="1"/>
    <col min="10773" max="10773" width="16.44140625" bestFit="1" customWidth="1"/>
    <col min="10774" max="10774" width="14.33203125" customWidth="1"/>
    <col min="10775" max="10775" width="12.88671875" bestFit="1" customWidth="1"/>
    <col min="10776" max="10776" width="11.33203125" bestFit="1" customWidth="1"/>
    <col min="10777" max="10777" width="12.5546875" bestFit="1" customWidth="1"/>
    <col min="10778" max="10778" width="14" bestFit="1" customWidth="1"/>
    <col min="10779" max="10779" width="6" bestFit="1" customWidth="1"/>
    <col min="10780" max="10780" width="15" customWidth="1"/>
    <col min="10781" max="10781" width="14.88671875" bestFit="1" customWidth="1"/>
    <col min="10782" max="10782" width="16.109375" bestFit="1" customWidth="1"/>
    <col min="11010" max="11010" width="24" bestFit="1" customWidth="1"/>
    <col min="11011" max="11011" width="45.6640625" bestFit="1" customWidth="1"/>
    <col min="11012" max="11012" width="19.6640625" bestFit="1" customWidth="1"/>
    <col min="11013" max="11013" width="15.33203125" bestFit="1" customWidth="1"/>
    <col min="11014" max="11014" width="15.88671875" bestFit="1" customWidth="1"/>
    <col min="11015" max="11015" width="13.44140625" customWidth="1"/>
    <col min="11016" max="11016" width="15.33203125" bestFit="1" customWidth="1"/>
    <col min="11017" max="11017" width="14.109375" bestFit="1" customWidth="1"/>
    <col min="11018" max="11018" width="15.33203125" customWidth="1"/>
    <col min="11019" max="11019" width="15.88671875" customWidth="1"/>
    <col min="11020" max="11020" width="17" bestFit="1" customWidth="1"/>
    <col min="11021" max="11021" width="12.6640625" customWidth="1"/>
    <col min="11022" max="11022" width="13.6640625" customWidth="1"/>
    <col min="11023" max="11023" width="13.88671875" bestFit="1" customWidth="1"/>
    <col min="11024" max="11024" width="15.5546875" bestFit="1" customWidth="1"/>
    <col min="11025" max="11025" width="16.109375" customWidth="1"/>
    <col min="11026" max="11026" width="16.6640625" bestFit="1" customWidth="1"/>
    <col min="11027" max="11028" width="15.5546875" bestFit="1" customWidth="1"/>
    <col min="11029" max="11029" width="16.44140625" bestFit="1" customWidth="1"/>
    <col min="11030" max="11030" width="14.33203125" customWidth="1"/>
    <col min="11031" max="11031" width="12.88671875" bestFit="1" customWidth="1"/>
    <col min="11032" max="11032" width="11.33203125" bestFit="1" customWidth="1"/>
    <col min="11033" max="11033" width="12.5546875" bestFit="1" customWidth="1"/>
    <col min="11034" max="11034" width="14" bestFit="1" customWidth="1"/>
    <col min="11035" max="11035" width="6" bestFit="1" customWidth="1"/>
    <col min="11036" max="11036" width="15" customWidth="1"/>
    <col min="11037" max="11037" width="14.88671875" bestFit="1" customWidth="1"/>
    <col min="11038" max="11038" width="16.109375" bestFit="1" customWidth="1"/>
    <col min="11266" max="11266" width="24" bestFit="1" customWidth="1"/>
    <col min="11267" max="11267" width="45.6640625" bestFit="1" customWidth="1"/>
    <col min="11268" max="11268" width="19.6640625" bestFit="1" customWidth="1"/>
    <col min="11269" max="11269" width="15.33203125" bestFit="1" customWidth="1"/>
    <col min="11270" max="11270" width="15.88671875" bestFit="1" customWidth="1"/>
    <col min="11271" max="11271" width="13.44140625" customWidth="1"/>
    <col min="11272" max="11272" width="15.33203125" bestFit="1" customWidth="1"/>
    <col min="11273" max="11273" width="14.109375" bestFit="1" customWidth="1"/>
    <col min="11274" max="11274" width="15.33203125" customWidth="1"/>
    <col min="11275" max="11275" width="15.88671875" customWidth="1"/>
    <col min="11276" max="11276" width="17" bestFit="1" customWidth="1"/>
    <col min="11277" max="11277" width="12.6640625" customWidth="1"/>
    <col min="11278" max="11278" width="13.6640625" customWidth="1"/>
    <col min="11279" max="11279" width="13.88671875" bestFit="1" customWidth="1"/>
    <col min="11280" max="11280" width="15.5546875" bestFit="1" customWidth="1"/>
    <col min="11281" max="11281" width="16.109375" customWidth="1"/>
    <col min="11282" max="11282" width="16.6640625" bestFit="1" customWidth="1"/>
    <col min="11283" max="11284" width="15.5546875" bestFit="1" customWidth="1"/>
    <col min="11285" max="11285" width="16.44140625" bestFit="1" customWidth="1"/>
    <col min="11286" max="11286" width="14.33203125" customWidth="1"/>
    <col min="11287" max="11287" width="12.88671875" bestFit="1" customWidth="1"/>
    <col min="11288" max="11288" width="11.33203125" bestFit="1" customWidth="1"/>
    <col min="11289" max="11289" width="12.5546875" bestFit="1" customWidth="1"/>
    <col min="11290" max="11290" width="14" bestFit="1" customWidth="1"/>
    <col min="11291" max="11291" width="6" bestFit="1" customWidth="1"/>
    <col min="11292" max="11292" width="15" customWidth="1"/>
    <col min="11293" max="11293" width="14.88671875" bestFit="1" customWidth="1"/>
    <col min="11294" max="11294" width="16.109375" bestFit="1" customWidth="1"/>
    <col min="11522" max="11522" width="24" bestFit="1" customWidth="1"/>
    <col min="11523" max="11523" width="45.6640625" bestFit="1" customWidth="1"/>
    <col min="11524" max="11524" width="19.6640625" bestFit="1" customWidth="1"/>
    <col min="11525" max="11525" width="15.33203125" bestFit="1" customWidth="1"/>
    <col min="11526" max="11526" width="15.88671875" bestFit="1" customWidth="1"/>
    <col min="11527" max="11527" width="13.44140625" customWidth="1"/>
    <col min="11528" max="11528" width="15.33203125" bestFit="1" customWidth="1"/>
    <col min="11529" max="11529" width="14.109375" bestFit="1" customWidth="1"/>
    <col min="11530" max="11530" width="15.33203125" customWidth="1"/>
    <col min="11531" max="11531" width="15.88671875" customWidth="1"/>
    <col min="11532" max="11532" width="17" bestFit="1" customWidth="1"/>
    <col min="11533" max="11533" width="12.6640625" customWidth="1"/>
    <col min="11534" max="11534" width="13.6640625" customWidth="1"/>
    <col min="11535" max="11535" width="13.88671875" bestFit="1" customWidth="1"/>
    <col min="11536" max="11536" width="15.5546875" bestFit="1" customWidth="1"/>
    <col min="11537" max="11537" width="16.109375" customWidth="1"/>
    <col min="11538" max="11538" width="16.6640625" bestFit="1" customWidth="1"/>
    <col min="11539" max="11540" width="15.5546875" bestFit="1" customWidth="1"/>
    <col min="11541" max="11541" width="16.44140625" bestFit="1" customWidth="1"/>
    <col min="11542" max="11542" width="14.33203125" customWidth="1"/>
    <col min="11543" max="11543" width="12.88671875" bestFit="1" customWidth="1"/>
    <col min="11544" max="11544" width="11.33203125" bestFit="1" customWidth="1"/>
    <col min="11545" max="11545" width="12.5546875" bestFit="1" customWidth="1"/>
    <col min="11546" max="11546" width="14" bestFit="1" customWidth="1"/>
    <col min="11547" max="11547" width="6" bestFit="1" customWidth="1"/>
    <col min="11548" max="11548" width="15" customWidth="1"/>
    <col min="11549" max="11549" width="14.88671875" bestFit="1" customWidth="1"/>
    <col min="11550" max="11550" width="16.109375" bestFit="1" customWidth="1"/>
    <col min="11778" max="11778" width="24" bestFit="1" customWidth="1"/>
    <col min="11779" max="11779" width="45.6640625" bestFit="1" customWidth="1"/>
    <col min="11780" max="11780" width="19.6640625" bestFit="1" customWidth="1"/>
    <col min="11781" max="11781" width="15.33203125" bestFit="1" customWidth="1"/>
    <col min="11782" max="11782" width="15.88671875" bestFit="1" customWidth="1"/>
    <col min="11783" max="11783" width="13.44140625" customWidth="1"/>
    <col min="11784" max="11784" width="15.33203125" bestFit="1" customWidth="1"/>
    <col min="11785" max="11785" width="14.109375" bestFit="1" customWidth="1"/>
    <col min="11786" max="11786" width="15.33203125" customWidth="1"/>
    <col min="11787" max="11787" width="15.88671875" customWidth="1"/>
    <col min="11788" max="11788" width="17" bestFit="1" customWidth="1"/>
    <col min="11789" max="11789" width="12.6640625" customWidth="1"/>
    <col min="11790" max="11790" width="13.6640625" customWidth="1"/>
    <col min="11791" max="11791" width="13.88671875" bestFit="1" customWidth="1"/>
    <col min="11792" max="11792" width="15.5546875" bestFit="1" customWidth="1"/>
    <col min="11793" max="11793" width="16.109375" customWidth="1"/>
    <col min="11794" max="11794" width="16.6640625" bestFit="1" customWidth="1"/>
    <col min="11795" max="11796" width="15.5546875" bestFit="1" customWidth="1"/>
    <col min="11797" max="11797" width="16.44140625" bestFit="1" customWidth="1"/>
    <col min="11798" max="11798" width="14.33203125" customWidth="1"/>
    <col min="11799" max="11799" width="12.88671875" bestFit="1" customWidth="1"/>
    <col min="11800" max="11800" width="11.33203125" bestFit="1" customWidth="1"/>
    <col min="11801" max="11801" width="12.5546875" bestFit="1" customWidth="1"/>
    <col min="11802" max="11802" width="14" bestFit="1" customWidth="1"/>
    <col min="11803" max="11803" width="6" bestFit="1" customWidth="1"/>
    <col min="11804" max="11804" width="15" customWidth="1"/>
    <col min="11805" max="11805" width="14.88671875" bestFit="1" customWidth="1"/>
    <col min="11806" max="11806" width="16.109375" bestFit="1" customWidth="1"/>
    <col min="12034" max="12034" width="24" bestFit="1" customWidth="1"/>
    <col min="12035" max="12035" width="45.6640625" bestFit="1" customWidth="1"/>
    <col min="12036" max="12036" width="19.6640625" bestFit="1" customWidth="1"/>
    <col min="12037" max="12037" width="15.33203125" bestFit="1" customWidth="1"/>
    <col min="12038" max="12038" width="15.88671875" bestFit="1" customWidth="1"/>
    <col min="12039" max="12039" width="13.44140625" customWidth="1"/>
    <col min="12040" max="12040" width="15.33203125" bestFit="1" customWidth="1"/>
    <col min="12041" max="12041" width="14.109375" bestFit="1" customWidth="1"/>
    <col min="12042" max="12042" width="15.33203125" customWidth="1"/>
    <col min="12043" max="12043" width="15.88671875" customWidth="1"/>
    <col min="12044" max="12044" width="17" bestFit="1" customWidth="1"/>
    <col min="12045" max="12045" width="12.6640625" customWidth="1"/>
    <col min="12046" max="12046" width="13.6640625" customWidth="1"/>
    <col min="12047" max="12047" width="13.88671875" bestFit="1" customWidth="1"/>
    <col min="12048" max="12048" width="15.5546875" bestFit="1" customWidth="1"/>
    <col min="12049" max="12049" width="16.109375" customWidth="1"/>
    <col min="12050" max="12050" width="16.6640625" bestFit="1" customWidth="1"/>
    <col min="12051" max="12052" width="15.5546875" bestFit="1" customWidth="1"/>
    <col min="12053" max="12053" width="16.44140625" bestFit="1" customWidth="1"/>
    <col min="12054" max="12054" width="14.33203125" customWidth="1"/>
    <col min="12055" max="12055" width="12.88671875" bestFit="1" customWidth="1"/>
    <col min="12056" max="12056" width="11.33203125" bestFit="1" customWidth="1"/>
    <col min="12057" max="12057" width="12.5546875" bestFit="1" customWidth="1"/>
    <col min="12058" max="12058" width="14" bestFit="1" customWidth="1"/>
    <col min="12059" max="12059" width="6" bestFit="1" customWidth="1"/>
    <col min="12060" max="12060" width="15" customWidth="1"/>
    <col min="12061" max="12061" width="14.88671875" bestFit="1" customWidth="1"/>
    <col min="12062" max="12062" width="16.109375" bestFit="1" customWidth="1"/>
    <col min="12290" max="12290" width="24" bestFit="1" customWidth="1"/>
    <col min="12291" max="12291" width="45.6640625" bestFit="1" customWidth="1"/>
    <col min="12292" max="12292" width="19.6640625" bestFit="1" customWidth="1"/>
    <col min="12293" max="12293" width="15.33203125" bestFit="1" customWidth="1"/>
    <col min="12294" max="12294" width="15.88671875" bestFit="1" customWidth="1"/>
    <col min="12295" max="12295" width="13.44140625" customWidth="1"/>
    <col min="12296" max="12296" width="15.33203125" bestFit="1" customWidth="1"/>
    <col min="12297" max="12297" width="14.109375" bestFit="1" customWidth="1"/>
    <col min="12298" max="12298" width="15.33203125" customWidth="1"/>
    <col min="12299" max="12299" width="15.88671875" customWidth="1"/>
    <col min="12300" max="12300" width="17" bestFit="1" customWidth="1"/>
    <col min="12301" max="12301" width="12.6640625" customWidth="1"/>
    <col min="12302" max="12302" width="13.6640625" customWidth="1"/>
    <col min="12303" max="12303" width="13.88671875" bestFit="1" customWidth="1"/>
    <col min="12304" max="12304" width="15.5546875" bestFit="1" customWidth="1"/>
    <col min="12305" max="12305" width="16.109375" customWidth="1"/>
    <col min="12306" max="12306" width="16.6640625" bestFit="1" customWidth="1"/>
    <col min="12307" max="12308" width="15.5546875" bestFit="1" customWidth="1"/>
    <col min="12309" max="12309" width="16.44140625" bestFit="1" customWidth="1"/>
    <col min="12310" max="12310" width="14.33203125" customWidth="1"/>
    <col min="12311" max="12311" width="12.88671875" bestFit="1" customWidth="1"/>
    <col min="12312" max="12312" width="11.33203125" bestFit="1" customWidth="1"/>
    <col min="12313" max="12313" width="12.5546875" bestFit="1" customWidth="1"/>
    <col min="12314" max="12314" width="14" bestFit="1" customWidth="1"/>
    <col min="12315" max="12315" width="6" bestFit="1" customWidth="1"/>
    <col min="12316" max="12316" width="15" customWidth="1"/>
    <col min="12317" max="12317" width="14.88671875" bestFit="1" customWidth="1"/>
    <col min="12318" max="12318" width="16.109375" bestFit="1" customWidth="1"/>
    <col min="12546" max="12546" width="24" bestFit="1" customWidth="1"/>
    <col min="12547" max="12547" width="45.6640625" bestFit="1" customWidth="1"/>
    <col min="12548" max="12548" width="19.6640625" bestFit="1" customWidth="1"/>
    <col min="12549" max="12549" width="15.33203125" bestFit="1" customWidth="1"/>
    <col min="12550" max="12550" width="15.88671875" bestFit="1" customWidth="1"/>
    <col min="12551" max="12551" width="13.44140625" customWidth="1"/>
    <col min="12552" max="12552" width="15.33203125" bestFit="1" customWidth="1"/>
    <col min="12553" max="12553" width="14.109375" bestFit="1" customWidth="1"/>
    <col min="12554" max="12554" width="15.33203125" customWidth="1"/>
    <col min="12555" max="12555" width="15.88671875" customWidth="1"/>
    <col min="12556" max="12556" width="17" bestFit="1" customWidth="1"/>
    <col min="12557" max="12557" width="12.6640625" customWidth="1"/>
    <col min="12558" max="12558" width="13.6640625" customWidth="1"/>
    <col min="12559" max="12559" width="13.88671875" bestFit="1" customWidth="1"/>
    <col min="12560" max="12560" width="15.5546875" bestFit="1" customWidth="1"/>
    <col min="12561" max="12561" width="16.109375" customWidth="1"/>
    <col min="12562" max="12562" width="16.6640625" bestFit="1" customWidth="1"/>
    <col min="12563" max="12564" width="15.5546875" bestFit="1" customWidth="1"/>
    <col min="12565" max="12565" width="16.44140625" bestFit="1" customWidth="1"/>
    <col min="12566" max="12566" width="14.33203125" customWidth="1"/>
    <col min="12567" max="12567" width="12.88671875" bestFit="1" customWidth="1"/>
    <col min="12568" max="12568" width="11.33203125" bestFit="1" customWidth="1"/>
    <col min="12569" max="12569" width="12.5546875" bestFit="1" customWidth="1"/>
    <col min="12570" max="12570" width="14" bestFit="1" customWidth="1"/>
    <col min="12571" max="12571" width="6" bestFit="1" customWidth="1"/>
    <col min="12572" max="12572" width="15" customWidth="1"/>
    <col min="12573" max="12573" width="14.88671875" bestFit="1" customWidth="1"/>
    <col min="12574" max="12574" width="16.109375" bestFit="1" customWidth="1"/>
    <col min="12802" max="12802" width="24" bestFit="1" customWidth="1"/>
    <col min="12803" max="12803" width="45.6640625" bestFit="1" customWidth="1"/>
    <col min="12804" max="12804" width="19.6640625" bestFit="1" customWidth="1"/>
    <col min="12805" max="12805" width="15.33203125" bestFit="1" customWidth="1"/>
    <col min="12806" max="12806" width="15.88671875" bestFit="1" customWidth="1"/>
    <col min="12807" max="12807" width="13.44140625" customWidth="1"/>
    <col min="12808" max="12808" width="15.33203125" bestFit="1" customWidth="1"/>
    <col min="12809" max="12809" width="14.109375" bestFit="1" customWidth="1"/>
    <col min="12810" max="12810" width="15.33203125" customWidth="1"/>
    <col min="12811" max="12811" width="15.88671875" customWidth="1"/>
    <col min="12812" max="12812" width="17" bestFit="1" customWidth="1"/>
    <col min="12813" max="12813" width="12.6640625" customWidth="1"/>
    <col min="12814" max="12814" width="13.6640625" customWidth="1"/>
    <col min="12815" max="12815" width="13.88671875" bestFit="1" customWidth="1"/>
    <col min="12816" max="12816" width="15.5546875" bestFit="1" customWidth="1"/>
    <col min="12817" max="12817" width="16.109375" customWidth="1"/>
    <col min="12818" max="12818" width="16.6640625" bestFit="1" customWidth="1"/>
    <col min="12819" max="12820" width="15.5546875" bestFit="1" customWidth="1"/>
    <col min="12821" max="12821" width="16.44140625" bestFit="1" customWidth="1"/>
    <col min="12822" max="12822" width="14.33203125" customWidth="1"/>
    <col min="12823" max="12823" width="12.88671875" bestFit="1" customWidth="1"/>
    <col min="12824" max="12824" width="11.33203125" bestFit="1" customWidth="1"/>
    <col min="12825" max="12825" width="12.5546875" bestFit="1" customWidth="1"/>
    <col min="12826" max="12826" width="14" bestFit="1" customWidth="1"/>
    <col min="12827" max="12827" width="6" bestFit="1" customWidth="1"/>
    <col min="12828" max="12828" width="15" customWidth="1"/>
    <col min="12829" max="12829" width="14.88671875" bestFit="1" customWidth="1"/>
    <col min="12830" max="12830" width="16.109375" bestFit="1" customWidth="1"/>
    <col min="13058" max="13058" width="24" bestFit="1" customWidth="1"/>
    <col min="13059" max="13059" width="45.6640625" bestFit="1" customWidth="1"/>
    <col min="13060" max="13060" width="19.6640625" bestFit="1" customWidth="1"/>
    <col min="13061" max="13061" width="15.33203125" bestFit="1" customWidth="1"/>
    <col min="13062" max="13062" width="15.88671875" bestFit="1" customWidth="1"/>
    <col min="13063" max="13063" width="13.44140625" customWidth="1"/>
    <col min="13064" max="13064" width="15.33203125" bestFit="1" customWidth="1"/>
    <col min="13065" max="13065" width="14.109375" bestFit="1" customWidth="1"/>
    <col min="13066" max="13066" width="15.33203125" customWidth="1"/>
    <col min="13067" max="13067" width="15.88671875" customWidth="1"/>
    <col min="13068" max="13068" width="17" bestFit="1" customWidth="1"/>
    <col min="13069" max="13069" width="12.6640625" customWidth="1"/>
    <col min="13070" max="13070" width="13.6640625" customWidth="1"/>
    <col min="13071" max="13071" width="13.88671875" bestFit="1" customWidth="1"/>
    <col min="13072" max="13072" width="15.5546875" bestFit="1" customWidth="1"/>
    <col min="13073" max="13073" width="16.109375" customWidth="1"/>
    <col min="13074" max="13074" width="16.6640625" bestFit="1" customWidth="1"/>
    <col min="13075" max="13076" width="15.5546875" bestFit="1" customWidth="1"/>
    <col min="13077" max="13077" width="16.44140625" bestFit="1" customWidth="1"/>
    <col min="13078" max="13078" width="14.33203125" customWidth="1"/>
    <col min="13079" max="13079" width="12.88671875" bestFit="1" customWidth="1"/>
    <col min="13080" max="13080" width="11.33203125" bestFit="1" customWidth="1"/>
    <col min="13081" max="13081" width="12.5546875" bestFit="1" customWidth="1"/>
    <col min="13082" max="13082" width="14" bestFit="1" customWidth="1"/>
    <col min="13083" max="13083" width="6" bestFit="1" customWidth="1"/>
    <col min="13084" max="13084" width="15" customWidth="1"/>
    <col min="13085" max="13085" width="14.88671875" bestFit="1" customWidth="1"/>
    <col min="13086" max="13086" width="16.109375" bestFit="1" customWidth="1"/>
    <col min="13314" max="13314" width="24" bestFit="1" customWidth="1"/>
    <col min="13315" max="13315" width="45.6640625" bestFit="1" customWidth="1"/>
    <col min="13316" max="13316" width="19.6640625" bestFit="1" customWidth="1"/>
    <col min="13317" max="13317" width="15.33203125" bestFit="1" customWidth="1"/>
    <col min="13318" max="13318" width="15.88671875" bestFit="1" customWidth="1"/>
    <col min="13319" max="13319" width="13.44140625" customWidth="1"/>
    <col min="13320" max="13320" width="15.33203125" bestFit="1" customWidth="1"/>
    <col min="13321" max="13321" width="14.109375" bestFit="1" customWidth="1"/>
    <col min="13322" max="13322" width="15.33203125" customWidth="1"/>
    <col min="13323" max="13323" width="15.88671875" customWidth="1"/>
    <col min="13324" max="13324" width="17" bestFit="1" customWidth="1"/>
    <col min="13325" max="13325" width="12.6640625" customWidth="1"/>
    <col min="13326" max="13326" width="13.6640625" customWidth="1"/>
    <col min="13327" max="13327" width="13.88671875" bestFit="1" customWidth="1"/>
    <col min="13328" max="13328" width="15.5546875" bestFit="1" customWidth="1"/>
    <col min="13329" max="13329" width="16.109375" customWidth="1"/>
    <col min="13330" max="13330" width="16.6640625" bestFit="1" customWidth="1"/>
    <col min="13331" max="13332" width="15.5546875" bestFit="1" customWidth="1"/>
    <col min="13333" max="13333" width="16.44140625" bestFit="1" customWidth="1"/>
    <col min="13334" max="13334" width="14.33203125" customWidth="1"/>
    <col min="13335" max="13335" width="12.88671875" bestFit="1" customWidth="1"/>
    <col min="13336" max="13336" width="11.33203125" bestFit="1" customWidth="1"/>
    <col min="13337" max="13337" width="12.5546875" bestFit="1" customWidth="1"/>
    <col min="13338" max="13338" width="14" bestFit="1" customWidth="1"/>
    <col min="13339" max="13339" width="6" bestFit="1" customWidth="1"/>
    <col min="13340" max="13340" width="15" customWidth="1"/>
    <col min="13341" max="13341" width="14.88671875" bestFit="1" customWidth="1"/>
    <col min="13342" max="13342" width="16.109375" bestFit="1" customWidth="1"/>
    <col min="13570" max="13570" width="24" bestFit="1" customWidth="1"/>
    <col min="13571" max="13571" width="45.6640625" bestFit="1" customWidth="1"/>
    <col min="13572" max="13572" width="19.6640625" bestFit="1" customWidth="1"/>
    <col min="13573" max="13573" width="15.33203125" bestFit="1" customWidth="1"/>
    <col min="13574" max="13574" width="15.88671875" bestFit="1" customWidth="1"/>
    <col min="13575" max="13575" width="13.44140625" customWidth="1"/>
    <col min="13576" max="13576" width="15.33203125" bestFit="1" customWidth="1"/>
    <col min="13577" max="13577" width="14.109375" bestFit="1" customWidth="1"/>
    <col min="13578" max="13578" width="15.33203125" customWidth="1"/>
    <col min="13579" max="13579" width="15.88671875" customWidth="1"/>
    <col min="13580" max="13580" width="17" bestFit="1" customWidth="1"/>
    <col min="13581" max="13581" width="12.6640625" customWidth="1"/>
    <col min="13582" max="13582" width="13.6640625" customWidth="1"/>
    <col min="13583" max="13583" width="13.88671875" bestFit="1" customWidth="1"/>
    <col min="13584" max="13584" width="15.5546875" bestFit="1" customWidth="1"/>
    <col min="13585" max="13585" width="16.109375" customWidth="1"/>
    <col min="13586" max="13586" width="16.6640625" bestFit="1" customWidth="1"/>
    <col min="13587" max="13588" width="15.5546875" bestFit="1" customWidth="1"/>
    <col min="13589" max="13589" width="16.44140625" bestFit="1" customWidth="1"/>
    <col min="13590" max="13590" width="14.33203125" customWidth="1"/>
    <col min="13591" max="13591" width="12.88671875" bestFit="1" customWidth="1"/>
    <col min="13592" max="13592" width="11.33203125" bestFit="1" customWidth="1"/>
    <col min="13593" max="13593" width="12.5546875" bestFit="1" customWidth="1"/>
    <col min="13594" max="13594" width="14" bestFit="1" customWidth="1"/>
    <col min="13595" max="13595" width="6" bestFit="1" customWidth="1"/>
    <col min="13596" max="13596" width="15" customWidth="1"/>
    <col min="13597" max="13597" width="14.88671875" bestFit="1" customWidth="1"/>
    <col min="13598" max="13598" width="16.109375" bestFit="1" customWidth="1"/>
    <col min="13826" max="13826" width="24" bestFit="1" customWidth="1"/>
    <col min="13827" max="13827" width="45.6640625" bestFit="1" customWidth="1"/>
    <col min="13828" max="13828" width="19.6640625" bestFit="1" customWidth="1"/>
    <col min="13829" max="13829" width="15.33203125" bestFit="1" customWidth="1"/>
    <col min="13830" max="13830" width="15.88671875" bestFit="1" customWidth="1"/>
    <col min="13831" max="13831" width="13.44140625" customWidth="1"/>
    <col min="13832" max="13832" width="15.33203125" bestFit="1" customWidth="1"/>
    <col min="13833" max="13833" width="14.109375" bestFit="1" customWidth="1"/>
    <col min="13834" max="13834" width="15.33203125" customWidth="1"/>
    <col min="13835" max="13835" width="15.88671875" customWidth="1"/>
    <col min="13836" max="13836" width="17" bestFit="1" customWidth="1"/>
    <col min="13837" max="13837" width="12.6640625" customWidth="1"/>
    <col min="13838" max="13838" width="13.6640625" customWidth="1"/>
    <col min="13839" max="13839" width="13.88671875" bestFit="1" customWidth="1"/>
    <col min="13840" max="13840" width="15.5546875" bestFit="1" customWidth="1"/>
    <col min="13841" max="13841" width="16.109375" customWidth="1"/>
    <col min="13842" max="13842" width="16.6640625" bestFit="1" customWidth="1"/>
    <col min="13843" max="13844" width="15.5546875" bestFit="1" customWidth="1"/>
    <col min="13845" max="13845" width="16.44140625" bestFit="1" customWidth="1"/>
    <col min="13846" max="13846" width="14.33203125" customWidth="1"/>
    <col min="13847" max="13847" width="12.88671875" bestFit="1" customWidth="1"/>
    <col min="13848" max="13848" width="11.33203125" bestFit="1" customWidth="1"/>
    <col min="13849" max="13849" width="12.5546875" bestFit="1" customWidth="1"/>
    <col min="13850" max="13850" width="14" bestFit="1" customWidth="1"/>
    <col min="13851" max="13851" width="6" bestFit="1" customWidth="1"/>
    <col min="13852" max="13852" width="15" customWidth="1"/>
    <col min="13853" max="13853" width="14.88671875" bestFit="1" customWidth="1"/>
    <col min="13854" max="13854" width="16.109375" bestFit="1" customWidth="1"/>
    <col min="14082" max="14082" width="24" bestFit="1" customWidth="1"/>
    <col min="14083" max="14083" width="45.6640625" bestFit="1" customWidth="1"/>
    <col min="14084" max="14084" width="19.6640625" bestFit="1" customWidth="1"/>
    <col min="14085" max="14085" width="15.33203125" bestFit="1" customWidth="1"/>
    <col min="14086" max="14086" width="15.88671875" bestFit="1" customWidth="1"/>
    <col min="14087" max="14087" width="13.44140625" customWidth="1"/>
    <col min="14088" max="14088" width="15.33203125" bestFit="1" customWidth="1"/>
    <col min="14089" max="14089" width="14.109375" bestFit="1" customWidth="1"/>
    <col min="14090" max="14090" width="15.33203125" customWidth="1"/>
    <col min="14091" max="14091" width="15.88671875" customWidth="1"/>
    <col min="14092" max="14092" width="17" bestFit="1" customWidth="1"/>
    <col min="14093" max="14093" width="12.6640625" customWidth="1"/>
    <col min="14094" max="14094" width="13.6640625" customWidth="1"/>
    <col min="14095" max="14095" width="13.88671875" bestFit="1" customWidth="1"/>
    <col min="14096" max="14096" width="15.5546875" bestFit="1" customWidth="1"/>
    <col min="14097" max="14097" width="16.109375" customWidth="1"/>
    <col min="14098" max="14098" width="16.6640625" bestFit="1" customWidth="1"/>
    <col min="14099" max="14100" width="15.5546875" bestFit="1" customWidth="1"/>
    <col min="14101" max="14101" width="16.44140625" bestFit="1" customWidth="1"/>
    <col min="14102" max="14102" width="14.33203125" customWidth="1"/>
    <col min="14103" max="14103" width="12.88671875" bestFit="1" customWidth="1"/>
    <col min="14104" max="14104" width="11.33203125" bestFit="1" customWidth="1"/>
    <col min="14105" max="14105" width="12.5546875" bestFit="1" customWidth="1"/>
    <col min="14106" max="14106" width="14" bestFit="1" customWidth="1"/>
    <col min="14107" max="14107" width="6" bestFit="1" customWidth="1"/>
    <col min="14108" max="14108" width="15" customWidth="1"/>
    <col min="14109" max="14109" width="14.88671875" bestFit="1" customWidth="1"/>
    <col min="14110" max="14110" width="16.109375" bestFit="1" customWidth="1"/>
    <col min="14338" max="14338" width="24" bestFit="1" customWidth="1"/>
    <col min="14339" max="14339" width="45.6640625" bestFit="1" customWidth="1"/>
    <col min="14340" max="14340" width="19.6640625" bestFit="1" customWidth="1"/>
    <col min="14341" max="14341" width="15.33203125" bestFit="1" customWidth="1"/>
    <col min="14342" max="14342" width="15.88671875" bestFit="1" customWidth="1"/>
    <col min="14343" max="14343" width="13.44140625" customWidth="1"/>
    <col min="14344" max="14344" width="15.33203125" bestFit="1" customWidth="1"/>
    <col min="14345" max="14345" width="14.109375" bestFit="1" customWidth="1"/>
    <col min="14346" max="14346" width="15.33203125" customWidth="1"/>
    <col min="14347" max="14347" width="15.88671875" customWidth="1"/>
    <col min="14348" max="14348" width="17" bestFit="1" customWidth="1"/>
    <col min="14349" max="14349" width="12.6640625" customWidth="1"/>
    <col min="14350" max="14350" width="13.6640625" customWidth="1"/>
    <col min="14351" max="14351" width="13.88671875" bestFit="1" customWidth="1"/>
    <col min="14352" max="14352" width="15.5546875" bestFit="1" customWidth="1"/>
    <col min="14353" max="14353" width="16.109375" customWidth="1"/>
    <col min="14354" max="14354" width="16.6640625" bestFit="1" customWidth="1"/>
    <col min="14355" max="14356" width="15.5546875" bestFit="1" customWidth="1"/>
    <col min="14357" max="14357" width="16.44140625" bestFit="1" customWidth="1"/>
    <col min="14358" max="14358" width="14.33203125" customWidth="1"/>
    <col min="14359" max="14359" width="12.88671875" bestFit="1" customWidth="1"/>
    <col min="14360" max="14360" width="11.33203125" bestFit="1" customWidth="1"/>
    <col min="14361" max="14361" width="12.5546875" bestFit="1" customWidth="1"/>
    <col min="14362" max="14362" width="14" bestFit="1" customWidth="1"/>
    <col min="14363" max="14363" width="6" bestFit="1" customWidth="1"/>
    <col min="14364" max="14364" width="15" customWidth="1"/>
    <col min="14365" max="14365" width="14.88671875" bestFit="1" customWidth="1"/>
    <col min="14366" max="14366" width="16.109375" bestFit="1" customWidth="1"/>
    <col min="14594" max="14594" width="24" bestFit="1" customWidth="1"/>
    <col min="14595" max="14595" width="45.6640625" bestFit="1" customWidth="1"/>
    <col min="14596" max="14596" width="19.6640625" bestFit="1" customWidth="1"/>
    <col min="14597" max="14597" width="15.33203125" bestFit="1" customWidth="1"/>
    <col min="14598" max="14598" width="15.88671875" bestFit="1" customWidth="1"/>
    <col min="14599" max="14599" width="13.44140625" customWidth="1"/>
    <col min="14600" max="14600" width="15.33203125" bestFit="1" customWidth="1"/>
    <col min="14601" max="14601" width="14.109375" bestFit="1" customWidth="1"/>
    <col min="14602" max="14602" width="15.33203125" customWidth="1"/>
    <col min="14603" max="14603" width="15.88671875" customWidth="1"/>
    <col min="14604" max="14604" width="17" bestFit="1" customWidth="1"/>
    <col min="14605" max="14605" width="12.6640625" customWidth="1"/>
    <col min="14606" max="14606" width="13.6640625" customWidth="1"/>
    <col min="14607" max="14607" width="13.88671875" bestFit="1" customWidth="1"/>
    <col min="14608" max="14608" width="15.5546875" bestFit="1" customWidth="1"/>
    <col min="14609" max="14609" width="16.109375" customWidth="1"/>
    <col min="14610" max="14610" width="16.6640625" bestFit="1" customWidth="1"/>
    <col min="14611" max="14612" width="15.5546875" bestFit="1" customWidth="1"/>
    <col min="14613" max="14613" width="16.44140625" bestFit="1" customWidth="1"/>
    <col min="14614" max="14614" width="14.33203125" customWidth="1"/>
    <col min="14615" max="14615" width="12.88671875" bestFit="1" customWidth="1"/>
    <col min="14616" max="14616" width="11.33203125" bestFit="1" customWidth="1"/>
    <col min="14617" max="14617" width="12.5546875" bestFit="1" customWidth="1"/>
    <col min="14618" max="14618" width="14" bestFit="1" customWidth="1"/>
    <col min="14619" max="14619" width="6" bestFit="1" customWidth="1"/>
    <col min="14620" max="14620" width="15" customWidth="1"/>
    <col min="14621" max="14621" width="14.88671875" bestFit="1" customWidth="1"/>
    <col min="14622" max="14622" width="16.109375" bestFit="1" customWidth="1"/>
    <col min="14850" max="14850" width="24" bestFit="1" customWidth="1"/>
    <col min="14851" max="14851" width="45.6640625" bestFit="1" customWidth="1"/>
    <col min="14852" max="14852" width="19.6640625" bestFit="1" customWidth="1"/>
    <col min="14853" max="14853" width="15.33203125" bestFit="1" customWidth="1"/>
    <col min="14854" max="14854" width="15.88671875" bestFit="1" customWidth="1"/>
    <col min="14855" max="14855" width="13.44140625" customWidth="1"/>
    <col min="14856" max="14856" width="15.33203125" bestFit="1" customWidth="1"/>
    <col min="14857" max="14857" width="14.109375" bestFit="1" customWidth="1"/>
    <col min="14858" max="14858" width="15.33203125" customWidth="1"/>
    <col min="14859" max="14859" width="15.88671875" customWidth="1"/>
    <col min="14860" max="14860" width="17" bestFit="1" customWidth="1"/>
    <col min="14861" max="14861" width="12.6640625" customWidth="1"/>
    <col min="14862" max="14862" width="13.6640625" customWidth="1"/>
    <col min="14863" max="14863" width="13.88671875" bestFit="1" customWidth="1"/>
    <col min="14864" max="14864" width="15.5546875" bestFit="1" customWidth="1"/>
    <col min="14865" max="14865" width="16.109375" customWidth="1"/>
    <col min="14866" max="14866" width="16.6640625" bestFit="1" customWidth="1"/>
    <col min="14867" max="14868" width="15.5546875" bestFit="1" customWidth="1"/>
    <col min="14869" max="14869" width="16.44140625" bestFit="1" customWidth="1"/>
    <col min="14870" max="14870" width="14.33203125" customWidth="1"/>
    <col min="14871" max="14871" width="12.88671875" bestFit="1" customWidth="1"/>
    <col min="14872" max="14872" width="11.33203125" bestFit="1" customWidth="1"/>
    <col min="14873" max="14873" width="12.5546875" bestFit="1" customWidth="1"/>
    <col min="14874" max="14874" width="14" bestFit="1" customWidth="1"/>
    <col min="14875" max="14875" width="6" bestFit="1" customWidth="1"/>
    <col min="14876" max="14876" width="15" customWidth="1"/>
    <col min="14877" max="14877" width="14.88671875" bestFit="1" customWidth="1"/>
    <col min="14878" max="14878" width="16.109375" bestFit="1" customWidth="1"/>
    <col min="15106" max="15106" width="24" bestFit="1" customWidth="1"/>
    <col min="15107" max="15107" width="45.6640625" bestFit="1" customWidth="1"/>
    <col min="15108" max="15108" width="19.6640625" bestFit="1" customWidth="1"/>
    <col min="15109" max="15109" width="15.33203125" bestFit="1" customWidth="1"/>
    <col min="15110" max="15110" width="15.88671875" bestFit="1" customWidth="1"/>
    <col min="15111" max="15111" width="13.44140625" customWidth="1"/>
    <col min="15112" max="15112" width="15.33203125" bestFit="1" customWidth="1"/>
    <col min="15113" max="15113" width="14.109375" bestFit="1" customWidth="1"/>
    <col min="15114" max="15114" width="15.33203125" customWidth="1"/>
    <col min="15115" max="15115" width="15.88671875" customWidth="1"/>
    <col min="15116" max="15116" width="17" bestFit="1" customWidth="1"/>
    <col min="15117" max="15117" width="12.6640625" customWidth="1"/>
    <col min="15118" max="15118" width="13.6640625" customWidth="1"/>
    <col min="15119" max="15119" width="13.88671875" bestFit="1" customWidth="1"/>
    <col min="15120" max="15120" width="15.5546875" bestFit="1" customWidth="1"/>
    <col min="15121" max="15121" width="16.109375" customWidth="1"/>
    <col min="15122" max="15122" width="16.6640625" bestFit="1" customWidth="1"/>
    <col min="15123" max="15124" width="15.5546875" bestFit="1" customWidth="1"/>
    <col min="15125" max="15125" width="16.44140625" bestFit="1" customWidth="1"/>
    <col min="15126" max="15126" width="14.33203125" customWidth="1"/>
    <col min="15127" max="15127" width="12.88671875" bestFit="1" customWidth="1"/>
    <col min="15128" max="15128" width="11.33203125" bestFit="1" customWidth="1"/>
    <col min="15129" max="15129" width="12.5546875" bestFit="1" customWidth="1"/>
    <col min="15130" max="15130" width="14" bestFit="1" customWidth="1"/>
    <col min="15131" max="15131" width="6" bestFit="1" customWidth="1"/>
    <col min="15132" max="15132" width="15" customWidth="1"/>
    <col min="15133" max="15133" width="14.88671875" bestFit="1" customWidth="1"/>
    <col min="15134" max="15134" width="16.109375" bestFit="1" customWidth="1"/>
    <col min="15362" max="15362" width="24" bestFit="1" customWidth="1"/>
    <col min="15363" max="15363" width="45.6640625" bestFit="1" customWidth="1"/>
    <col min="15364" max="15364" width="19.6640625" bestFit="1" customWidth="1"/>
    <col min="15365" max="15365" width="15.33203125" bestFit="1" customWidth="1"/>
    <col min="15366" max="15366" width="15.88671875" bestFit="1" customWidth="1"/>
    <col min="15367" max="15367" width="13.44140625" customWidth="1"/>
    <col min="15368" max="15368" width="15.33203125" bestFit="1" customWidth="1"/>
    <col min="15369" max="15369" width="14.109375" bestFit="1" customWidth="1"/>
    <col min="15370" max="15370" width="15.33203125" customWidth="1"/>
    <col min="15371" max="15371" width="15.88671875" customWidth="1"/>
    <col min="15372" max="15372" width="17" bestFit="1" customWidth="1"/>
    <col min="15373" max="15373" width="12.6640625" customWidth="1"/>
    <col min="15374" max="15374" width="13.6640625" customWidth="1"/>
    <col min="15375" max="15375" width="13.88671875" bestFit="1" customWidth="1"/>
    <col min="15376" max="15376" width="15.5546875" bestFit="1" customWidth="1"/>
    <col min="15377" max="15377" width="16.109375" customWidth="1"/>
    <col min="15378" max="15378" width="16.6640625" bestFit="1" customWidth="1"/>
    <col min="15379" max="15380" width="15.5546875" bestFit="1" customWidth="1"/>
    <col min="15381" max="15381" width="16.44140625" bestFit="1" customWidth="1"/>
    <col min="15382" max="15382" width="14.33203125" customWidth="1"/>
    <col min="15383" max="15383" width="12.88671875" bestFit="1" customWidth="1"/>
    <col min="15384" max="15384" width="11.33203125" bestFit="1" customWidth="1"/>
    <col min="15385" max="15385" width="12.5546875" bestFit="1" customWidth="1"/>
    <col min="15386" max="15386" width="14" bestFit="1" customWidth="1"/>
    <col min="15387" max="15387" width="6" bestFit="1" customWidth="1"/>
    <col min="15388" max="15388" width="15" customWidth="1"/>
    <col min="15389" max="15389" width="14.88671875" bestFit="1" customWidth="1"/>
    <col min="15390" max="15390" width="16.109375" bestFit="1" customWidth="1"/>
    <col min="15618" max="15618" width="24" bestFit="1" customWidth="1"/>
    <col min="15619" max="15619" width="45.6640625" bestFit="1" customWidth="1"/>
    <col min="15620" max="15620" width="19.6640625" bestFit="1" customWidth="1"/>
    <col min="15621" max="15621" width="15.33203125" bestFit="1" customWidth="1"/>
    <col min="15622" max="15622" width="15.88671875" bestFit="1" customWidth="1"/>
    <col min="15623" max="15623" width="13.44140625" customWidth="1"/>
    <col min="15624" max="15624" width="15.33203125" bestFit="1" customWidth="1"/>
    <col min="15625" max="15625" width="14.109375" bestFit="1" customWidth="1"/>
    <col min="15626" max="15626" width="15.33203125" customWidth="1"/>
    <col min="15627" max="15627" width="15.88671875" customWidth="1"/>
    <col min="15628" max="15628" width="17" bestFit="1" customWidth="1"/>
    <col min="15629" max="15629" width="12.6640625" customWidth="1"/>
    <col min="15630" max="15630" width="13.6640625" customWidth="1"/>
    <col min="15631" max="15631" width="13.88671875" bestFit="1" customWidth="1"/>
    <col min="15632" max="15632" width="15.5546875" bestFit="1" customWidth="1"/>
    <col min="15633" max="15633" width="16.109375" customWidth="1"/>
    <col min="15634" max="15634" width="16.6640625" bestFit="1" customWidth="1"/>
    <col min="15635" max="15636" width="15.5546875" bestFit="1" customWidth="1"/>
    <col min="15637" max="15637" width="16.44140625" bestFit="1" customWidth="1"/>
    <col min="15638" max="15638" width="14.33203125" customWidth="1"/>
    <col min="15639" max="15639" width="12.88671875" bestFit="1" customWidth="1"/>
    <col min="15640" max="15640" width="11.33203125" bestFit="1" customWidth="1"/>
    <col min="15641" max="15641" width="12.5546875" bestFit="1" customWidth="1"/>
    <col min="15642" max="15642" width="14" bestFit="1" customWidth="1"/>
    <col min="15643" max="15643" width="6" bestFit="1" customWidth="1"/>
    <col min="15644" max="15644" width="15" customWidth="1"/>
    <col min="15645" max="15645" width="14.88671875" bestFit="1" customWidth="1"/>
    <col min="15646" max="15646" width="16.109375" bestFit="1" customWidth="1"/>
    <col min="15874" max="15874" width="24" bestFit="1" customWidth="1"/>
    <col min="15875" max="15875" width="45.6640625" bestFit="1" customWidth="1"/>
    <col min="15876" max="15876" width="19.6640625" bestFit="1" customWidth="1"/>
    <col min="15877" max="15877" width="15.33203125" bestFit="1" customWidth="1"/>
    <col min="15878" max="15878" width="15.88671875" bestFit="1" customWidth="1"/>
    <col min="15879" max="15879" width="13.44140625" customWidth="1"/>
    <col min="15880" max="15880" width="15.33203125" bestFit="1" customWidth="1"/>
    <col min="15881" max="15881" width="14.109375" bestFit="1" customWidth="1"/>
    <col min="15882" max="15882" width="15.33203125" customWidth="1"/>
    <col min="15883" max="15883" width="15.88671875" customWidth="1"/>
    <col min="15884" max="15884" width="17" bestFit="1" customWidth="1"/>
    <col min="15885" max="15885" width="12.6640625" customWidth="1"/>
    <col min="15886" max="15886" width="13.6640625" customWidth="1"/>
    <col min="15887" max="15887" width="13.88671875" bestFit="1" customWidth="1"/>
    <col min="15888" max="15888" width="15.5546875" bestFit="1" customWidth="1"/>
    <col min="15889" max="15889" width="16.109375" customWidth="1"/>
    <col min="15890" max="15890" width="16.6640625" bestFit="1" customWidth="1"/>
    <col min="15891" max="15892" width="15.5546875" bestFit="1" customWidth="1"/>
    <col min="15893" max="15893" width="16.44140625" bestFit="1" customWidth="1"/>
    <col min="15894" max="15894" width="14.33203125" customWidth="1"/>
    <col min="15895" max="15895" width="12.88671875" bestFit="1" customWidth="1"/>
    <col min="15896" max="15896" width="11.33203125" bestFit="1" customWidth="1"/>
    <col min="15897" max="15897" width="12.5546875" bestFit="1" customWidth="1"/>
    <col min="15898" max="15898" width="14" bestFit="1" customWidth="1"/>
    <col min="15899" max="15899" width="6" bestFit="1" customWidth="1"/>
    <col min="15900" max="15900" width="15" customWidth="1"/>
    <col min="15901" max="15901" width="14.88671875" bestFit="1" customWidth="1"/>
    <col min="15902" max="15902" width="16.109375" bestFit="1" customWidth="1"/>
    <col min="16130" max="16130" width="24" bestFit="1" customWidth="1"/>
    <col min="16131" max="16131" width="45.6640625" bestFit="1" customWidth="1"/>
    <col min="16132" max="16132" width="19.6640625" bestFit="1" customWidth="1"/>
    <col min="16133" max="16133" width="15.33203125" bestFit="1" customWidth="1"/>
    <col min="16134" max="16134" width="15.88671875" bestFit="1" customWidth="1"/>
    <col min="16135" max="16135" width="13.44140625" customWidth="1"/>
    <col min="16136" max="16136" width="15.33203125" bestFit="1" customWidth="1"/>
    <col min="16137" max="16137" width="14.109375" bestFit="1" customWidth="1"/>
    <col min="16138" max="16138" width="15.33203125" customWidth="1"/>
    <col min="16139" max="16139" width="15.88671875" customWidth="1"/>
    <col min="16140" max="16140" width="17" bestFit="1" customWidth="1"/>
    <col min="16141" max="16141" width="12.6640625" customWidth="1"/>
    <col min="16142" max="16142" width="13.6640625" customWidth="1"/>
    <col min="16143" max="16143" width="13.88671875" bestFit="1" customWidth="1"/>
    <col min="16144" max="16144" width="15.5546875" bestFit="1" customWidth="1"/>
    <col min="16145" max="16145" width="16.109375" customWidth="1"/>
    <col min="16146" max="16146" width="16.6640625" bestFit="1" customWidth="1"/>
    <col min="16147" max="16148" width="15.5546875" bestFit="1" customWidth="1"/>
    <col min="16149" max="16149" width="16.44140625" bestFit="1" customWidth="1"/>
    <col min="16150" max="16150" width="14.33203125" customWidth="1"/>
    <col min="16151" max="16151" width="12.88671875" bestFit="1" customWidth="1"/>
    <col min="16152" max="16152" width="11.33203125" bestFit="1" customWidth="1"/>
    <col min="16153" max="16153" width="12.5546875" bestFit="1" customWidth="1"/>
    <col min="16154" max="16154" width="14" bestFit="1" customWidth="1"/>
    <col min="16155" max="16155" width="6" bestFit="1" customWidth="1"/>
    <col min="16156" max="16156" width="15" customWidth="1"/>
    <col min="16157" max="16157" width="14.88671875" bestFit="1" customWidth="1"/>
    <col min="16158" max="16158" width="16.109375" bestFit="1" customWidth="1"/>
  </cols>
  <sheetData>
    <row r="1" spans="2:22" ht="44.25" customHeight="1" thickBot="1" x14ac:dyDescent="0.35">
      <c r="B1" s="3881"/>
      <c r="F1" s="202"/>
      <c r="G1" s="202">
        <f>C3</f>
        <v>18230626</v>
      </c>
      <c r="H1" s="202" t="str">
        <f>C4</f>
        <v>SF Existing Water Heat - Electric</v>
      </c>
      <c r="I1" s="202"/>
    </row>
    <row r="2" spans="2:22" ht="16.2" thickBot="1" x14ac:dyDescent="0.35">
      <c r="B2" s="202" t="s">
        <v>131</v>
      </c>
      <c r="C2" s="203" t="s">
        <v>252</v>
      </c>
      <c r="G2" s="204" t="s">
        <v>8</v>
      </c>
      <c r="Q2" s="4765"/>
      <c r="R2" s="4765"/>
      <c r="S2" s="4762" t="s">
        <v>132</v>
      </c>
      <c r="T2" s="4763"/>
      <c r="U2" s="4764"/>
      <c r="V2" s="4766" t="s">
        <v>133</v>
      </c>
    </row>
    <row r="3" spans="2:22" ht="16.2" thickBot="1" x14ac:dyDescent="0.35">
      <c r="B3" s="203" t="s">
        <v>6</v>
      </c>
      <c r="C3" s="203">
        <v>18230626</v>
      </c>
      <c r="G3" s="205" t="s">
        <v>9</v>
      </c>
      <c r="H3" s="206" t="s">
        <v>10</v>
      </c>
      <c r="I3" s="206" t="s">
        <v>11</v>
      </c>
      <c r="J3" s="206" t="s">
        <v>12</v>
      </c>
      <c r="K3" s="206" t="s">
        <v>13</v>
      </c>
      <c r="L3" s="206" t="s">
        <v>14</v>
      </c>
      <c r="M3" s="206" t="s">
        <v>15</v>
      </c>
      <c r="N3" s="206" t="s">
        <v>16</v>
      </c>
      <c r="O3" s="206" t="s">
        <v>134</v>
      </c>
      <c r="P3" s="206" t="s">
        <v>135</v>
      </c>
      <c r="Q3" s="207" t="s">
        <v>18</v>
      </c>
      <c r="R3" s="207" t="s">
        <v>136</v>
      </c>
      <c r="S3" s="208" t="s">
        <v>137</v>
      </c>
      <c r="T3" s="208" t="s">
        <v>12</v>
      </c>
      <c r="U3" s="209" t="s">
        <v>138</v>
      </c>
      <c r="V3" s="4767"/>
    </row>
    <row r="4" spans="2:22" ht="16.2" thickBot="1" x14ac:dyDescent="0.35">
      <c r="B4" s="203" t="s">
        <v>139</v>
      </c>
      <c r="C4" s="203" t="s">
        <v>263</v>
      </c>
      <c r="F4" s="202">
        <v>2011</v>
      </c>
      <c r="G4" s="210">
        <f>B12</f>
        <v>25366</v>
      </c>
      <c r="H4" s="211">
        <f>B17</f>
        <v>4612</v>
      </c>
      <c r="I4" s="211">
        <f>B22</f>
        <v>18886</v>
      </c>
      <c r="J4" s="211">
        <f>B27</f>
        <v>31200</v>
      </c>
      <c r="K4" s="211">
        <f>B32</f>
        <v>1200</v>
      </c>
      <c r="L4" s="211">
        <f>B37</f>
        <v>18000</v>
      </c>
      <c r="M4" s="211">
        <f>B42</f>
        <v>2400</v>
      </c>
      <c r="N4" s="211">
        <f>B47</f>
        <v>2400</v>
      </c>
      <c r="O4" s="211">
        <f>B52</f>
        <v>146000</v>
      </c>
      <c r="P4" s="211">
        <f>B53</f>
        <v>0</v>
      </c>
      <c r="Q4" s="213">
        <f>B54</f>
        <v>250064</v>
      </c>
      <c r="R4" s="214">
        <f>T54</f>
        <v>929892</v>
      </c>
      <c r="S4" s="215">
        <f>O4/Q4</f>
        <v>0.58385053426322864</v>
      </c>
      <c r="T4" s="215">
        <f>(J4+(H4*1.63))/Q4</f>
        <v>0.15483060336553842</v>
      </c>
      <c r="U4" s="215">
        <f>L4/Q4</f>
        <v>7.1981572717384354E-2</v>
      </c>
      <c r="V4" s="216">
        <f>Q4/R4</f>
        <v>0.26891725060544663</v>
      </c>
    </row>
    <row r="5" spans="2:22" ht="16.2" thickBot="1" x14ac:dyDescent="0.35">
      <c r="B5" s="202" t="s">
        <v>34</v>
      </c>
      <c r="F5" s="202">
        <v>2012</v>
      </c>
      <c r="G5" s="217">
        <f>D12</f>
        <v>29876.400000000001</v>
      </c>
      <c r="H5" s="218">
        <f>D17</f>
        <v>9000</v>
      </c>
      <c r="I5" s="218">
        <f>D22</f>
        <v>24492.132000000001</v>
      </c>
      <c r="J5" s="218">
        <f>D27</f>
        <v>20000</v>
      </c>
      <c r="K5" s="218">
        <f>D32</f>
        <v>1200</v>
      </c>
      <c r="L5" s="218">
        <f>D37</f>
        <v>4000</v>
      </c>
      <c r="M5" s="218">
        <f>D42</f>
        <v>5000</v>
      </c>
      <c r="N5" s="218">
        <f>D47</f>
        <v>2400</v>
      </c>
      <c r="O5" s="218">
        <f>D52</f>
        <v>221150</v>
      </c>
      <c r="P5" s="218">
        <f>D53</f>
        <v>0</v>
      </c>
      <c r="Q5" s="219">
        <f>SUM(G5:P5)</f>
        <v>317118.53200000001</v>
      </c>
      <c r="R5" s="220">
        <f>P54</f>
        <v>849045</v>
      </c>
      <c r="S5" s="221">
        <f>O5/Q5</f>
        <v>0.6973733089808829</v>
      </c>
      <c r="T5" s="221">
        <f>(J5+(H5*1.63))/Q5</f>
        <v>0.10932820539166724</v>
      </c>
      <c r="U5" s="221">
        <f>L5/Q5</f>
        <v>1.2613580085568761E-2</v>
      </c>
      <c r="V5" s="222">
        <f>Q5/R5</f>
        <v>0.37350026441472478</v>
      </c>
    </row>
    <row r="6" spans="2:22" ht="16.2" thickBot="1" x14ac:dyDescent="0.35">
      <c r="C6" s="202" t="s">
        <v>264</v>
      </c>
      <c r="F6" s="202">
        <v>2013</v>
      </c>
      <c r="G6" s="223">
        <f>E12</f>
        <v>30772.68</v>
      </c>
      <c r="H6" s="224">
        <f>E17</f>
        <v>9225</v>
      </c>
      <c r="I6" s="224">
        <f>E22</f>
        <v>25198.538400000001</v>
      </c>
      <c r="J6" s="224">
        <f>E27</f>
        <v>20000</v>
      </c>
      <c r="K6" s="224">
        <f>E32</f>
        <v>1200</v>
      </c>
      <c r="L6" s="224">
        <f>E37</f>
        <v>4000</v>
      </c>
      <c r="M6" s="224">
        <f>E42</f>
        <v>5000</v>
      </c>
      <c r="N6" s="224">
        <f>E47</f>
        <v>2400</v>
      </c>
      <c r="O6" s="224">
        <f>E52</f>
        <v>223630</v>
      </c>
      <c r="P6" s="224">
        <f>E53</f>
        <v>0</v>
      </c>
      <c r="Q6" s="225">
        <f>SUM(G6:P6)</f>
        <v>321426.21840000001</v>
      </c>
      <c r="R6" s="226">
        <f>Q54</f>
        <v>860165</v>
      </c>
      <c r="S6" s="221">
        <f>O6/Q6</f>
        <v>0.69574287098665621</v>
      </c>
      <c r="T6" s="221">
        <f>(J6+(H6*1.63))/Q6</f>
        <v>0.10900402018978549</v>
      </c>
      <c r="U6" s="221">
        <f>L6/Q6</f>
        <v>1.2444535545081719E-2</v>
      </c>
      <c r="V6" s="222">
        <f>Q6/R6</f>
        <v>0.37367972237884595</v>
      </c>
    </row>
    <row r="7" spans="2:22" ht="16.2" thickBot="1" x14ac:dyDescent="0.35">
      <c r="C7" s="227" t="s">
        <v>255</v>
      </c>
      <c r="F7" s="228" t="s">
        <v>140</v>
      </c>
      <c r="G7" s="229">
        <f>SUM(G5:G6)</f>
        <v>60649.08</v>
      </c>
      <c r="H7" s="229">
        <f t="shared" ref="H7:P7" si="0">SUM(H5:H6)</f>
        <v>18225</v>
      </c>
      <c r="I7" s="229">
        <f t="shared" si="0"/>
        <v>49690.670400000003</v>
      </c>
      <c r="J7" s="229">
        <f t="shared" si="0"/>
        <v>40000</v>
      </c>
      <c r="K7" s="229">
        <f t="shared" si="0"/>
        <v>2400</v>
      </c>
      <c r="L7" s="229">
        <f t="shared" si="0"/>
        <v>8000</v>
      </c>
      <c r="M7" s="229">
        <f t="shared" si="0"/>
        <v>10000</v>
      </c>
      <c r="N7" s="229">
        <f t="shared" si="0"/>
        <v>4800</v>
      </c>
      <c r="O7" s="229">
        <f t="shared" si="0"/>
        <v>444780</v>
      </c>
      <c r="P7" s="229">
        <f t="shared" si="0"/>
        <v>0</v>
      </c>
      <c r="Q7" s="230">
        <f>SUM(G7:P7)</f>
        <v>638544.75040000002</v>
      </c>
      <c r="R7" s="231">
        <f>R54</f>
        <v>1709210</v>
      </c>
      <c r="S7" s="221">
        <f>O7/Q7</f>
        <v>0.69655259043532802</v>
      </c>
      <c r="T7" s="221">
        <f>(J7+(H7*1.63))/Q7</f>
        <v>0.10916501929791764</v>
      </c>
      <c r="U7" s="221">
        <f>L7/Q7</f>
        <v>1.2528487619683044E-2</v>
      </c>
      <c r="V7" s="222">
        <f>Q7/R7</f>
        <v>0.37359057716722932</v>
      </c>
    </row>
    <row r="9" spans="2:22" ht="20.25" customHeight="1" thickBot="1" x14ac:dyDescent="0.35">
      <c r="C9" s="232" t="s">
        <v>141</v>
      </c>
      <c r="D9" s="4768" t="s">
        <v>142</v>
      </c>
      <c r="E9" s="4768"/>
      <c r="I9" s="4769" t="s">
        <v>143</v>
      </c>
      <c r="J9" s="4769"/>
      <c r="K9" s="4769"/>
      <c r="L9" s="4769"/>
      <c r="M9" s="4761" t="s">
        <v>142</v>
      </c>
      <c r="N9" s="4761"/>
    </row>
    <row r="10" spans="2:22" ht="16.2" thickBot="1" x14ac:dyDescent="0.35">
      <c r="B10" s="233" t="s">
        <v>144</v>
      </c>
      <c r="C10" s="4770" t="s">
        <v>145</v>
      </c>
      <c r="D10" s="4770"/>
      <c r="E10" s="4770"/>
      <c r="F10" s="4771"/>
      <c r="I10" s="4762" t="s">
        <v>146</v>
      </c>
      <c r="J10" s="4763"/>
      <c r="K10" s="4763"/>
      <c r="L10" s="4764"/>
      <c r="M10" s="4762" t="s">
        <v>147</v>
      </c>
      <c r="N10" s="4763"/>
      <c r="O10" s="4764"/>
      <c r="P10" s="4762" t="s">
        <v>148</v>
      </c>
      <c r="Q10" s="4763"/>
      <c r="R10" s="4764"/>
      <c r="T10" s="234" t="s">
        <v>149</v>
      </c>
    </row>
    <row r="11" spans="2:22" ht="16.2" thickBot="1" x14ac:dyDescent="0.35">
      <c r="B11" s="235">
        <v>2011</v>
      </c>
      <c r="C11" s="236" t="s">
        <v>150</v>
      </c>
      <c r="D11" s="237">
        <v>2012</v>
      </c>
      <c r="E11" s="237">
        <v>2013</v>
      </c>
      <c r="F11" s="237" t="s">
        <v>151</v>
      </c>
      <c r="H11" s="238"/>
      <c r="I11" s="4757" t="s">
        <v>152</v>
      </c>
      <c r="J11" s="4758"/>
      <c r="K11" s="4759"/>
      <c r="L11" s="239" t="s">
        <v>153</v>
      </c>
      <c r="M11" s="240" t="s">
        <v>154</v>
      </c>
      <c r="N11" s="241" t="s">
        <v>155</v>
      </c>
      <c r="O11" s="242" t="s">
        <v>156</v>
      </c>
      <c r="P11" s="240" t="s">
        <v>157</v>
      </c>
      <c r="Q11" s="240" t="s">
        <v>158</v>
      </c>
      <c r="R11" s="242" t="s">
        <v>159</v>
      </c>
      <c r="T11" s="233" t="s">
        <v>160</v>
      </c>
    </row>
    <row r="12" spans="2:22" ht="14.4" thickBot="1" x14ac:dyDescent="0.35">
      <c r="B12" s="272">
        <v>25366</v>
      </c>
      <c r="C12" s="244" t="s">
        <v>161</v>
      </c>
      <c r="D12" s="245">
        <f>SUM(D13:D16)</f>
        <v>29876.400000000001</v>
      </c>
      <c r="E12" s="245">
        <f>SUM(E13:E16)</f>
        <v>30772.68</v>
      </c>
      <c r="F12" s="246">
        <f>D12+E12</f>
        <v>60649.08</v>
      </c>
      <c r="H12" s="135"/>
      <c r="I12" s="247" t="str">
        <f t="shared" ref="I12:I53" si="1">C62</f>
        <v>Energy Star Heat Pump Water Heater (=&gt; 2.0 EF)</v>
      </c>
      <c r="J12" s="248"/>
      <c r="K12" s="249"/>
      <c r="L12" s="250">
        <f t="shared" ref="L12:L53" si="2">D62</f>
        <v>2001</v>
      </c>
      <c r="M12" s="267">
        <v>370</v>
      </c>
      <c r="N12" s="267">
        <v>370</v>
      </c>
      <c r="O12" s="252">
        <f>M12+N12</f>
        <v>740</v>
      </c>
      <c r="P12" s="253">
        <f t="shared" ref="P12:R27" si="3">M12*$D62</f>
        <v>740370</v>
      </c>
      <c r="Q12" s="253">
        <f t="shared" si="3"/>
        <v>740370</v>
      </c>
      <c r="R12" s="254">
        <f t="shared" si="3"/>
        <v>1480740</v>
      </c>
      <c r="T12" s="309">
        <v>850425</v>
      </c>
    </row>
    <row r="13" spans="2:22" ht="13.8" x14ac:dyDescent="0.3">
      <c r="B13" s="256"/>
      <c r="C13" s="257" t="s">
        <v>162</v>
      </c>
      <c r="D13" s="258">
        <v>29876.400000000001</v>
      </c>
      <c r="E13" s="258">
        <v>30772.68</v>
      </c>
      <c r="F13" s="258">
        <f>SUM(D13:E13)</f>
        <v>60649.08</v>
      </c>
      <c r="H13" s="135"/>
      <c r="I13" s="259" t="str">
        <f t="shared" si="1"/>
        <v>High Efficiency Electric Water Heater (=&gt; .94 EF)</v>
      </c>
      <c r="J13" s="260"/>
      <c r="K13" s="261"/>
      <c r="L13" s="250">
        <f t="shared" si="2"/>
        <v>125</v>
      </c>
      <c r="M13" s="267">
        <v>350</v>
      </c>
      <c r="N13" s="267">
        <v>350</v>
      </c>
      <c r="O13" s="252">
        <f t="shared" ref="O13:O53" si="4">M13+N13</f>
        <v>700</v>
      </c>
      <c r="P13" s="253">
        <f t="shared" si="3"/>
        <v>43750</v>
      </c>
      <c r="Q13" s="253">
        <f t="shared" si="3"/>
        <v>43750</v>
      </c>
      <c r="R13" s="254">
        <f t="shared" si="3"/>
        <v>87500</v>
      </c>
      <c r="T13" s="263">
        <v>50000</v>
      </c>
    </row>
    <row r="14" spans="2:22" ht="13.8" x14ac:dyDescent="0.3">
      <c r="B14" s="264"/>
      <c r="C14" s="265" t="s">
        <v>163</v>
      </c>
      <c r="D14" s="266">
        <v>0</v>
      </c>
      <c r="E14" s="266"/>
      <c r="F14" s="258">
        <f t="shared" ref="F14:F24" si="5">SUM(D14:E14)</f>
        <v>0</v>
      </c>
      <c r="H14" s="135"/>
      <c r="I14" s="259" t="str">
        <f t="shared" si="1"/>
        <v>Waste Water Heat Recovery (models with an efficiency of 42% or greater)</v>
      </c>
      <c r="J14" s="260"/>
      <c r="K14" s="261"/>
      <c r="L14" s="250">
        <f t="shared" si="2"/>
        <v>373</v>
      </c>
      <c r="M14" s="267">
        <v>25</v>
      </c>
      <c r="N14" s="267">
        <v>25</v>
      </c>
      <c r="O14" s="252">
        <f t="shared" si="4"/>
        <v>50</v>
      </c>
      <c r="P14" s="253">
        <f t="shared" si="3"/>
        <v>9325</v>
      </c>
      <c r="Q14" s="253">
        <f t="shared" si="3"/>
        <v>9325</v>
      </c>
      <c r="R14" s="254">
        <f t="shared" si="3"/>
        <v>18650</v>
      </c>
      <c r="T14" s="263">
        <v>29467</v>
      </c>
    </row>
    <row r="15" spans="2:22" ht="13.8" x14ac:dyDescent="0.3">
      <c r="B15" s="264"/>
      <c r="C15" s="265" t="s">
        <v>164</v>
      </c>
      <c r="D15" s="268">
        <v>0</v>
      </c>
      <c r="E15" s="268"/>
      <c r="F15" s="258">
        <f t="shared" si="5"/>
        <v>0</v>
      </c>
      <c r="H15" s="135"/>
      <c r="I15" s="259" t="str">
        <f t="shared" si="1"/>
        <v>New: Direct Install Showerhead</v>
      </c>
      <c r="J15" s="260"/>
      <c r="K15" s="261"/>
      <c r="L15" s="250">
        <f t="shared" si="2"/>
        <v>139</v>
      </c>
      <c r="M15" s="267">
        <v>400</v>
      </c>
      <c r="N15" s="267">
        <v>480</v>
      </c>
      <c r="O15" s="252">
        <f t="shared" si="4"/>
        <v>880</v>
      </c>
      <c r="P15" s="253">
        <f t="shared" si="3"/>
        <v>55600</v>
      </c>
      <c r="Q15" s="253">
        <f t="shared" si="3"/>
        <v>66720</v>
      </c>
      <c r="R15" s="254">
        <f t="shared" si="3"/>
        <v>122320</v>
      </c>
      <c r="T15" s="263">
        <v>0</v>
      </c>
    </row>
    <row r="16" spans="2:22" ht="14.4" thickBot="1" x14ac:dyDescent="0.35">
      <c r="B16" s="264"/>
      <c r="C16" s="265" t="s">
        <v>165</v>
      </c>
      <c r="D16" s="268">
        <v>0</v>
      </c>
      <c r="E16" s="268"/>
      <c r="F16" s="258">
        <f t="shared" si="5"/>
        <v>0</v>
      </c>
      <c r="H16" s="135"/>
      <c r="I16" s="259" t="str">
        <f t="shared" si="1"/>
        <v>Measure 5</v>
      </c>
      <c r="J16" s="260"/>
      <c r="K16" s="261"/>
      <c r="L16" s="250">
        <f t="shared" si="2"/>
        <v>0</v>
      </c>
      <c r="M16" s="267">
        <v>0</v>
      </c>
      <c r="N16" s="267">
        <v>0</v>
      </c>
      <c r="O16" s="252">
        <f t="shared" si="4"/>
        <v>0</v>
      </c>
      <c r="P16" s="253">
        <f t="shared" si="3"/>
        <v>0</v>
      </c>
      <c r="Q16" s="253">
        <f t="shared" si="3"/>
        <v>0</v>
      </c>
      <c r="R16" s="254">
        <f t="shared" si="3"/>
        <v>0</v>
      </c>
      <c r="T16" s="263">
        <v>0</v>
      </c>
    </row>
    <row r="17" spans="2:20" ht="14.4" thickBot="1" x14ac:dyDescent="0.35">
      <c r="B17" s="272">
        <v>4612</v>
      </c>
      <c r="C17" s="244" t="s">
        <v>166</v>
      </c>
      <c r="D17" s="245">
        <f>SUM(D18:D21)</f>
        <v>9000</v>
      </c>
      <c r="E17" s="245">
        <f>SUM(E18:E21)</f>
        <v>9225</v>
      </c>
      <c r="F17" s="246">
        <f>D17+E17</f>
        <v>18225</v>
      </c>
      <c r="H17" s="135"/>
      <c r="I17" s="259" t="str">
        <f t="shared" si="1"/>
        <v>Measure 6</v>
      </c>
      <c r="J17" s="260"/>
      <c r="K17" s="261"/>
      <c r="L17" s="250">
        <f t="shared" si="2"/>
        <v>0</v>
      </c>
      <c r="M17" s="267">
        <v>0</v>
      </c>
      <c r="N17" s="267">
        <v>0</v>
      </c>
      <c r="O17" s="252">
        <f t="shared" si="4"/>
        <v>0</v>
      </c>
      <c r="P17" s="253">
        <f t="shared" si="3"/>
        <v>0</v>
      </c>
      <c r="Q17" s="253">
        <f t="shared" si="3"/>
        <v>0</v>
      </c>
      <c r="R17" s="254">
        <f t="shared" si="3"/>
        <v>0</v>
      </c>
      <c r="T17" s="263">
        <v>0</v>
      </c>
    </row>
    <row r="18" spans="2:20" ht="13.8" x14ac:dyDescent="0.3">
      <c r="B18" s="256"/>
      <c r="C18" s="257" t="s">
        <v>162</v>
      </c>
      <c r="D18" s="258">
        <v>9000</v>
      </c>
      <c r="E18" s="258">
        <v>9225</v>
      </c>
      <c r="F18" s="258">
        <f t="shared" si="5"/>
        <v>18225</v>
      </c>
      <c r="H18" s="135"/>
      <c r="I18" s="259" t="str">
        <f t="shared" si="1"/>
        <v>Measure 7</v>
      </c>
      <c r="J18" s="260"/>
      <c r="K18" s="261"/>
      <c r="L18" s="250">
        <f t="shared" si="2"/>
        <v>0</v>
      </c>
      <c r="M18" s="267">
        <v>0</v>
      </c>
      <c r="N18" s="267">
        <v>0</v>
      </c>
      <c r="O18" s="252">
        <f t="shared" si="4"/>
        <v>0</v>
      </c>
      <c r="P18" s="253">
        <f t="shared" si="3"/>
        <v>0</v>
      </c>
      <c r="Q18" s="253">
        <f t="shared" si="3"/>
        <v>0</v>
      </c>
      <c r="R18" s="254">
        <f t="shared" si="3"/>
        <v>0</v>
      </c>
      <c r="T18" s="263">
        <v>0</v>
      </c>
    </row>
    <row r="19" spans="2:20" ht="13.8" x14ac:dyDescent="0.3">
      <c r="B19" s="264"/>
      <c r="C19" s="265" t="s">
        <v>163</v>
      </c>
      <c r="D19" s="266">
        <v>0</v>
      </c>
      <c r="E19" s="266"/>
      <c r="F19" s="258">
        <f t="shared" si="5"/>
        <v>0</v>
      </c>
      <c r="H19" s="135"/>
      <c r="I19" s="259" t="str">
        <f t="shared" si="1"/>
        <v>Measure 8</v>
      </c>
      <c r="J19" s="260"/>
      <c r="K19" s="261"/>
      <c r="L19" s="250">
        <f t="shared" si="2"/>
        <v>0</v>
      </c>
      <c r="M19" s="267">
        <v>0</v>
      </c>
      <c r="N19" s="267">
        <v>0</v>
      </c>
      <c r="O19" s="252">
        <f t="shared" si="4"/>
        <v>0</v>
      </c>
      <c r="P19" s="253">
        <f t="shared" si="3"/>
        <v>0</v>
      </c>
      <c r="Q19" s="253">
        <f t="shared" si="3"/>
        <v>0</v>
      </c>
      <c r="R19" s="254">
        <f t="shared" si="3"/>
        <v>0</v>
      </c>
      <c r="T19" s="263">
        <v>0</v>
      </c>
    </row>
    <row r="20" spans="2:20" ht="13.8" x14ac:dyDescent="0.3">
      <c r="B20" s="264"/>
      <c r="C20" s="265" t="s">
        <v>164</v>
      </c>
      <c r="D20" s="268">
        <v>0</v>
      </c>
      <c r="E20" s="268"/>
      <c r="F20" s="258">
        <f t="shared" si="5"/>
        <v>0</v>
      </c>
      <c r="H20" s="135"/>
      <c r="I20" s="259" t="str">
        <f t="shared" si="1"/>
        <v>Measure 9</v>
      </c>
      <c r="J20" s="260"/>
      <c r="K20" s="261"/>
      <c r="L20" s="250">
        <f t="shared" si="2"/>
        <v>0</v>
      </c>
      <c r="M20" s="267">
        <v>0</v>
      </c>
      <c r="N20" s="267">
        <v>0</v>
      </c>
      <c r="O20" s="252">
        <f t="shared" si="4"/>
        <v>0</v>
      </c>
      <c r="P20" s="253">
        <f t="shared" si="3"/>
        <v>0</v>
      </c>
      <c r="Q20" s="253">
        <f t="shared" si="3"/>
        <v>0</v>
      </c>
      <c r="R20" s="254">
        <f t="shared" si="3"/>
        <v>0</v>
      </c>
      <c r="T20" s="263">
        <v>0</v>
      </c>
    </row>
    <row r="21" spans="2:20" ht="14.4" thickBot="1" x14ac:dyDescent="0.35">
      <c r="B21" s="264"/>
      <c r="C21" s="265" t="s">
        <v>165</v>
      </c>
      <c r="D21" s="268">
        <v>0</v>
      </c>
      <c r="E21" s="268"/>
      <c r="F21" s="258">
        <f t="shared" si="5"/>
        <v>0</v>
      </c>
      <c r="H21" s="135"/>
      <c r="I21" s="259" t="str">
        <f t="shared" si="1"/>
        <v>Measure 10</v>
      </c>
      <c r="J21" s="260"/>
      <c r="K21" s="261"/>
      <c r="L21" s="250">
        <f t="shared" si="2"/>
        <v>0</v>
      </c>
      <c r="M21" s="267">
        <v>0</v>
      </c>
      <c r="N21" s="267">
        <v>0</v>
      </c>
      <c r="O21" s="252">
        <f t="shared" si="4"/>
        <v>0</v>
      </c>
      <c r="P21" s="253">
        <f t="shared" si="3"/>
        <v>0</v>
      </c>
      <c r="Q21" s="253">
        <f t="shared" si="3"/>
        <v>0</v>
      </c>
      <c r="R21" s="254">
        <f t="shared" si="3"/>
        <v>0</v>
      </c>
      <c r="T21" s="263">
        <v>0</v>
      </c>
    </row>
    <row r="22" spans="2:20" ht="14.4" thickBot="1" x14ac:dyDescent="0.35">
      <c r="B22" s="272">
        <v>18886</v>
      </c>
      <c r="C22" s="244" t="s">
        <v>167</v>
      </c>
      <c r="D22" s="245">
        <f>SUM(D23:D26)</f>
        <v>24492.132000000001</v>
      </c>
      <c r="E22" s="245">
        <f>SUM(E23:E26)</f>
        <v>25198.538400000001</v>
      </c>
      <c r="F22" s="246">
        <f>D22+E22</f>
        <v>49690.670400000003</v>
      </c>
      <c r="G22" s="55"/>
      <c r="H22" s="135"/>
      <c r="I22" s="259" t="str">
        <f t="shared" si="1"/>
        <v>Measure 11</v>
      </c>
      <c r="J22" s="260"/>
      <c r="K22" s="261"/>
      <c r="L22" s="250">
        <f t="shared" si="2"/>
        <v>0</v>
      </c>
      <c r="M22" s="267">
        <v>0</v>
      </c>
      <c r="N22" s="267">
        <v>0</v>
      </c>
      <c r="O22" s="252">
        <f t="shared" si="4"/>
        <v>0</v>
      </c>
      <c r="P22" s="253">
        <f t="shared" si="3"/>
        <v>0</v>
      </c>
      <c r="Q22" s="253">
        <f t="shared" si="3"/>
        <v>0</v>
      </c>
      <c r="R22" s="254">
        <f t="shared" si="3"/>
        <v>0</v>
      </c>
      <c r="T22" s="263">
        <v>0</v>
      </c>
    </row>
    <row r="23" spans="2:20" ht="13.8" x14ac:dyDescent="0.3">
      <c r="B23" s="256"/>
      <c r="C23" s="257" t="s">
        <v>168</v>
      </c>
      <c r="D23" s="258">
        <f>0.63*D12</f>
        <v>18822.132000000001</v>
      </c>
      <c r="E23" s="258">
        <f>0.63*E12</f>
        <v>19386.788400000001</v>
      </c>
      <c r="F23" s="258">
        <f t="shared" si="5"/>
        <v>38208.920400000003</v>
      </c>
      <c r="H23" s="135"/>
      <c r="I23" s="259" t="str">
        <f t="shared" si="1"/>
        <v>Measure 12</v>
      </c>
      <c r="J23" s="260"/>
      <c r="K23" s="261"/>
      <c r="L23" s="250">
        <f t="shared" si="2"/>
        <v>0</v>
      </c>
      <c r="M23" s="267">
        <v>0</v>
      </c>
      <c r="N23" s="267">
        <v>0</v>
      </c>
      <c r="O23" s="252">
        <f t="shared" si="4"/>
        <v>0</v>
      </c>
      <c r="P23" s="253">
        <f t="shared" si="3"/>
        <v>0</v>
      </c>
      <c r="Q23" s="253">
        <f t="shared" si="3"/>
        <v>0</v>
      </c>
      <c r="R23" s="254">
        <f t="shared" si="3"/>
        <v>0</v>
      </c>
      <c r="T23" s="263">
        <v>0</v>
      </c>
    </row>
    <row r="24" spans="2:20" ht="13.8" x14ac:dyDescent="0.3">
      <c r="B24" s="256"/>
      <c r="C24" s="257" t="s">
        <v>169</v>
      </c>
      <c r="D24" s="266">
        <f>0.63*D17</f>
        <v>5670</v>
      </c>
      <c r="E24" s="266">
        <f>0.63*E17</f>
        <v>5811.75</v>
      </c>
      <c r="F24" s="258">
        <f t="shared" si="5"/>
        <v>11481.75</v>
      </c>
      <c r="H24" s="135"/>
      <c r="I24" s="259" t="str">
        <f t="shared" si="1"/>
        <v>Measure 13</v>
      </c>
      <c r="J24" s="260"/>
      <c r="K24" s="261"/>
      <c r="L24" s="250">
        <f t="shared" si="2"/>
        <v>0</v>
      </c>
      <c r="M24" s="267">
        <v>0</v>
      </c>
      <c r="N24" s="267">
        <v>0</v>
      </c>
      <c r="O24" s="252">
        <f t="shared" si="4"/>
        <v>0</v>
      </c>
      <c r="P24" s="253">
        <f t="shared" si="3"/>
        <v>0</v>
      </c>
      <c r="Q24" s="253">
        <f t="shared" si="3"/>
        <v>0</v>
      </c>
      <c r="R24" s="254">
        <f t="shared" si="3"/>
        <v>0</v>
      </c>
      <c r="T24" s="263">
        <v>0</v>
      </c>
    </row>
    <row r="25" spans="2:20" ht="13.8" x14ac:dyDescent="0.3">
      <c r="B25" s="264"/>
      <c r="C25" s="265"/>
      <c r="D25" s="268"/>
      <c r="E25" s="268"/>
      <c r="F25" s="268"/>
      <c r="H25" s="135"/>
      <c r="I25" s="259" t="str">
        <f t="shared" si="1"/>
        <v>Measure 14</v>
      </c>
      <c r="J25" s="260"/>
      <c r="K25" s="261"/>
      <c r="L25" s="250">
        <f t="shared" si="2"/>
        <v>0</v>
      </c>
      <c r="M25" s="267">
        <v>0</v>
      </c>
      <c r="N25" s="267">
        <v>0</v>
      </c>
      <c r="O25" s="252">
        <f t="shared" si="4"/>
        <v>0</v>
      </c>
      <c r="P25" s="253">
        <f t="shared" si="3"/>
        <v>0</v>
      </c>
      <c r="Q25" s="253">
        <f t="shared" si="3"/>
        <v>0</v>
      </c>
      <c r="R25" s="254">
        <f t="shared" si="3"/>
        <v>0</v>
      </c>
      <c r="T25" s="263">
        <v>0</v>
      </c>
    </row>
    <row r="26" spans="2:20" ht="14.4" thickBot="1" x14ac:dyDescent="0.35">
      <c r="B26" s="264"/>
      <c r="C26" s="265"/>
      <c r="D26" s="268"/>
      <c r="E26" s="268"/>
      <c r="F26" s="268"/>
      <c r="H26" s="135"/>
      <c r="I26" s="259" t="str">
        <f t="shared" si="1"/>
        <v>Measure 15</v>
      </c>
      <c r="J26" s="260"/>
      <c r="K26" s="261"/>
      <c r="L26" s="250">
        <f t="shared" si="2"/>
        <v>0</v>
      </c>
      <c r="M26" s="267">
        <v>0</v>
      </c>
      <c r="N26" s="267">
        <v>0</v>
      </c>
      <c r="O26" s="252">
        <f t="shared" si="4"/>
        <v>0</v>
      </c>
      <c r="P26" s="253">
        <f t="shared" si="3"/>
        <v>0</v>
      </c>
      <c r="Q26" s="253">
        <f t="shared" si="3"/>
        <v>0</v>
      </c>
      <c r="R26" s="254">
        <f t="shared" si="3"/>
        <v>0</v>
      </c>
      <c r="T26" s="263">
        <v>0</v>
      </c>
    </row>
    <row r="27" spans="2:20" ht="14.4" thickBot="1" x14ac:dyDescent="0.35">
      <c r="B27" s="272">
        <v>31200</v>
      </c>
      <c r="C27" s="244" t="s">
        <v>170</v>
      </c>
      <c r="D27" s="245">
        <f>SUM(D28:D31)</f>
        <v>20000</v>
      </c>
      <c r="E27" s="245">
        <f>SUM(E28:E31)</f>
        <v>20000</v>
      </c>
      <c r="F27" s="246">
        <f>D27+E27</f>
        <v>40000</v>
      </c>
      <c r="H27" s="135"/>
      <c r="I27" s="259" t="str">
        <f t="shared" si="1"/>
        <v>Measure 16</v>
      </c>
      <c r="J27" s="260"/>
      <c r="K27" s="261"/>
      <c r="L27" s="250">
        <f t="shared" si="2"/>
        <v>0</v>
      </c>
      <c r="M27" s="267">
        <v>0</v>
      </c>
      <c r="N27" s="267">
        <v>0</v>
      </c>
      <c r="O27" s="252">
        <f t="shared" si="4"/>
        <v>0</v>
      </c>
      <c r="P27" s="253">
        <f t="shared" si="3"/>
        <v>0</v>
      </c>
      <c r="Q27" s="253">
        <f t="shared" si="3"/>
        <v>0</v>
      </c>
      <c r="R27" s="254">
        <f t="shared" si="3"/>
        <v>0</v>
      </c>
      <c r="T27" s="263">
        <v>0</v>
      </c>
    </row>
    <row r="28" spans="2:20" ht="13.8" x14ac:dyDescent="0.3">
      <c r="B28" s="256"/>
      <c r="C28" s="257" t="s">
        <v>162</v>
      </c>
      <c r="D28" s="258">
        <v>20000</v>
      </c>
      <c r="E28" s="258">
        <v>20000</v>
      </c>
      <c r="F28" s="258">
        <f t="shared" ref="F28:F36" si="6">SUM(D28:E28)</f>
        <v>40000</v>
      </c>
      <c r="H28" s="135"/>
      <c r="I28" s="259" t="str">
        <f t="shared" si="1"/>
        <v>Measure 17</v>
      </c>
      <c r="J28" s="260"/>
      <c r="K28" s="261"/>
      <c r="L28" s="250">
        <f t="shared" si="2"/>
        <v>0</v>
      </c>
      <c r="M28" s="267">
        <v>0</v>
      </c>
      <c r="N28" s="267">
        <v>0</v>
      </c>
      <c r="O28" s="252">
        <f t="shared" si="4"/>
        <v>0</v>
      </c>
      <c r="P28" s="253">
        <f t="shared" ref="P28:R43" si="7">M28*$D78</f>
        <v>0</v>
      </c>
      <c r="Q28" s="253">
        <f t="shared" si="7"/>
        <v>0</v>
      </c>
      <c r="R28" s="254">
        <f t="shared" si="7"/>
        <v>0</v>
      </c>
      <c r="T28" s="263">
        <v>0</v>
      </c>
    </row>
    <row r="29" spans="2:20" ht="13.8" x14ac:dyDescent="0.3">
      <c r="B29" s="264"/>
      <c r="C29" s="265" t="s">
        <v>163</v>
      </c>
      <c r="D29" s="266">
        <v>0</v>
      </c>
      <c r="E29" s="266"/>
      <c r="F29" s="258">
        <f t="shared" si="6"/>
        <v>0</v>
      </c>
      <c r="H29" s="135"/>
      <c r="I29" s="259" t="str">
        <f t="shared" si="1"/>
        <v>Measure 18</v>
      </c>
      <c r="J29" s="260"/>
      <c r="K29" s="261"/>
      <c r="L29" s="250">
        <f t="shared" si="2"/>
        <v>0</v>
      </c>
      <c r="M29" s="267">
        <v>0</v>
      </c>
      <c r="N29" s="267">
        <v>0</v>
      </c>
      <c r="O29" s="252">
        <f t="shared" si="4"/>
        <v>0</v>
      </c>
      <c r="P29" s="253">
        <f t="shared" si="7"/>
        <v>0</v>
      </c>
      <c r="Q29" s="253">
        <f t="shared" si="7"/>
        <v>0</v>
      </c>
      <c r="R29" s="254">
        <f t="shared" si="7"/>
        <v>0</v>
      </c>
      <c r="T29" s="263">
        <v>0</v>
      </c>
    </row>
    <row r="30" spans="2:20" ht="13.8" x14ac:dyDescent="0.3">
      <c r="B30" s="264"/>
      <c r="C30" s="265" t="s">
        <v>164</v>
      </c>
      <c r="D30" s="266">
        <v>0</v>
      </c>
      <c r="E30" s="266"/>
      <c r="F30" s="258">
        <f t="shared" si="6"/>
        <v>0</v>
      </c>
      <c r="H30" s="135"/>
      <c r="I30" s="259" t="str">
        <f t="shared" si="1"/>
        <v>Measure 19</v>
      </c>
      <c r="J30" s="260"/>
      <c r="K30" s="261"/>
      <c r="L30" s="250">
        <f t="shared" si="2"/>
        <v>0</v>
      </c>
      <c r="M30" s="267">
        <v>0</v>
      </c>
      <c r="N30" s="267">
        <v>0</v>
      </c>
      <c r="O30" s="252">
        <f t="shared" si="4"/>
        <v>0</v>
      </c>
      <c r="P30" s="253">
        <f t="shared" si="7"/>
        <v>0</v>
      </c>
      <c r="Q30" s="253">
        <f t="shared" si="7"/>
        <v>0</v>
      </c>
      <c r="R30" s="254">
        <f t="shared" si="7"/>
        <v>0</v>
      </c>
      <c r="T30" s="263">
        <v>0</v>
      </c>
    </row>
    <row r="31" spans="2:20" ht="14.4" thickBot="1" x14ac:dyDescent="0.35">
      <c r="B31" s="264"/>
      <c r="C31" s="265" t="s">
        <v>165</v>
      </c>
      <c r="D31" s="266">
        <v>0</v>
      </c>
      <c r="E31" s="266"/>
      <c r="F31" s="258">
        <f t="shared" si="6"/>
        <v>0</v>
      </c>
      <c r="H31" s="135"/>
      <c r="I31" s="259" t="str">
        <f t="shared" si="1"/>
        <v>Measure 20</v>
      </c>
      <c r="J31" s="260"/>
      <c r="K31" s="261"/>
      <c r="L31" s="250">
        <f t="shared" si="2"/>
        <v>0</v>
      </c>
      <c r="M31" s="267">
        <v>0</v>
      </c>
      <c r="N31" s="267">
        <v>0</v>
      </c>
      <c r="O31" s="252">
        <f t="shared" si="4"/>
        <v>0</v>
      </c>
      <c r="P31" s="253">
        <f t="shared" si="7"/>
        <v>0</v>
      </c>
      <c r="Q31" s="253">
        <f t="shared" si="7"/>
        <v>0</v>
      </c>
      <c r="R31" s="254">
        <f t="shared" si="7"/>
        <v>0</v>
      </c>
      <c r="T31" s="263">
        <v>0</v>
      </c>
    </row>
    <row r="32" spans="2:20" ht="14.4" thickBot="1" x14ac:dyDescent="0.35">
      <c r="B32" s="272">
        <v>1200</v>
      </c>
      <c r="C32" s="244" t="s">
        <v>171</v>
      </c>
      <c r="D32" s="245">
        <f>SUM(D33:D36)</f>
        <v>1200</v>
      </c>
      <c r="E32" s="245">
        <f>SUM(E33:E36)</f>
        <v>1200</v>
      </c>
      <c r="F32" s="246">
        <f>D32+E32</f>
        <v>2400</v>
      </c>
      <c r="H32" s="135"/>
      <c r="I32" s="259" t="str">
        <f t="shared" si="1"/>
        <v>Measure 21</v>
      </c>
      <c r="J32" s="260"/>
      <c r="K32" s="261"/>
      <c r="L32" s="250">
        <f t="shared" si="2"/>
        <v>0</v>
      </c>
      <c r="M32" s="267">
        <v>0</v>
      </c>
      <c r="N32" s="267">
        <v>0</v>
      </c>
      <c r="O32" s="252">
        <f t="shared" si="4"/>
        <v>0</v>
      </c>
      <c r="P32" s="253">
        <f t="shared" si="7"/>
        <v>0</v>
      </c>
      <c r="Q32" s="253">
        <f t="shared" si="7"/>
        <v>0</v>
      </c>
      <c r="R32" s="254">
        <f t="shared" si="7"/>
        <v>0</v>
      </c>
      <c r="T32" s="263">
        <v>0</v>
      </c>
    </row>
    <row r="33" spans="2:20" ht="13.8" x14ac:dyDescent="0.3">
      <c r="B33" s="264"/>
      <c r="C33" s="265" t="s">
        <v>162</v>
      </c>
      <c r="D33" s="266">
        <v>1200</v>
      </c>
      <c r="E33" s="266">
        <v>1200</v>
      </c>
      <c r="F33" s="258">
        <f t="shared" si="6"/>
        <v>2400</v>
      </c>
      <c r="H33" s="135"/>
      <c r="I33" s="259" t="str">
        <f t="shared" si="1"/>
        <v>Measure 22</v>
      </c>
      <c r="J33" s="260"/>
      <c r="K33" s="261"/>
      <c r="L33" s="250">
        <f t="shared" si="2"/>
        <v>0</v>
      </c>
      <c r="M33" s="267">
        <v>0</v>
      </c>
      <c r="N33" s="267">
        <v>0</v>
      </c>
      <c r="O33" s="252">
        <f t="shared" si="4"/>
        <v>0</v>
      </c>
      <c r="P33" s="253">
        <f t="shared" si="7"/>
        <v>0</v>
      </c>
      <c r="Q33" s="253">
        <f t="shared" si="7"/>
        <v>0</v>
      </c>
      <c r="R33" s="254">
        <f t="shared" si="7"/>
        <v>0</v>
      </c>
      <c r="T33" s="263">
        <v>0</v>
      </c>
    </row>
    <row r="34" spans="2:20" ht="13.8" x14ac:dyDescent="0.3">
      <c r="B34" s="264"/>
      <c r="C34" s="265" t="s">
        <v>163</v>
      </c>
      <c r="D34" s="266">
        <v>0</v>
      </c>
      <c r="E34" s="266"/>
      <c r="F34" s="258">
        <f t="shared" si="6"/>
        <v>0</v>
      </c>
      <c r="H34" s="135"/>
      <c r="I34" s="259" t="str">
        <f t="shared" si="1"/>
        <v>Measure 23</v>
      </c>
      <c r="J34" s="260"/>
      <c r="K34" s="261"/>
      <c r="L34" s="250">
        <f t="shared" si="2"/>
        <v>0</v>
      </c>
      <c r="M34" s="267">
        <v>0</v>
      </c>
      <c r="N34" s="267">
        <v>0</v>
      </c>
      <c r="O34" s="252">
        <f t="shared" si="4"/>
        <v>0</v>
      </c>
      <c r="P34" s="253">
        <f t="shared" si="7"/>
        <v>0</v>
      </c>
      <c r="Q34" s="253">
        <f t="shared" si="7"/>
        <v>0</v>
      </c>
      <c r="R34" s="254">
        <f t="shared" si="7"/>
        <v>0</v>
      </c>
      <c r="T34" s="263">
        <v>0</v>
      </c>
    </row>
    <row r="35" spans="2:20" ht="13.8" x14ac:dyDescent="0.3">
      <c r="B35" s="264"/>
      <c r="C35" s="265" t="s">
        <v>164</v>
      </c>
      <c r="D35" s="266">
        <v>0</v>
      </c>
      <c r="E35" s="266"/>
      <c r="F35" s="258">
        <f t="shared" si="6"/>
        <v>0</v>
      </c>
      <c r="H35" s="135"/>
      <c r="I35" s="259" t="str">
        <f t="shared" si="1"/>
        <v>Measure 24</v>
      </c>
      <c r="J35" s="260"/>
      <c r="K35" s="261"/>
      <c r="L35" s="250">
        <f t="shared" si="2"/>
        <v>0</v>
      </c>
      <c r="M35" s="267">
        <v>0</v>
      </c>
      <c r="N35" s="267">
        <v>0</v>
      </c>
      <c r="O35" s="252">
        <f t="shared" si="4"/>
        <v>0</v>
      </c>
      <c r="P35" s="253">
        <f t="shared" si="7"/>
        <v>0</v>
      </c>
      <c r="Q35" s="253">
        <f t="shared" si="7"/>
        <v>0</v>
      </c>
      <c r="R35" s="254">
        <f t="shared" si="7"/>
        <v>0</v>
      </c>
      <c r="T35" s="263">
        <v>0</v>
      </c>
    </row>
    <row r="36" spans="2:20" ht="14.4" thickBot="1" x14ac:dyDescent="0.35">
      <c r="B36" s="264"/>
      <c r="C36" s="265" t="s">
        <v>165</v>
      </c>
      <c r="D36" s="266">
        <v>0</v>
      </c>
      <c r="E36" s="266"/>
      <c r="F36" s="258">
        <f t="shared" si="6"/>
        <v>0</v>
      </c>
      <c r="H36" s="135"/>
      <c r="I36" s="259" t="str">
        <f t="shared" si="1"/>
        <v>Measure 25</v>
      </c>
      <c r="J36" s="260"/>
      <c r="K36" s="261"/>
      <c r="L36" s="250">
        <f t="shared" si="2"/>
        <v>0</v>
      </c>
      <c r="M36" s="267">
        <v>0</v>
      </c>
      <c r="N36" s="267">
        <v>0</v>
      </c>
      <c r="O36" s="252">
        <f t="shared" si="4"/>
        <v>0</v>
      </c>
      <c r="P36" s="253">
        <f t="shared" si="7"/>
        <v>0</v>
      </c>
      <c r="Q36" s="253">
        <f t="shared" si="7"/>
        <v>0</v>
      </c>
      <c r="R36" s="254">
        <f t="shared" si="7"/>
        <v>0</v>
      </c>
      <c r="T36" s="263">
        <v>0</v>
      </c>
    </row>
    <row r="37" spans="2:20" ht="14.4" thickBot="1" x14ac:dyDescent="0.35">
      <c r="B37" s="272">
        <v>18000</v>
      </c>
      <c r="C37" s="244" t="s">
        <v>172</v>
      </c>
      <c r="D37" s="245">
        <f>SUM(D38:D41)</f>
        <v>4000</v>
      </c>
      <c r="E37" s="245">
        <f>SUM(E38:E41)</f>
        <v>4000</v>
      </c>
      <c r="F37" s="246">
        <f>D37+E37</f>
        <v>8000</v>
      </c>
      <c r="H37" s="135"/>
      <c r="I37" s="259" t="str">
        <f t="shared" si="1"/>
        <v>Measure 26</v>
      </c>
      <c r="J37" s="260"/>
      <c r="K37" s="270"/>
      <c r="L37" s="250">
        <f t="shared" si="2"/>
        <v>0</v>
      </c>
      <c r="M37" s="267">
        <v>0</v>
      </c>
      <c r="N37" s="267">
        <v>0</v>
      </c>
      <c r="O37" s="252">
        <f t="shared" si="4"/>
        <v>0</v>
      </c>
      <c r="P37" s="253">
        <f t="shared" si="7"/>
        <v>0</v>
      </c>
      <c r="Q37" s="253">
        <f t="shared" si="7"/>
        <v>0</v>
      </c>
      <c r="R37" s="254">
        <f t="shared" si="7"/>
        <v>0</v>
      </c>
      <c r="T37" s="263">
        <v>0</v>
      </c>
    </row>
    <row r="38" spans="2:20" ht="13.8" x14ac:dyDescent="0.3">
      <c r="B38" s="264"/>
      <c r="C38" s="265" t="s">
        <v>162</v>
      </c>
      <c r="D38" s="266">
        <v>4000</v>
      </c>
      <c r="E38" s="266">
        <v>4000</v>
      </c>
      <c r="F38" s="258">
        <f t="shared" ref="F38:F51" si="8">SUM(D38:E38)</f>
        <v>8000</v>
      </c>
      <c r="H38" s="135"/>
      <c r="I38" s="259" t="str">
        <f t="shared" si="1"/>
        <v>Measure 27</v>
      </c>
      <c r="J38" s="260"/>
      <c r="K38" s="270"/>
      <c r="L38" s="250">
        <f t="shared" si="2"/>
        <v>0</v>
      </c>
      <c r="M38" s="267">
        <v>0</v>
      </c>
      <c r="N38" s="267">
        <v>0</v>
      </c>
      <c r="O38" s="252">
        <f t="shared" si="4"/>
        <v>0</v>
      </c>
      <c r="P38" s="253">
        <f t="shared" si="7"/>
        <v>0</v>
      </c>
      <c r="Q38" s="253">
        <f t="shared" si="7"/>
        <v>0</v>
      </c>
      <c r="R38" s="254">
        <f t="shared" si="7"/>
        <v>0</v>
      </c>
      <c r="T38" s="263">
        <v>0</v>
      </c>
    </row>
    <row r="39" spans="2:20" ht="13.8" x14ac:dyDescent="0.3">
      <c r="B39" s="264"/>
      <c r="C39" s="265" t="s">
        <v>163</v>
      </c>
      <c r="D39" s="266">
        <v>0</v>
      </c>
      <c r="E39" s="266"/>
      <c r="F39" s="258">
        <f t="shared" si="8"/>
        <v>0</v>
      </c>
      <c r="H39" s="135"/>
      <c r="I39" s="259" t="str">
        <f t="shared" si="1"/>
        <v>Measure 28</v>
      </c>
      <c r="J39" s="260"/>
      <c r="K39" s="270"/>
      <c r="L39" s="250">
        <f t="shared" si="2"/>
        <v>0</v>
      </c>
      <c r="M39" s="267">
        <v>0</v>
      </c>
      <c r="N39" s="267">
        <v>0</v>
      </c>
      <c r="O39" s="252">
        <f t="shared" si="4"/>
        <v>0</v>
      </c>
      <c r="P39" s="253">
        <f t="shared" si="7"/>
        <v>0</v>
      </c>
      <c r="Q39" s="253">
        <f t="shared" si="7"/>
        <v>0</v>
      </c>
      <c r="R39" s="254">
        <f t="shared" si="7"/>
        <v>0</v>
      </c>
      <c r="T39" s="263">
        <v>0</v>
      </c>
    </row>
    <row r="40" spans="2:20" ht="13.8" x14ac:dyDescent="0.3">
      <c r="B40" s="264"/>
      <c r="C40" s="265" t="s">
        <v>164</v>
      </c>
      <c r="D40" s="266">
        <v>0</v>
      </c>
      <c r="E40" s="266"/>
      <c r="F40" s="258">
        <f t="shared" si="8"/>
        <v>0</v>
      </c>
      <c r="H40" s="135"/>
      <c r="I40" s="259" t="str">
        <f t="shared" si="1"/>
        <v>Measure 29</v>
      </c>
      <c r="J40" s="260"/>
      <c r="K40" s="270"/>
      <c r="L40" s="250">
        <f t="shared" si="2"/>
        <v>0</v>
      </c>
      <c r="M40" s="267">
        <v>0</v>
      </c>
      <c r="N40" s="267">
        <v>0</v>
      </c>
      <c r="O40" s="252">
        <f t="shared" si="4"/>
        <v>0</v>
      </c>
      <c r="P40" s="253">
        <f t="shared" si="7"/>
        <v>0</v>
      </c>
      <c r="Q40" s="253">
        <f t="shared" si="7"/>
        <v>0</v>
      </c>
      <c r="R40" s="254">
        <f t="shared" si="7"/>
        <v>0</v>
      </c>
      <c r="T40" s="263">
        <v>0</v>
      </c>
    </row>
    <row r="41" spans="2:20" ht="14.4" thickBot="1" x14ac:dyDescent="0.35">
      <c r="B41" s="264"/>
      <c r="C41" s="265" t="s">
        <v>165</v>
      </c>
      <c r="D41" s="266">
        <v>0</v>
      </c>
      <c r="E41" s="266"/>
      <c r="F41" s="258">
        <f t="shared" si="8"/>
        <v>0</v>
      </c>
      <c r="H41" s="135"/>
      <c r="I41" s="259" t="str">
        <f t="shared" si="1"/>
        <v>Measure 30</v>
      </c>
      <c r="J41" s="260"/>
      <c r="K41" s="270"/>
      <c r="L41" s="250">
        <f t="shared" si="2"/>
        <v>0</v>
      </c>
      <c r="M41" s="267">
        <v>0</v>
      </c>
      <c r="N41" s="267">
        <v>0</v>
      </c>
      <c r="O41" s="252">
        <f t="shared" si="4"/>
        <v>0</v>
      </c>
      <c r="P41" s="253">
        <f t="shared" si="7"/>
        <v>0</v>
      </c>
      <c r="Q41" s="253">
        <f t="shared" si="7"/>
        <v>0</v>
      </c>
      <c r="R41" s="254">
        <f t="shared" si="7"/>
        <v>0</v>
      </c>
      <c r="T41" s="263">
        <v>0</v>
      </c>
    </row>
    <row r="42" spans="2:20" ht="14.4" thickBot="1" x14ac:dyDescent="0.35">
      <c r="B42" s="272">
        <v>2400</v>
      </c>
      <c r="C42" s="244" t="s">
        <v>173</v>
      </c>
      <c r="D42" s="245">
        <f>SUM(D43:D46)</f>
        <v>5000</v>
      </c>
      <c r="E42" s="245">
        <f>SUM(E43:E46)</f>
        <v>5000</v>
      </c>
      <c r="F42" s="246">
        <f>D42+E42</f>
        <v>10000</v>
      </c>
      <c r="H42" s="135"/>
      <c r="I42" s="259" t="str">
        <f t="shared" si="1"/>
        <v>Measure 31</v>
      </c>
      <c r="J42" s="260"/>
      <c r="K42" s="270"/>
      <c r="L42" s="250">
        <f t="shared" si="2"/>
        <v>0</v>
      </c>
      <c r="M42" s="267">
        <v>0</v>
      </c>
      <c r="N42" s="267">
        <v>0</v>
      </c>
      <c r="O42" s="252">
        <f t="shared" si="4"/>
        <v>0</v>
      </c>
      <c r="P42" s="253">
        <f t="shared" si="7"/>
        <v>0</v>
      </c>
      <c r="Q42" s="253">
        <f t="shared" si="7"/>
        <v>0</v>
      </c>
      <c r="R42" s="254">
        <f t="shared" si="7"/>
        <v>0</v>
      </c>
      <c r="T42" s="263">
        <v>0</v>
      </c>
    </row>
    <row r="43" spans="2:20" ht="13.8" x14ac:dyDescent="0.3">
      <c r="B43" s="264"/>
      <c r="C43" s="265" t="s">
        <v>162</v>
      </c>
      <c r="D43" s="266">
        <v>5000</v>
      </c>
      <c r="E43" s="266">
        <v>5000</v>
      </c>
      <c r="F43" s="258">
        <f t="shared" si="8"/>
        <v>10000</v>
      </c>
      <c r="H43" s="135"/>
      <c r="I43" s="259" t="str">
        <f t="shared" si="1"/>
        <v>Measure 32</v>
      </c>
      <c r="J43" s="260"/>
      <c r="K43" s="270"/>
      <c r="L43" s="250">
        <f t="shared" si="2"/>
        <v>0</v>
      </c>
      <c r="M43" s="267">
        <v>0</v>
      </c>
      <c r="N43" s="267">
        <v>0</v>
      </c>
      <c r="O43" s="252">
        <f t="shared" si="4"/>
        <v>0</v>
      </c>
      <c r="P43" s="253">
        <f t="shared" si="7"/>
        <v>0</v>
      </c>
      <c r="Q43" s="253">
        <f t="shared" si="7"/>
        <v>0</v>
      </c>
      <c r="R43" s="254">
        <f t="shared" si="7"/>
        <v>0</v>
      </c>
      <c r="T43" s="263">
        <v>0</v>
      </c>
    </row>
    <row r="44" spans="2:20" ht="13.8" x14ac:dyDescent="0.3">
      <c r="B44" s="264"/>
      <c r="C44" s="265" t="s">
        <v>163</v>
      </c>
      <c r="D44" s="266">
        <v>0</v>
      </c>
      <c r="E44" s="266"/>
      <c r="F44" s="258">
        <f t="shared" si="8"/>
        <v>0</v>
      </c>
      <c r="H44" s="135"/>
      <c r="I44" s="259" t="str">
        <f t="shared" si="1"/>
        <v>Measure 33</v>
      </c>
      <c r="J44" s="260"/>
      <c r="K44" s="270"/>
      <c r="L44" s="250">
        <f t="shared" si="2"/>
        <v>0</v>
      </c>
      <c r="M44" s="267">
        <v>0</v>
      </c>
      <c r="N44" s="267">
        <v>0</v>
      </c>
      <c r="O44" s="252">
        <f t="shared" si="4"/>
        <v>0</v>
      </c>
      <c r="P44" s="253">
        <f t="shared" ref="P44:R53" si="9">M44*$D94</f>
        <v>0</v>
      </c>
      <c r="Q44" s="253">
        <f t="shared" si="9"/>
        <v>0</v>
      </c>
      <c r="R44" s="254">
        <f t="shared" si="9"/>
        <v>0</v>
      </c>
      <c r="T44" s="263">
        <v>0</v>
      </c>
    </row>
    <row r="45" spans="2:20" ht="13.8" x14ac:dyDescent="0.3">
      <c r="B45" s="264"/>
      <c r="C45" s="265" t="s">
        <v>164</v>
      </c>
      <c r="D45" s="266">
        <v>0</v>
      </c>
      <c r="E45" s="266"/>
      <c r="F45" s="258">
        <f t="shared" si="8"/>
        <v>0</v>
      </c>
      <c r="H45" s="135"/>
      <c r="I45" s="259" t="str">
        <f t="shared" si="1"/>
        <v>Measure 34</v>
      </c>
      <c r="J45" s="260"/>
      <c r="K45" s="270"/>
      <c r="L45" s="250">
        <f t="shared" si="2"/>
        <v>0</v>
      </c>
      <c r="M45" s="267">
        <v>0</v>
      </c>
      <c r="N45" s="267">
        <v>0</v>
      </c>
      <c r="O45" s="252">
        <f t="shared" si="4"/>
        <v>0</v>
      </c>
      <c r="P45" s="253">
        <f t="shared" si="9"/>
        <v>0</v>
      </c>
      <c r="Q45" s="253">
        <f t="shared" si="9"/>
        <v>0</v>
      </c>
      <c r="R45" s="254">
        <f t="shared" si="9"/>
        <v>0</v>
      </c>
      <c r="T45" s="263">
        <v>0</v>
      </c>
    </row>
    <row r="46" spans="2:20" ht="14.4" thickBot="1" x14ac:dyDescent="0.35">
      <c r="B46" s="264"/>
      <c r="C46" s="265" t="s">
        <v>165</v>
      </c>
      <c r="D46" s="266">
        <v>0</v>
      </c>
      <c r="E46" s="266"/>
      <c r="F46" s="258">
        <f t="shared" si="8"/>
        <v>0</v>
      </c>
      <c r="H46" s="135"/>
      <c r="I46" s="259" t="str">
        <f t="shared" si="1"/>
        <v>Measure 35</v>
      </c>
      <c r="J46" s="260"/>
      <c r="K46" s="270"/>
      <c r="L46" s="250">
        <f t="shared" si="2"/>
        <v>0</v>
      </c>
      <c r="M46" s="267">
        <v>0</v>
      </c>
      <c r="N46" s="267">
        <v>0</v>
      </c>
      <c r="O46" s="252">
        <f t="shared" si="4"/>
        <v>0</v>
      </c>
      <c r="P46" s="253">
        <f t="shared" si="9"/>
        <v>0</v>
      </c>
      <c r="Q46" s="253">
        <f t="shared" si="9"/>
        <v>0</v>
      </c>
      <c r="R46" s="254">
        <f t="shared" si="9"/>
        <v>0</v>
      </c>
      <c r="T46" s="263">
        <v>0</v>
      </c>
    </row>
    <row r="47" spans="2:20" ht="14.4" thickBot="1" x14ac:dyDescent="0.35">
      <c r="B47" s="272">
        <v>2400</v>
      </c>
      <c r="C47" s="244" t="s">
        <v>174</v>
      </c>
      <c r="D47" s="245">
        <f>SUM(D48:D51)</f>
        <v>2400</v>
      </c>
      <c r="E47" s="245">
        <f>SUM(E48:E51)</f>
        <v>2400</v>
      </c>
      <c r="F47" s="246">
        <f>D47+E47</f>
        <v>4800</v>
      </c>
      <c r="H47" s="135"/>
      <c r="I47" s="259" t="str">
        <f t="shared" si="1"/>
        <v>Measure 36</v>
      </c>
      <c r="J47" s="260"/>
      <c r="K47" s="270"/>
      <c r="L47" s="250">
        <f t="shared" si="2"/>
        <v>0</v>
      </c>
      <c r="M47" s="267">
        <v>0</v>
      </c>
      <c r="N47" s="267">
        <v>0</v>
      </c>
      <c r="O47" s="252">
        <f t="shared" si="4"/>
        <v>0</v>
      </c>
      <c r="P47" s="253">
        <f t="shared" si="9"/>
        <v>0</v>
      </c>
      <c r="Q47" s="253">
        <f t="shared" si="9"/>
        <v>0</v>
      </c>
      <c r="R47" s="254">
        <f t="shared" si="9"/>
        <v>0</v>
      </c>
      <c r="T47" s="263">
        <v>0</v>
      </c>
    </row>
    <row r="48" spans="2:20" ht="13.8" x14ac:dyDescent="0.3">
      <c r="B48" s="264"/>
      <c r="C48" s="265" t="s">
        <v>162</v>
      </c>
      <c r="D48" s="266">
        <v>2400</v>
      </c>
      <c r="E48" s="266">
        <v>2400</v>
      </c>
      <c r="F48" s="258">
        <f t="shared" si="8"/>
        <v>4800</v>
      </c>
      <c r="H48" s="135"/>
      <c r="I48" s="259" t="str">
        <f t="shared" si="1"/>
        <v>Measure 37</v>
      </c>
      <c r="J48" s="260"/>
      <c r="K48" s="270"/>
      <c r="L48" s="250">
        <f t="shared" si="2"/>
        <v>0</v>
      </c>
      <c r="M48" s="267">
        <v>0</v>
      </c>
      <c r="N48" s="267">
        <v>0</v>
      </c>
      <c r="O48" s="252">
        <f t="shared" si="4"/>
        <v>0</v>
      </c>
      <c r="P48" s="253">
        <f t="shared" si="9"/>
        <v>0</v>
      </c>
      <c r="Q48" s="253">
        <f t="shared" si="9"/>
        <v>0</v>
      </c>
      <c r="R48" s="254">
        <f t="shared" si="9"/>
        <v>0</v>
      </c>
      <c r="T48" s="263">
        <v>0</v>
      </c>
    </row>
    <row r="49" spans="2:25" ht="13.8" x14ac:dyDescent="0.3">
      <c r="B49" s="264"/>
      <c r="C49" s="265" t="s">
        <v>163</v>
      </c>
      <c r="D49" s="266">
        <v>0</v>
      </c>
      <c r="E49" s="266"/>
      <c r="F49" s="258">
        <f t="shared" si="8"/>
        <v>0</v>
      </c>
      <c r="I49" s="259" t="str">
        <f t="shared" si="1"/>
        <v>Measure 38</v>
      </c>
      <c r="J49" s="260"/>
      <c r="K49" s="261"/>
      <c r="L49" s="250">
        <f t="shared" si="2"/>
        <v>0</v>
      </c>
      <c r="M49" s="267">
        <v>0</v>
      </c>
      <c r="N49" s="267">
        <v>0</v>
      </c>
      <c r="O49" s="252">
        <f t="shared" si="4"/>
        <v>0</v>
      </c>
      <c r="P49" s="253">
        <f t="shared" si="9"/>
        <v>0</v>
      </c>
      <c r="Q49" s="253">
        <f t="shared" si="9"/>
        <v>0</v>
      </c>
      <c r="R49" s="254">
        <f t="shared" si="9"/>
        <v>0</v>
      </c>
      <c r="T49" s="263">
        <v>0</v>
      </c>
    </row>
    <row r="50" spans="2:25" ht="13.8" x14ac:dyDescent="0.3">
      <c r="B50" s="264"/>
      <c r="C50" s="265" t="s">
        <v>164</v>
      </c>
      <c r="D50" s="266">
        <v>0</v>
      </c>
      <c r="E50" s="266"/>
      <c r="F50" s="258">
        <f t="shared" si="8"/>
        <v>0</v>
      </c>
      <c r="I50" s="259" t="str">
        <f t="shared" si="1"/>
        <v>Measure 39</v>
      </c>
      <c r="J50" s="260"/>
      <c r="K50" s="261"/>
      <c r="L50" s="250">
        <f t="shared" si="2"/>
        <v>0</v>
      </c>
      <c r="M50" s="267">
        <v>0</v>
      </c>
      <c r="N50" s="267">
        <v>0</v>
      </c>
      <c r="O50" s="252">
        <f t="shared" si="4"/>
        <v>0</v>
      </c>
      <c r="P50" s="253">
        <f t="shared" si="9"/>
        <v>0</v>
      </c>
      <c r="Q50" s="253">
        <f t="shared" si="9"/>
        <v>0</v>
      </c>
      <c r="R50" s="254">
        <f t="shared" si="9"/>
        <v>0</v>
      </c>
      <c r="T50" s="263">
        <v>0</v>
      </c>
    </row>
    <row r="51" spans="2:25" ht="14.4" thickBot="1" x14ac:dyDescent="0.35">
      <c r="B51" s="264"/>
      <c r="C51" s="265" t="s">
        <v>165</v>
      </c>
      <c r="D51" s="266">
        <v>0</v>
      </c>
      <c r="E51" s="266"/>
      <c r="F51" s="258">
        <f t="shared" si="8"/>
        <v>0</v>
      </c>
      <c r="I51" s="259" t="str">
        <f t="shared" si="1"/>
        <v>Measure 40</v>
      </c>
      <c r="J51" s="260"/>
      <c r="K51" s="261"/>
      <c r="L51" s="250">
        <f t="shared" si="2"/>
        <v>0</v>
      </c>
      <c r="M51" s="267">
        <v>0</v>
      </c>
      <c r="N51" s="267">
        <v>0</v>
      </c>
      <c r="O51" s="252">
        <f t="shared" si="4"/>
        <v>0</v>
      </c>
      <c r="P51" s="253">
        <f t="shared" si="9"/>
        <v>0</v>
      </c>
      <c r="Q51" s="253">
        <f t="shared" si="9"/>
        <v>0</v>
      </c>
      <c r="R51" s="254">
        <f t="shared" si="9"/>
        <v>0</v>
      </c>
      <c r="T51" s="263">
        <v>0</v>
      </c>
    </row>
    <row r="52" spans="2:25" ht="14.4" thickBot="1" x14ac:dyDescent="0.35">
      <c r="B52" s="272">
        <v>146000</v>
      </c>
      <c r="C52" s="244" t="s">
        <v>175</v>
      </c>
      <c r="D52" s="245">
        <f>S104</f>
        <v>221150</v>
      </c>
      <c r="E52" s="245">
        <f>T104</f>
        <v>223630</v>
      </c>
      <c r="F52" s="246">
        <f>U104</f>
        <v>444780</v>
      </c>
      <c r="G52" s="271" t="s">
        <v>176</v>
      </c>
      <c r="I52" s="259" t="str">
        <f t="shared" si="1"/>
        <v>Measure 41</v>
      </c>
      <c r="J52" s="260"/>
      <c r="K52" s="261"/>
      <c r="L52" s="250">
        <f t="shared" si="2"/>
        <v>0</v>
      </c>
      <c r="M52" s="267">
        <v>0</v>
      </c>
      <c r="N52" s="267">
        <v>0</v>
      </c>
      <c r="O52" s="252">
        <f t="shared" si="4"/>
        <v>0</v>
      </c>
      <c r="P52" s="253">
        <f t="shared" si="9"/>
        <v>0</v>
      </c>
      <c r="Q52" s="253">
        <f t="shared" si="9"/>
        <v>0</v>
      </c>
      <c r="R52" s="254">
        <f t="shared" si="9"/>
        <v>0</v>
      </c>
      <c r="T52" s="263">
        <v>0</v>
      </c>
    </row>
    <row r="53" spans="2:25" ht="14.4" thickBot="1" x14ac:dyDescent="0.35">
      <c r="B53" s="272">
        <v>0</v>
      </c>
      <c r="C53" s="244" t="s">
        <v>177</v>
      </c>
      <c r="D53" s="245">
        <v>0</v>
      </c>
      <c r="E53" s="245">
        <v>0</v>
      </c>
      <c r="F53" s="246">
        <v>0</v>
      </c>
      <c r="I53" s="259" t="str">
        <f t="shared" si="1"/>
        <v>Measure 42</v>
      </c>
      <c r="J53" s="260"/>
      <c r="K53" s="261"/>
      <c r="L53" s="250">
        <f t="shared" si="2"/>
        <v>0</v>
      </c>
      <c r="M53" s="267">
        <v>0</v>
      </c>
      <c r="N53" s="267">
        <v>0</v>
      </c>
      <c r="O53" s="252">
        <f t="shared" si="4"/>
        <v>0</v>
      </c>
      <c r="P53" s="253">
        <f t="shared" si="9"/>
        <v>0</v>
      </c>
      <c r="Q53" s="253">
        <f t="shared" si="9"/>
        <v>0</v>
      </c>
      <c r="R53" s="254">
        <f t="shared" si="9"/>
        <v>0</v>
      </c>
      <c r="T53" s="263">
        <v>0</v>
      </c>
    </row>
    <row r="54" spans="2:25" ht="13.8" x14ac:dyDescent="0.3">
      <c r="B54" s="273">
        <f>B12+B17+B22+B27+B32+B37+B42+B47+B52+B53</f>
        <v>250064</v>
      </c>
      <c r="C54" s="274" t="s">
        <v>178</v>
      </c>
      <c r="D54" s="273">
        <f>D12+D17+D22+D27+D32+D37+D42+D47+D52+D53</f>
        <v>317118.53200000001</v>
      </c>
      <c r="E54" s="273">
        <f>E12+E17+E22+E27+E32+E37+E42+E47+E52+E53</f>
        <v>321426.21840000001</v>
      </c>
      <c r="F54" s="273">
        <f>F12+F17+F22+F27+F32+F37+F42+F47+F52+F53</f>
        <v>638544.75040000002</v>
      </c>
      <c r="P54" s="275">
        <f>SUM(P12:P53)</f>
        <v>849045</v>
      </c>
      <c r="Q54" s="275">
        <f>SUM(Q12:Q53)</f>
        <v>860165</v>
      </c>
      <c r="R54" s="275">
        <f>SUM(R12:R53)</f>
        <v>1709210</v>
      </c>
      <c r="T54" s="275">
        <f>SUM(T12:T53)</f>
        <v>929892</v>
      </c>
    </row>
    <row r="55" spans="2:25" ht="13.8" x14ac:dyDescent="0.3">
      <c r="C55" s="274"/>
      <c r="D55" s="273"/>
      <c r="E55" s="273"/>
      <c r="F55" s="273"/>
    </row>
    <row r="56" spans="2:25" ht="13.8" x14ac:dyDescent="0.3">
      <c r="C56" s="274" t="s">
        <v>179</v>
      </c>
      <c r="D56" s="273">
        <f>D54-D52</f>
        <v>95968.532000000007</v>
      </c>
      <c r="E56" s="273">
        <f>E54-E52</f>
        <v>97796.218400000012</v>
      </c>
      <c r="F56" s="273">
        <f>F54-F52</f>
        <v>193764.75040000002</v>
      </c>
    </row>
    <row r="57" spans="2:25" ht="13.8" x14ac:dyDescent="0.3">
      <c r="C57" s="274" t="s">
        <v>180</v>
      </c>
      <c r="D57" s="276">
        <f>D52</f>
        <v>221150</v>
      </c>
      <c r="E57" s="276">
        <f>E52</f>
        <v>223630</v>
      </c>
      <c r="F57" s="276">
        <f>F52</f>
        <v>444780</v>
      </c>
      <c r="G57" s="277">
        <f>F57/(F56+F57)</f>
        <v>0.69655259043532802</v>
      </c>
      <c r="H57" s="278" t="s">
        <v>181</v>
      </c>
    </row>
    <row r="58" spans="2:25" ht="13.8" thickBot="1" x14ac:dyDescent="0.3"/>
    <row r="59" spans="2:25" ht="16.2" thickBot="1" x14ac:dyDescent="0.35">
      <c r="B59" s="279" t="s">
        <v>182</v>
      </c>
      <c r="C59" s="280"/>
      <c r="D59" s="4760" t="s">
        <v>183</v>
      </c>
      <c r="E59" s="4761"/>
      <c r="F59" s="4761"/>
      <c r="G59" s="4761"/>
      <c r="H59" s="4761"/>
      <c r="K59" s="281"/>
    </row>
    <row r="60" spans="2:25" ht="16.2" thickBot="1" x14ac:dyDescent="0.35">
      <c r="B60" s="4762" t="s">
        <v>184</v>
      </c>
      <c r="C60" s="4763"/>
      <c r="D60" s="4763"/>
      <c r="E60" s="4763"/>
      <c r="F60" s="4763"/>
      <c r="G60" s="4763"/>
      <c r="H60" s="4763"/>
      <c r="I60" s="4763"/>
      <c r="J60" s="4763"/>
      <c r="K60" s="4764"/>
      <c r="L60" s="4762" t="s">
        <v>185</v>
      </c>
      <c r="M60" s="4763"/>
      <c r="N60" s="4763"/>
      <c r="O60" s="4763"/>
      <c r="P60" s="4763"/>
      <c r="Q60" s="4763"/>
      <c r="R60" s="4764"/>
      <c r="S60" s="4762" t="s">
        <v>186</v>
      </c>
      <c r="T60" s="4763"/>
      <c r="U60" s="4764"/>
      <c r="V60" s="4762" t="s">
        <v>132</v>
      </c>
      <c r="W60" s="4763"/>
      <c r="X60" s="4764"/>
    </row>
    <row r="61" spans="2:25" ht="14.4" thickBot="1" x14ac:dyDescent="0.35">
      <c r="B61" s="282" t="s">
        <v>187</v>
      </c>
      <c r="C61" s="283" t="s">
        <v>152</v>
      </c>
      <c r="D61" s="283" t="s">
        <v>153</v>
      </c>
      <c r="E61" s="283" t="s">
        <v>188</v>
      </c>
      <c r="F61" s="283" t="s">
        <v>189</v>
      </c>
      <c r="G61" s="283" t="s">
        <v>190</v>
      </c>
      <c r="H61" s="283" t="s">
        <v>191</v>
      </c>
      <c r="I61" s="283" t="s">
        <v>192</v>
      </c>
      <c r="J61" s="283" t="s">
        <v>193</v>
      </c>
      <c r="K61" s="284" t="s">
        <v>194</v>
      </c>
      <c r="L61" s="285" t="s">
        <v>195</v>
      </c>
      <c r="M61" s="286" t="s">
        <v>196</v>
      </c>
      <c r="N61" s="286" t="s">
        <v>197</v>
      </c>
      <c r="O61" s="286" t="s">
        <v>198</v>
      </c>
      <c r="P61" s="287" t="s">
        <v>199</v>
      </c>
      <c r="Q61" s="287" t="s">
        <v>200</v>
      </c>
      <c r="R61" s="287" t="s">
        <v>201</v>
      </c>
      <c r="S61" s="208" t="s">
        <v>202</v>
      </c>
      <c r="T61" s="208" t="s">
        <v>203</v>
      </c>
      <c r="U61" s="209" t="s">
        <v>204</v>
      </c>
      <c r="V61" s="208" t="s">
        <v>137</v>
      </c>
      <c r="W61" s="208" t="s">
        <v>12</v>
      </c>
      <c r="X61" s="209" t="s">
        <v>138</v>
      </c>
      <c r="Y61" s="310" t="s">
        <v>256</v>
      </c>
    </row>
    <row r="62" spans="2:25" ht="13.8" x14ac:dyDescent="0.3">
      <c r="B62" s="296">
        <v>70</v>
      </c>
      <c r="C62" s="296" t="s">
        <v>257</v>
      </c>
      <c r="D62" s="296">
        <v>2001</v>
      </c>
      <c r="E62" s="296" t="s">
        <v>206</v>
      </c>
      <c r="F62" s="296" t="s">
        <v>258</v>
      </c>
      <c r="G62" s="297">
        <v>701</v>
      </c>
      <c r="H62" s="297">
        <v>500</v>
      </c>
      <c r="I62" s="298">
        <v>0.85</v>
      </c>
      <c r="J62" s="267">
        <v>15</v>
      </c>
      <c r="K62" s="267" t="s">
        <v>259</v>
      </c>
      <c r="L62" s="291">
        <f>P62/N62</f>
        <v>2.7896344443112668</v>
      </c>
      <c r="M62" s="291">
        <f>Q62/O62</f>
        <v>2.4007657093253649</v>
      </c>
      <c r="N62" s="218">
        <f>(($I62*$F$56)+$U62)/$R62</f>
        <v>494634.632599445</v>
      </c>
      <c r="O62" s="218">
        <f>(($I62*$F$56)+($G62*$O12))/$R62</f>
        <v>632229.45221091586</v>
      </c>
      <c r="P62" s="218">
        <f>IF(K62=0, 0, (HLOOKUP(K62,'[1]E-CESTDWO'!$A$5:$O$35,J62+1,FALSE)*R12))</f>
        <v>1379849.8084486604</v>
      </c>
      <c r="Q62" s="218">
        <f>IF(K62=0, 0, (HLOOKUP(K62,'[1]E-CESTD'!$A$5:$O$35,J62+1,FALSE)*R12))</f>
        <v>1517834.7892935262</v>
      </c>
      <c r="R62" s="292">
        <v>1.081</v>
      </c>
      <c r="S62" s="293">
        <f t="shared" ref="S62:U77" si="10">M12*$H62</f>
        <v>185000</v>
      </c>
      <c r="T62" s="293">
        <f t="shared" si="10"/>
        <v>185000</v>
      </c>
      <c r="U62" s="293">
        <f t="shared" si="10"/>
        <v>370000</v>
      </c>
      <c r="V62" s="294">
        <f>U62/(U62+(I62*F$56))</f>
        <v>0.69197676045558143</v>
      </c>
      <c r="W62" s="294">
        <f t="shared" ref="W62:W80" si="11">(I62*((F$17*1.63)+F$27))/(U62+(I62*F$56))</f>
        <v>0.11081117132392981</v>
      </c>
      <c r="X62" s="294">
        <f>(I62*F$37)/(U62+(I62*F$56))</f>
        <v>1.2717410732697172E-2</v>
      </c>
      <c r="Y62" s="301">
        <f>I62*F$56</f>
        <v>164700.03784</v>
      </c>
    </row>
    <row r="63" spans="2:25" ht="13.8" x14ac:dyDescent="0.3">
      <c r="B63" s="296">
        <v>71</v>
      </c>
      <c r="C63" s="296" t="s">
        <v>260</v>
      </c>
      <c r="D63" s="296">
        <v>125</v>
      </c>
      <c r="E63" s="296" t="s">
        <v>206</v>
      </c>
      <c r="F63" s="296" t="s">
        <v>211</v>
      </c>
      <c r="G63" s="297">
        <v>93</v>
      </c>
      <c r="H63" s="297">
        <v>50</v>
      </c>
      <c r="I63" s="298">
        <v>0.09</v>
      </c>
      <c r="J63" s="267">
        <v>15</v>
      </c>
      <c r="K63" s="267" t="s">
        <v>259</v>
      </c>
      <c r="L63" s="291">
        <f t="shared" ref="L63:M103" si="12">P63/N63</f>
        <v>1.6808686738440057</v>
      </c>
      <c r="M63" s="291">
        <f t="shared" si="12"/>
        <v>1.1746842503416868</v>
      </c>
      <c r="N63" s="218">
        <f t="shared" ref="N63:N103" si="13">(($I63*$F$56)+$U63)/$R63</f>
        <v>48509.553687326552</v>
      </c>
      <c r="O63" s="218">
        <f t="shared" ref="O63:O103" si="14">(($I63*$F$56)+($G63*$O13))/$R63</f>
        <v>76354.142031452357</v>
      </c>
      <c r="P63" s="218">
        <f>IF(K63=0, 0, (HLOOKUP(K63,'[1]E-CESTDWO'!$A$5:$O$35,J63+1,FALSE)*R13))</f>
        <v>81538.189175181178</v>
      </c>
      <c r="Q63" s="218">
        <f>IF(K63=0, 0, (HLOOKUP(K63,'[1]E-CESTD'!$A$5:$O$35,J63+1,FALSE)*R13))</f>
        <v>89692.008092699281</v>
      </c>
      <c r="R63" s="292">
        <v>1.081</v>
      </c>
      <c r="S63" s="293">
        <f t="shared" si="10"/>
        <v>17500</v>
      </c>
      <c r="T63" s="293">
        <f t="shared" si="10"/>
        <v>17500</v>
      </c>
      <c r="U63" s="293">
        <f t="shared" si="10"/>
        <v>35000</v>
      </c>
      <c r="V63" s="294">
        <f t="shared" ref="V63:V80" si="15">U63/(U63+(I63*F$56))</f>
        <v>0.66744436602767299</v>
      </c>
      <c r="W63" s="294">
        <f t="shared" si="11"/>
        <v>0.1196366851583987</v>
      </c>
      <c r="X63" s="294">
        <f t="shared" ref="X63:X80" si="16">(I63*F$37)/(U63+(I63*F$56))</f>
        <v>1.3730284101140702E-2</v>
      </c>
      <c r="Y63" s="301">
        <f>I63*F$56</f>
        <v>17438.827536000001</v>
      </c>
    </row>
    <row r="64" spans="2:25" ht="13.8" x14ac:dyDescent="0.3">
      <c r="B64" s="296">
        <v>72</v>
      </c>
      <c r="C64" s="296" t="s">
        <v>261</v>
      </c>
      <c r="D64" s="296">
        <v>373</v>
      </c>
      <c r="E64" s="296" t="s">
        <v>206</v>
      </c>
      <c r="F64" s="296" t="s">
        <v>258</v>
      </c>
      <c r="G64" s="297">
        <v>537</v>
      </c>
      <c r="H64" s="297">
        <v>250</v>
      </c>
      <c r="I64" s="298">
        <v>5.0000000000000001E-3</v>
      </c>
      <c r="J64" s="267">
        <v>30</v>
      </c>
      <c r="K64" s="267" t="s">
        <v>259</v>
      </c>
      <c r="L64" s="291">
        <f t="shared" si="12"/>
        <v>2.0154194476603355</v>
      </c>
      <c r="M64" s="291">
        <f t="shared" si="12"/>
        <v>1.0733689722388973</v>
      </c>
      <c r="N64" s="218">
        <f t="shared" si="13"/>
        <v>12459.596440333025</v>
      </c>
      <c r="O64" s="218">
        <f t="shared" si="14"/>
        <v>25734.34204625347</v>
      </c>
      <c r="P64" s="218">
        <f>IF(K64=0, 0, (HLOOKUP(K64,'[1]E-CESTDWO'!$A$5:$O$35,J64+1,FALSE)*R14))</f>
        <v>25111.312975846668</v>
      </c>
      <c r="Q64" s="218">
        <f>IF(K64=0, 0, (HLOOKUP(K64,'[1]E-CESTD'!$A$5:$O$35,J64+1,FALSE)*R14))</f>
        <v>27622.444273431327</v>
      </c>
      <c r="R64" s="292">
        <v>1.081</v>
      </c>
      <c r="S64" s="293">
        <f t="shared" si="10"/>
        <v>6250</v>
      </c>
      <c r="T64" s="293">
        <f t="shared" si="10"/>
        <v>6250</v>
      </c>
      <c r="U64" s="293">
        <f t="shared" si="10"/>
        <v>12500</v>
      </c>
      <c r="V64" s="294">
        <f t="shared" si="15"/>
        <v>0.9280691640310359</v>
      </c>
      <c r="W64" s="294">
        <f t="shared" si="11"/>
        <v>2.5877074079928165E-2</v>
      </c>
      <c r="X64" s="294">
        <f t="shared" si="16"/>
        <v>2.9698213248993146E-3</v>
      </c>
      <c r="Y64" s="301">
        <f>I64*F$56</f>
        <v>968.82375200000013</v>
      </c>
    </row>
    <row r="65" spans="2:24" ht="13.8" x14ac:dyDescent="0.3">
      <c r="B65" s="296"/>
      <c r="C65" s="296" t="s">
        <v>262</v>
      </c>
      <c r="D65" s="296">
        <v>139</v>
      </c>
      <c r="E65" s="296" t="s">
        <v>206</v>
      </c>
      <c r="F65" s="296" t="s">
        <v>211</v>
      </c>
      <c r="G65" s="297">
        <v>31</v>
      </c>
      <c r="H65" s="297">
        <v>31</v>
      </c>
      <c r="I65" s="298">
        <v>0.05</v>
      </c>
      <c r="J65" s="267">
        <v>10</v>
      </c>
      <c r="K65" s="267" t="s">
        <v>259</v>
      </c>
      <c r="L65" s="291">
        <f t="shared" si="12"/>
        <v>2.5118223479779807</v>
      </c>
      <c r="M65" s="291">
        <f t="shared" si="12"/>
        <v>2.7630045827757788</v>
      </c>
      <c r="N65" s="218">
        <f t="shared" si="13"/>
        <v>34198.184569842742</v>
      </c>
      <c r="O65" s="218">
        <f t="shared" si="14"/>
        <v>34198.184569842742</v>
      </c>
      <c r="P65" s="218">
        <f>IF(K65=0, 0, (HLOOKUP(K65,'[1]E-CESTDWO'!$A$5:$O$35,J65+1,FALSE)*R15))</f>
        <v>85899.764262806741</v>
      </c>
      <c r="Q65" s="218">
        <f>IF(K65=0, 0, (HLOOKUP(K65,'[1]E-CESTD'!$A$5:$O$35,J65+1,FALSE)*R15))</f>
        <v>94489.740689087426</v>
      </c>
      <c r="R65" s="292">
        <v>1.081</v>
      </c>
      <c r="S65" s="293">
        <f t="shared" si="10"/>
        <v>12400</v>
      </c>
      <c r="T65" s="293">
        <f t="shared" si="10"/>
        <v>14880</v>
      </c>
      <c r="U65" s="293">
        <f t="shared" si="10"/>
        <v>27280</v>
      </c>
      <c r="V65" s="294">
        <f t="shared" si="15"/>
        <v>0.73793077057680623</v>
      </c>
      <c r="W65" s="294">
        <f t="shared" si="11"/>
        <v>9.4279244394986778E-2</v>
      </c>
      <c r="X65" s="294">
        <f t="shared" si="16"/>
        <v>1.0820099275319739E-2</v>
      </c>
    </row>
    <row r="66" spans="2:24" ht="13.8" x14ac:dyDescent="0.3">
      <c r="B66" s="296"/>
      <c r="C66" s="296" t="s">
        <v>214</v>
      </c>
      <c r="D66" s="296">
        <v>0</v>
      </c>
      <c r="E66" s="296" t="s">
        <v>206</v>
      </c>
      <c r="F66" s="296" t="s">
        <v>211</v>
      </c>
      <c r="G66" s="297"/>
      <c r="H66" s="297"/>
      <c r="I66" s="298">
        <v>0</v>
      </c>
      <c r="J66" s="267"/>
      <c r="K66" s="267"/>
      <c r="L66" s="291" t="e">
        <f t="shared" si="12"/>
        <v>#DIV/0!</v>
      </c>
      <c r="M66" s="291" t="e">
        <f t="shared" si="12"/>
        <v>#DIV/0!</v>
      </c>
      <c r="N66" s="218">
        <f t="shared" si="13"/>
        <v>0</v>
      </c>
      <c r="O66" s="218">
        <f t="shared" si="14"/>
        <v>0</v>
      </c>
      <c r="P66" s="218">
        <f>IF(K66=0, 0, (HLOOKUP(K66,'[1]E-CESTDWO'!$A$5:$O$35,J66+1,FALSE)*R16))</f>
        <v>0</v>
      </c>
      <c r="Q66" s="218">
        <f>IF(K66=0, 0, (HLOOKUP(K66,'[1]E-CESTD'!$A$5:$O$35,J66+1,FALSE)*R16))</f>
        <v>0</v>
      </c>
      <c r="R66" s="292">
        <v>1.081</v>
      </c>
      <c r="S66" s="293">
        <f t="shared" si="10"/>
        <v>0</v>
      </c>
      <c r="T66" s="293">
        <f t="shared" si="10"/>
        <v>0</v>
      </c>
      <c r="U66" s="293">
        <f t="shared" si="10"/>
        <v>0</v>
      </c>
      <c r="V66" s="294" t="e">
        <f t="shared" si="15"/>
        <v>#DIV/0!</v>
      </c>
      <c r="W66" s="294" t="e">
        <f t="shared" si="11"/>
        <v>#DIV/0!</v>
      </c>
      <c r="X66" s="294" t="e">
        <f t="shared" si="16"/>
        <v>#DIV/0!</v>
      </c>
    </row>
    <row r="67" spans="2:24" ht="13.8" x14ac:dyDescent="0.3">
      <c r="B67" s="296"/>
      <c r="C67" s="296" t="s">
        <v>215</v>
      </c>
      <c r="D67" s="296">
        <v>0</v>
      </c>
      <c r="E67" s="296" t="s">
        <v>206</v>
      </c>
      <c r="F67" s="296" t="s">
        <v>211</v>
      </c>
      <c r="G67" s="297"/>
      <c r="H67" s="297"/>
      <c r="I67" s="298">
        <v>0</v>
      </c>
      <c r="J67" s="267"/>
      <c r="K67" s="267"/>
      <c r="L67" s="291" t="e">
        <f t="shared" si="12"/>
        <v>#DIV/0!</v>
      </c>
      <c r="M67" s="291" t="e">
        <f t="shared" si="12"/>
        <v>#DIV/0!</v>
      </c>
      <c r="N67" s="218">
        <f t="shared" si="13"/>
        <v>0</v>
      </c>
      <c r="O67" s="218">
        <f t="shared" si="14"/>
        <v>0</v>
      </c>
      <c r="P67" s="218">
        <f>IF(K67=0, 0, (HLOOKUP(K67,'[1]E-CESTDWO'!$A$5:$O$35,J67+1,FALSE)*R17))</f>
        <v>0</v>
      </c>
      <c r="Q67" s="218">
        <f>IF(K67=0, 0, (HLOOKUP(K67,'[1]E-CESTD'!$A$5:$O$35,J67+1,FALSE)*R17))</f>
        <v>0</v>
      </c>
      <c r="R67" s="292">
        <v>1.081</v>
      </c>
      <c r="S67" s="293">
        <f t="shared" si="10"/>
        <v>0</v>
      </c>
      <c r="T67" s="293">
        <f t="shared" si="10"/>
        <v>0</v>
      </c>
      <c r="U67" s="293">
        <f t="shared" si="10"/>
        <v>0</v>
      </c>
      <c r="V67" s="294" t="e">
        <f t="shared" si="15"/>
        <v>#DIV/0!</v>
      </c>
      <c r="W67" s="294" t="e">
        <f t="shared" si="11"/>
        <v>#DIV/0!</v>
      </c>
      <c r="X67" s="294" t="e">
        <f t="shared" si="16"/>
        <v>#DIV/0!</v>
      </c>
    </row>
    <row r="68" spans="2:24" ht="13.8" x14ac:dyDescent="0.3">
      <c r="B68" s="296"/>
      <c r="C68" s="296" t="s">
        <v>216</v>
      </c>
      <c r="D68" s="296">
        <v>0</v>
      </c>
      <c r="E68" s="296" t="s">
        <v>206</v>
      </c>
      <c r="F68" s="296" t="s">
        <v>211</v>
      </c>
      <c r="G68" s="297"/>
      <c r="H68" s="297"/>
      <c r="I68" s="298">
        <v>0</v>
      </c>
      <c r="J68" s="267"/>
      <c r="K68" s="267"/>
      <c r="L68" s="291" t="e">
        <f t="shared" si="12"/>
        <v>#DIV/0!</v>
      </c>
      <c r="M68" s="291" t="e">
        <f t="shared" si="12"/>
        <v>#DIV/0!</v>
      </c>
      <c r="N68" s="218">
        <f t="shared" si="13"/>
        <v>0</v>
      </c>
      <c r="O68" s="218">
        <f t="shared" si="14"/>
        <v>0</v>
      </c>
      <c r="P68" s="218">
        <f>IF(K68=0, 0, (HLOOKUP(K68,'[1]E-CESTDWO'!$A$5:$O$35,J68+1,FALSE)*R18))</f>
        <v>0</v>
      </c>
      <c r="Q68" s="218">
        <f>IF(K68=0, 0, (HLOOKUP(K68,'[1]E-CESTD'!$A$5:$O$35,J68+1,FALSE)*R18))</f>
        <v>0</v>
      </c>
      <c r="R68" s="292">
        <v>1.081</v>
      </c>
      <c r="S68" s="293">
        <f t="shared" si="10"/>
        <v>0</v>
      </c>
      <c r="T68" s="293">
        <f t="shared" si="10"/>
        <v>0</v>
      </c>
      <c r="U68" s="293">
        <f t="shared" si="10"/>
        <v>0</v>
      </c>
      <c r="V68" s="294" t="e">
        <f t="shared" si="15"/>
        <v>#DIV/0!</v>
      </c>
      <c r="W68" s="294" t="e">
        <f t="shared" si="11"/>
        <v>#DIV/0!</v>
      </c>
      <c r="X68" s="294" t="e">
        <f t="shared" si="16"/>
        <v>#DIV/0!</v>
      </c>
    </row>
    <row r="69" spans="2:24" ht="13.8" x14ac:dyDescent="0.3">
      <c r="B69" s="296"/>
      <c r="C69" s="296" t="s">
        <v>217</v>
      </c>
      <c r="D69" s="296">
        <v>0</v>
      </c>
      <c r="E69" s="296" t="s">
        <v>206</v>
      </c>
      <c r="F69" s="296" t="s">
        <v>211</v>
      </c>
      <c r="G69" s="297"/>
      <c r="H69" s="297"/>
      <c r="I69" s="298">
        <v>0</v>
      </c>
      <c r="J69" s="267"/>
      <c r="K69" s="267"/>
      <c r="L69" s="291" t="e">
        <f t="shared" si="12"/>
        <v>#DIV/0!</v>
      </c>
      <c r="M69" s="291" t="e">
        <f t="shared" si="12"/>
        <v>#DIV/0!</v>
      </c>
      <c r="N69" s="218">
        <f t="shared" si="13"/>
        <v>0</v>
      </c>
      <c r="O69" s="218">
        <f t="shared" si="14"/>
        <v>0</v>
      </c>
      <c r="P69" s="218">
        <f>IF(K69=0, 0, (HLOOKUP(K69,'[1]E-CESTDWO'!$A$5:$O$35,J69+1,FALSE)*R19))</f>
        <v>0</v>
      </c>
      <c r="Q69" s="218">
        <f>IF(K69=0, 0, (HLOOKUP(K69,'[1]E-CESTD'!$A$5:$O$35,J69+1,FALSE)*R19))</f>
        <v>0</v>
      </c>
      <c r="R69" s="292">
        <v>1.081</v>
      </c>
      <c r="S69" s="293">
        <f t="shared" si="10"/>
        <v>0</v>
      </c>
      <c r="T69" s="293">
        <f t="shared" si="10"/>
        <v>0</v>
      </c>
      <c r="U69" s="293">
        <f t="shared" si="10"/>
        <v>0</v>
      </c>
      <c r="V69" s="294" t="e">
        <f t="shared" si="15"/>
        <v>#DIV/0!</v>
      </c>
      <c r="W69" s="294" t="e">
        <f t="shared" si="11"/>
        <v>#DIV/0!</v>
      </c>
      <c r="X69" s="294" t="e">
        <f t="shared" si="16"/>
        <v>#DIV/0!</v>
      </c>
    </row>
    <row r="70" spans="2:24" ht="13.8" x14ac:dyDescent="0.3">
      <c r="B70" s="296"/>
      <c r="C70" s="296" t="s">
        <v>218</v>
      </c>
      <c r="D70" s="296">
        <v>0</v>
      </c>
      <c r="E70" s="296" t="s">
        <v>206</v>
      </c>
      <c r="F70" s="296" t="s">
        <v>211</v>
      </c>
      <c r="G70" s="297"/>
      <c r="H70" s="297"/>
      <c r="I70" s="298">
        <v>0</v>
      </c>
      <c r="J70" s="267"/>
      <c r="K70" s="267"/>
      <c r="L70" s="291" t="e">
        <f t="shared" si="12"/>
        <v>#DIV/0!</v>
      </c>
      <c r="M70" s="291" t="e">
        <f t="shared" si="12"/>
        <v>#DIV/0!</v>
      </c>
      <c r="N70" s="218">
        <f t="shared" si="13"/>
        <v>0</v>
      </c>
      <c r="O70" s="218">
        <f t="shared" si="14"/>
        <v>0</v>
      </c>
      <c r="P70" s="218">
        <f>IF(K70=0, 0, (HLOOKUP(K70,'[1]E-CESTDWO'!$A$5:$O$35,J70+1,FALSE)*R20))</f>
        <v>0</v>
      </c>
      <c r="Q70" s="218">
        <f>IF(K70=0, 0, (HLOOKUP(K70,'[1]E-CESTD'!$A$5:$O$35,J70+1,FALSE)*R20))</f>
        <v>0</v>
      </c>
      <c r="R70" s="292">
        <v>1.081</v>
      </c>
      <c r="S70" s="293">
        <f t="shared" si="10"/>
        <v>0</v>
      </c>
      <c r="T70" s="293">
        <f t="shared" si="10"/>
        <v>0</v>
      </c>
      <c r="U70" s="293">
        <f t="shared" si="10"/>
        <v>0</v>
      </c>
      <c r="V70" s="294" t="e">
        <f t="shared" si="15"/>
        <v>#DIV/0!</v>
      </c>
      <c r="W70" s="294" t="e">
        <f t="shared" si="11"/>
        <v>#DIV/0!</v>
      </c>
      <c r="X70" s="294" t="e">
        <f t="shared" si="16"/>
        <v>#DIV/0!</v>
      </c>
    </row>
    <row r="71" spans="2:24" ht="13.8" x14ac:dyDescent="0.3">
      <c r="B71" s="296"/>
      <c r="C71" s="296" t="s">
        <v>219</v>
      </c>
      <c r="D71" s="296">
        <v>0</v>
      </c>
      <c r="E71" s="296" t="s">
        <v>206</v>
      </c>
      <c r="F71" s="296" t="s">
        <v>211</v>
      </c>
      <c r="G71" s="297"/>
      <c r="H71" s="297"/>
      <c r="I71" s="298">
        <v>0</v>
      </c>
      <c r="J71" s="267"/>
      <c r="K71" s="267"/>
      <c r="L71" s="291" t="e">
        <f t="shared" si="12"/>
        <v>#DIV/0!</v>
      </c>
      <c r="M71" s="291" t="e">
        <f t="shared" si="12"/>
        <v>#DIV/0!</v>
      </c>
      <c r="N71" s="218">
        <f t="shared" si="13"/>
        <v>0</v>
      </c>
      <c r="O71" s="218">
        <f t="shared" si="14"/>
        <v>0</v>
      </c>
      <c r="P71" s="218">
        <f>IF(K71=0, 0, (HLOOKUP(K71,'[1]E-CESTDWO'!$A$5:$O$35,J71+1,FALSE)*R21))</f>
        <v>0</v>
      </c>
      <c r="Q71" s="218">
        <f>IF(K71=0, 0, (HLOOKUP(K71,'[1]E-CESTD'!$A$5:$O$35,J71+1,FALSE)*R21))</f>
        <v>0</v>
      </c>
      <c r="R71" s="292">
        <v>1.081</v>
      </c>
      <c r="S71" s="293">
        <f t="shared" si="10"/>
        <v>0</v>
      </c>
      <c r="T71" s="293">
        <f t="shared" si="10"/>
        <v>0</v>
      </c>
      <c r="U71" s="293">
        <f t="shared" si="10"/>
        <v>0</v>
      </c>
      <c r="V71" s="294" t="e">
        <f t="shared" si="15"/>
        <v>#DIV/0!</v>
      </c>
      <c r="W71" s="294" t="e">
        <f t="shared" si="11"/>
        <v>#DIV/0!</v>
      </c>
      <c r="X71" s="294" t="e">
        <f t="shared" si="16"/>
        <v>#DIV/0!</v>
      </c>
    </row>
    <row r="72" spans="2:24" ht="13.8" x14ac:dyDescent="0.3">
      <c r="B72" s="296"/>
      <c r="C72" s="296" t="s">
        <v>220</v>
      </c>
      <c r="D72" s="296">
        <v>0</v>
      </c>
      <c r="E72" s="296" t="s">
        <v>206</v>
      </c>
      <c r="F72" s="296" t="s">
        <v>211</v>
      </c>
      <c r="G72" s="297"/>
      <c r="H72" s="297"/>
      <c r="I72" s="298">
        <v>0</v>
      </c>
      <c r="J72" s="267"/>
      <c r="K72" s="267"/>
      <c r="L72" s="291" t="e">
        <f t="shared" si="12"/>
        <v>#DIV/0!</v>
      </c>
      <c r="M72" s="291" t="e">
        <f t="shared" si="12"/>
        <v>#DIV/0!</v>
      </c>
      <c r="N72" s="218">
        <f t="shared" si="13"/>
        <v>0</v>
      </c>
      <c r="O72" s="218">
        <f t="shared" si="14"/>
        <v>0</v>
      </c>
      <c r="P72" s="218">
        <f>IF(K72=0, 0, (HLOOKUP(K72,'[1]E-CESTDWO'!$A$5:$O$35,J72+1,FALSE)*R22))</f>
        <v>0</v>
      </c>
      <c r="Q72" s="218">
        <f>IF(K72=0, 0, (HLOOKUP(K72,'[1]E-CESTD'!$A$5:$O$35,J72+1,FALSE)*R22))</f>
        <v>0</v>
      </c>
      <c r="R72" s="292">
        <v>1.081</v>
      </c>
      <c r="S72" s="293">
        <f t="shared" si="10"/>
        <v>0</v>
      </c>
      <c r="T72" s="293">
        <f t="shared" si="10"/>
        <v>0</v>
      </c>
      <c r="U72" s="293">
        <f t="shared" si="10"/>
        <v>0</v>
      </c>
      <c r="V72" s="294" t="e">
        <f t="shared" si="15"/>
        <v>#DIV/0!</v>
      </c>
      <c r="W72" s="294" t="e">
        <f t="shared" si="11"/>
        <v>#DIV/0!</v>
      </c>
      <c r="X72" s="294" t="e">
        <f t="shared" si="16"/>
        <v>#DIV/0!</v>
      </c>
    </row>
    <row r="73" spans="2:24" ht="13.8" x14ac:dyDescent="0.3">
      <c r="B73" s="296"/>
      <c r="C73" s="296" t="s">
        <v>221</v>
      </c>
      <c r="D73" s="296">
        <v>0</v>
      </c>
      <c r="E73" s="296" t="s">
        <v>206</v>
      </c>
      <c r="F73" s="296" t="s">
        <v>211</v>
      </c>
      <c r="G73" s="297"/>
      <c r="H73" s="297"/>
      <c r="I73" s="298">
        <v>0</v>
      </c>
      <c r="J73" s="267"/>
      <c r="K73" s="267"/>
      <c r="L73" s="291" t="e">
        <f t="shared" si="12"/>
        <v>#DIV/0!</v>
      </c>
      <c r="M73" s="291" t="e">
        <f t="shared" si="12"/>
        <v>#DIV/0!</v>
      </c>
      <c r="N73" s="218">
        <f t="shared" si="13"/>
        <v>0</v>
      </c>
      <c r="O73" s="218">
        <f t="shared" si="14"/>
        <v>0</v>
      </c>
      <c r="P73" s="218">
        <f>IF(K73=0, 0, (HLOOKUP(K73,'[1]E-CESTDWO'!$A$5:$O$35,J73+1,FALSE)*R23))</f>
        <v>0</v>
      </c>
      <c r="Q73" s="218">
        <f>IF(K73=0, 0, (HLOOKUP(K73,'[1]E-CESTD'!$A$5:$O$35,J73+1,FALSE)*R23))</f>
        <v>0</v>
      </c>
      <c r="R73" s="292">
        <v>1.081</v>
      </c>
      <c r="S73" s="293">
        <f t="shared" si="10"/>
        <v>0</v>
      </c>
      <c r="T73" s="293">
        <f t="shared" si="10"/>
        <v>0</v>
      </c>
      <c r="U73" s="293">
        <f t="shared" si="10"/>
        <v>0</v>
      </c>
      <c r="V73" s="294" t="e">
        <f t="shared" si="15"/>
        <v>#DIV/0!</v>
      </c>
      <c r="W73" s="294" t="e">
        <f t="shared" si="11"/>
        <v>#DIV/0!</v>
      </c>
      <c r="X73" s="294" t="e">
        <f t="shared" si="16"/>
        <v>#DIV/0!</v>
      </c>
    </row>
    <row r="74" spans="2:24" ht="13.8" x14ac:dyDescent="0.3">
      <c r="B74" s="296"/>
      <c r="C74" s="296" t="s">
        <v>222</v>
      </c>
      <c r="D74" s="296">
        <v>0</v>
      </c>
      <c r="E74" s="296" t="s">
        <v>206</v>
      </c>
      <c r="F74" s="296" t="s">
        <v>211</v>
      </c>
      <c r="G74" s="297"/>
      <c r="H74" s="297"/>
      <c r="I74" s="298">
        <v>0</v>
      </c>
      <c r="J74" s="267"/>
      <c r="K74" s="267"/>
      <c r="L74" s="291" t="e">
        <f t="shared" si="12"/>
        <v>#DIV/0!</v>
      </c>
      <c r="M74" s="291" t="e">
        <f t="shared" si="12"/>
        <v>#DIV/0!</v>
      </c>
      <c r="N74" s="218">
        <f t="shared" si="13"/>
        <v>0</v>
      </c>
      <c r="O74" s="218">
        <f t="shared" si="14"/>
        <v>0</v>
      </c>
      <c r="P74" s="218">
        <f>IF(K74=0, 0, (HLOOKUP(K74,'[1]E-CESTDWO'!$A$5:$O$35,J74+1,FALSE)*R24))</f>
        <v>0</v>
      </c>
      <c r="Q74" s="218">
        <f>IF(K74=0, 0, (HLOOKUP(K74,'[1]E-CESTD'!$A$5:$O$35,J74+1,FALSE)*R24))</f>
        <v>0</v>
      </c>
      <c r="R74" s="292">
        <v>1.081</v>
      </c>
      <c r="S74" s="293">
        <f t="shared" si="10"/>
        <v>0</v>
      </c>
      <c r="T74" s="293">
        <f t="shared" si="10"/>
        <v>0</v>
      </c>
      <c r="U74" s="293">
        <f t="shared" si="10"/>
        <v>0</v>
      </c>
      <c r="V74" s="294" t="e">
        <f t="shared" si="15"/>
        <v>#DIV/0!</v>
      </c>
      <c r="W74" s="294" t="e">
        <f t="shared" si="11"/>
        <v>#DIV/0!</v>
      </c>
      <c r="X74" s="294" t="e">
        <f t="shared" si="16"/>
        <v>#DIV/0!</v>
      </c>
    </row>
    <row r="75" spans="2:24" ht="13.8" x14ac:dyDescent="0.3">
      <c r="B75" s="296"/>
      <c r="C75" s="296" t="s">
        <v>223</v>
      </c>
      <c r="D75" s="296">
        <v>0</v>
      </c>
      <c r="E75" s="296" t="s">
        <v>206</v>
      </c>
      <c r="F75" s="296" t="s">
        <v>211</v>
      </c>
      <c r="G75" s="297"/>
      <c r="H75" s="297"/>
      <c r="I75" s="298">
        <v>0</v>
      </c>
      <c r="J75" s="267"/>
      <c r="K75" s="267"/>
      <c r="L75" s="291" t="e">
        <f t="shared" si="12"/>
        <v>#DIV/0!</v>
      </c>
      <c r="M75" s="291" t="e">
        <f t="shared" si="12"/>
        <v>#DIV/0!</v>
      </c>
      <c r="N75" s="218">
        <f t="shared" si="13"/>
        <v>0</v>
      </c>
      <c r="O75" s="218">
        <f t="shared" si="14"/>
        <v>0</v>
      </c>
      <c r="P75" s="218">
        <f>IF(K75=0, 0, (HLOOKUP(K75,'[1]E-CESTDWO'!$A$5:$O$35,J75+1,FALSE)*R25))</f>
        <v>0</v>
      </c>
      <c r="Q75" s="218">
        <f>IF(K75=0, 0, (HLOOKUP(K75,'[1]E-CESTD'!$A$5:$O$35,J75+1,FALSE)*R25))</f>
        <v>0</v>
      </c>
      <c r="R75" s="292">
        <v>1.081</v>
      </c>
      <c r="S75" s="293">
        <f t="shared" si="10"/>
        <v>0</v>
      </c>
      <c r="T75" s="293">
        <f t="shared" si="10"/>
        <v>0</v>
      </c>
      <c r="U75" s="293">
        <f t="shared" si="10"/>
        <v>0</v>
      </c>
      <c r="V75" s="294" t="e">
        <f t="shared" si="15"/>
        <v>#DIV/0!</v>
      </c>
      <c r="W75" s="294" t="e">
        <f t="shared" si="11"/>
        <v>#DIV/0!</v>
      </c>
      <c r="X75" s="294" t="e">
        <f t="shared" si="16"/>
        <v>#DIV/0!</v>
      </c>
    </row>
    <row r="76" spans="2:24" ht="13.8" x14ac:dyDescent="0.3">
      <c r="B76" s="296"/>
      <c r="C76" s="296" t="s">
        <v>224</v>
      </c>
      <c r="D76" s="296">
        <v>0</v>
      </c>
      <c r="E76" s="296" t="s">
        <v>206</v>
      </c>
      <c r="F76" s="296" t="s">
        <v>211</v>
      </c>
      <c r="G76" s="297"/>
      <c r="H76" s="297"/>
      <c r="I76" s="298">
        <v>0</v>
      </c>
      <c r="J76" s="267"/>
      <c r="K76" s="267"/>
      <c r="L76" s="291" t="e">
        <f t="shared" si="12"/>
        <v>#DIV/0!</v>
      </c>
      <c r="M76" s="291" t="e">
        <f t="shared" si="12"/>
        <v>#DIV/0!</v>
      </c>
      <c r="N76" s="218">
        <f t="shared" si="13"/>
        <v>0</v>
      </c>
      <c r="O76" s="218">
        <f t="shared" si="14"/>
        <v>0</v>
      </c>
      <c r="P76" s="218">
        <f>IF(K76=0, 0, (HLOOKUP(K76,'[1]E-CESTDWO'!$A$5:$O$35,J76+1,FALSE)*R26))</f>
        <v>0</v>
      </c>
      <c r="Q76" s="218">
        <f>IF(K76=0, 0, (HLOOKUP(K76,'[1]E-CESTD'!$A$5:$O$35,J76+1,FALSE)*R26))</f>
        <v>0</v>
      </c>
      <c r="R76" s="292">
        <v>1.081</v>
      </c>
      <c r="S76" s="293">
        <f t="shared" si="10"/>
        <v>0</v>
      </c>
      <c r="T76" s="293">
        <f t="shared" si="10"/>
        <v>0</v>
      </c>
      <c r="U76" s="293">
        <f t="shared" si="10"/>
        <v>0</v>
      </c>
      <c r="V76" s="294" t="e">
        <f t="shared" si="15"/>
        <v>#DIV/0!</v>
      </c>
      <c r="W76" s="294" t="e">
        <f t="shared" si="11"/>
        <v>#DIV/0!</v>
      </c>
      <c r="X76" s="294" t="e">
        <f t="shared" si="16"/>
        <v>#DIV/0!</v>
      </c>
    </row>
    <row r="77" spans="2:24" ht="13.8" x14ac:dyDescent="0.3">
      <c r="B77" s="296"/>
      <c r="C77" s="296" t="s">
        <v>225</v>
      </c>
      <c r="D77" s="296">
        <v>0</v>
      </c>
      <c r="E77" s="296" t="s">
        <v>206</v>
      </c>
      <c r="F77" s="296" t="s">
        <v>211</v>
      </c>
      <c r="G77" s="297"/>
      <c r="H77" s="297"/>
      <c r="I77" s="298">
        <v>0</v>
      </c>
      <c r="J77" s="267"/>
      <c r="K77" s="267"/>
      <c r="L77" s="291" t="e">
        <f t="shared" si="12"/>
        <v>#DIV/0!</v>
      </c>
      <c r="M77" s="291" t="e">
        <f t="shared" si="12"/>
        <v>#DIV/0!</v>
      </c>
      <c r="N77" s="218">
        <f t="shared" si="13"/>
        <v>0</v>
      </c>
      <c r="O77" s="218">
        <f t="shared" si="14"/>
        <v>0</v>
      </c>
      <c r="P77" s="218">
        <f>IF(K77=0, 0, (HLOOKUP(K77,'[1]E-CESTDWO'!$A$5:$O$35,J77+1,FALSE)*R27))</f>
        <v>0</v>
      </c>
      <c r="Q77" s="218">
        <f>IF(K77=0, 0, (HLOOKUP(K77,'[1]E-CESTD'!$A$5:$O$35,J77+1,FALSE)*R27))</f>
        <v>0</v>
      </c>
      <c r="R77" s="292">
        <v>1.081</v>
      </c>
      <c r="S77" s="293">
        <f t="shared" si="10"/>
        <v>0</v>
      </c>
      <c r="T77" s="293">
        <f t="shared" si="10"/>
        <v>0</v>
      </c>
      <c r="U77" s="293">
        <f t="shared" si="10"/>
        <v>0</v>
      </c>
      <c r="V77" s="294" t="e">
        <f t="shared" si="15"/>
        <v>#DIV/0!</v>
      </c>
      <c r="W77" s="294" t="e">
        <f t="shared" si="11"/>
        <v>#DIV/0!</v>
      </c>
      <c r="X77" s="294" t="e">
        <f t="shared" si="16"/>
        <v>#DIV/0!</v>
      </c>
    </row>
    <row r="78" spans="2:24" ht="13.8" x14ac:dyDescent="0.3">
      <c r="B78" s="296"/>
      <c r="C78" s="296" t="s">
        <v>226</v>
      </c>
      <c r="D78" s="296">
        <v>0</v>
      </c>
      <c r="E78" s="296" t="s">
        <v>206</v>
      </c>
      <c r="F78" s="296" t="s">
        <v>211</v>
      </c>
      <c r="G78" s="297"/>
      <c r="H78" s="297"/>
      <c r="I78" s="298">
        <v>0</v>
      </c>
      <c r="J78" s="267"/>
      <c r="K78" s="267"/>
      <c r="L78" s="291" t="e">
        <f t="shared" si="12"/>
        <v>#DIV/0!</v>
      </c>
      <c r="M78" s="291" t="e">
        <f t="shared" si="12"/>
        <v>#DIV/0!</v>
      </c>
      <c r="N78" s="218">
        <f t="shared" si="13"/>
        <v>0</v>
      </c>
      <c r="O78" s="218">
        <f t="shared" si="14"/>
        <v>0</v>
      </c>
      <c r="P78" s="218">
        <f>IF(K78=0, 0, (HLOOKUP(K78,'[1]E-CESTDWO'!$A$5:$O$35,J78+1,FALSE)*R28))</f>
        <v>0</v>
      </c>
      <c r="Q78" s="218">
        <f>IF(K78=0, 0, (HLOOKUP(K78,'[1]E-CESTD'!$A$5:$O$35,J78+1,FALSE)*R28))</f>
        <v>0</v>
      </c>
      <c r="R78" s="292">
        <v>1.081</v>
      </c>
      <c r="S78" s="293">
        <f t="shared" ref="S78:U103" si="17">M28*$H78</f>
        <v>0</v>
      </c>
      <c r="T78" s="293">
        <f t="shared" si="17"/>
        <v>0</v>
      </c>
      <c r="U78" s="293">
        <f t="shared" si="17"/>
        <v>0</v>
      </c>
      <c r="V78" s="294" t="e">
        <f t="shared" si="15"/>
        <v>#DIV/0!</v>
      </c>
      <c r="W78" s="294" t="e">
        <f t="shared" si="11"/>
        <v>#DIV/0!</v>
      </c>
      <c r="X78" s="294" t="e">
        <f t="shared" si="16"/>
        <v>#DIV/0!</v>
      </c>
    </row>
    <row r="79" spans="2:24" ht="13.8" x14ac:dyDescent="0.3">
      <c r="B79" s="296"/>
      <c r="C79" s="296" t="s">
        <v>227</v>
      </c>
      <c r="D79" s="296">
        <v>0</v>
      </c>
      <c r="E79" s="296" t="s">
        <v>206</v>
      </c>
      <c r="F79" s="296" t="s">
        <v>211</v>
      </c>
      <c r="G79" s="297"/>
      <c r="H79" s="297"/>
      <c r="I79" s="298">
        <v>0</v>
      </c>
      <c r="J79" s="267"/>
      <c r="K79" s="267"/>
      <c r="L79" s="291" t="e">
        <f t="shared" si="12"/>
        <v>#DIV/0!</v>
      </c>
      <c r="M79" s="291" t="e">
        <f t="shared" si="12"/>
        <v>#DIV/0!</v>
      </c>
      <c r="N79" s="218">
        <f t="shared" si="13"/>
        <v>0</v>
      </c>
      <c r="O79" s="218">
        <f t="shared" si="14"/>
        <v>0</v>
      </c>
      <c r="P79" s="218">
        <f>IF(K79=0, 0, (HLOOKUP(K79,'[1]E-CESTDWO'!$A$5:$O$35,J79+1,FALSE)*R29))</f>
        <v>0</v>
      </c>
      <c r="Q79" s="218">
        <f>IF(K79=0, 0, (HLOOKUP(K79,'[1]E-CESTD'!$A$5:$O$35,J79+1,FALSE)*R29))</f>
        <v>0</v>
      </c>
      <c r="R79" s="292">
        <v>1.081</v>
      </c>
      <c r="S79" s="293">
        <f t="shared" si="17"/>
        <v>0</v>
      </c>
      <c r="T79" s="293">
        <f t="shared" si="17"/>
        <v>0</v>
      </c>
      <c r="U79" s="293">
        <f t="shared" si="17"/>
        <v>0</v>
      </c>
      <c r="V79" s="294" t="e">
        <f t="shared" si="15"/>
        <v>#DIV/0!</v>
      </c>
      <c r="W79" s="294" t="e">
        <f t="shared" si="11"/>
        <v>#DIV/0!</v>
      </c>
      <c r="X79" s="294" t="e">
        <f t="shared" si="16"/>
        <v>#DIV/0!</v>
      </c>
    </row>
    <row r="80" spans="2:24" ht="13.8" x14ac:dyDescent="0.3">
      <c r="B80" s="296"/>
      <c r="C80" s="296" t="s">
        <v>228</v>
      </c>
      <c r="D80" s="296">
        <v>0</v>
      </c>
      <c r="E80" s="296" t="s">
        <v>206</v>
      </c>
      <c r="F80" s="296" t="s">
        <v>211</v>
      </c>
      <c r="G80" s="297"/>
      <c r="H80" s="297"/>
      <c r="I80" s="298">
        <v>0</v>
      </c>
      <c r="J80" s="267"/>
      <c r="K80" s="267"/>
      <c r="L80" s="291" t="e">
        <f t="shared" si="12"/>
        <v>#DIV/0!</v>
      </c>
      <c r="M80" s="291" t="e">
        <f t="shared" si="12"/>
        <v>#DIV/0!</v>
      </c>
      <c r="N80" s="218">
        <f t="shared" si="13"/>
        <v>0</v>
      </c>
      <c r="O80" s="218">
        <f t="shared" si="14"/>
        <v>0</v>
      </c>
      <c r="P80" s="218">
        <f>IF(K80=0, 0, (HLOOKUP(K80,'[1]E-CESTDWO'!$A$5:$O$35,J80+1,FALSE)*R30))</f>
        <v>0</v>
      </c>
      <c r="Q80" s="218">
        <f>IF(K80=0, 0, (HLOOKUP(K80,'[1]E-CESTD'!$A$5:$O$35,J80+1,FALSE)*R30))</f>
        <v>0</v>
      </c>
      <c r="R80" s="292">
        <v>1.081</v>
      </c>
      <c r="S80" s="293">
        <f t="shared" si="17"/>
        <v>0</v>
      </c>
      <c r="T80" s="293">
        <f t="shared" si="17"/>
        <v>0</v>
      </c>
      <c r="U80" s="293">
        <f t="shared" si="17"/>
        <v>0</v>
      </c>
      <c r="V80" s="294" t="e">
        <f t="shared" si="15"/>
        <v>#DIV/0!</v>
      </c>
      <c r="W80" s="294" t="e">
        <f t="shared" si="11"/>
        <v>#DIV/0!</v>
      </c>
      <c r="X80" s="294" t="e">
        <f t="shared" si="16"/>
        <v>#DIV/0!</v>
      </c>
    </row>
    <row r="81" spans="2:21" ht="13.8" x14ac:dyDescent="0.3">
      <c r="B81" s="296"/>
      <c r="C81" s="296" t="s">
        <v>229</v>
      </c>
      <c r="D81" s="296">
        <v>0</v>
      </c>
      <c r="E81" s="296" t="s">
        <v>206</v>
      </c>
      <c r="F81" s="296" t="s">
        <v>211</v>
      </c>
      <c r="G81" s="297"/>
      <c r="H81" s="297"/>
      <c r="I81" s="298">
        <v>0</v>
      </c>
      <c r="J81" s="267"/>
      <c r="K81" s="267"/>
      <c r="L81" s="291" t="e">
        <f t="shared" si="12"/>
        <v>#DIV/0!</v>
      </c>
      <c r="M81" s="291" t="e">
        <f t="shared" si="12"/>
        <v>#DIV/0!</v>
      </c>
      <c r="N81" s="218">
        <f t="shared" si="13"/>
        <v>0</v>
      </c>
      <c r="O81" s="218">
        <f t="shared" si="14"/>
        <v>0</v>
      </c>
      <c r="P81" s="218">
        <f>IF(K81=0, 0, (HLOOKUP(K81,'[1]E-CESTDWO'!$A$5:$O$35,J81+1,FALSE)*R31))</f>
        <v>0</v>
      </c>
      <c r="Q81" s="218">
        <f>IF(K81=0, 0, (HLOOKUP(K81,'[1]E-CESTD'!$A$5:$O$35,J81+1,FALSE)*R31))</f>
        <v>0</v>
      </c>
      <c r="R81" s="292">
        <v>1.081</v>
      </c>
      <c r="S81" s="293">
        <f t="shared" si="17"/>
        <v>0</v>
      </c>
      <c r="T81" s="293">
        <f t="shared" si="17"/>
        <v>0</v>
      </c>
      <c r="U81" s="293">
        <f t="shared" si="17"/>
        <v>0</v>
      </c>
    </row>
    <row r="82" spans="2:21" ht="13.8" x14ac:dyDescent="0.3">
      <c r="B82" s="296"/>
      <c r="C82" s="296" t="s">
        <v>230</v>
      </c>
      <c r="D82" s="299">
        <v>0</v>
      </c>
      <c r="E82" s="296" t="s">
        <v>206</v>
      </c>
      <c r="F82" s="296" t="s">
        <v>211</v>
      </c>
      <c r="G82" s="297"/>
      <c r="H82" s="297"/>
      <c r="I82" s="298">
        <v>0</v>
      </c>
      <c r="J82" s="267"/>
      <c r="K82" s="267"/>
      <c r="L82" s="291" t="e">
        <f t="shared" si="12"/>
        <v>#DIV/0!</v>
      </c>
      <c r="M82" s="291" t="e">
        <f t="shared" si="12"/>
        <v>#DIV/0!</v>
      </c>
      <c r="N82" s="218">
        <f t="shared" si="13"/>
        <v>0</v>
      </c>
      <c r="O82" s="218">
        <f t="shared" si="14"/>
        <v>0</v>
      </c>
      <c r="P82" s="218">
        <f>IF(K82=0, 0, (HLOOKUP(K82,'[1]E-CESTDWO'!$A$5:$O$35,J82+1,FALSE)*R32))</f>
        <v>0</v>
      </c>
      <c r="Q82" s="218">
        <f>IF(K82=0, 0, (HLOOKUP(K82,'[1]E-CESTD'!$A$5:$O$35,J82+1,FALSE)*R32))</f>
        <v>0</v>
      </c>
      <c r="R82" s="292">
        <v>1.081</v>
      </c>
      <c r="S82" s="293">
        <f t="shared" si="17"/>
        <v>0</v>
      </c>
      <c r="T82" s="293">
        <f t="shared" si="17"/>
        <v>0</v>
      </c>
      <c r="U82" s="293">
        <f t="shared" si="17"/>
        <v>0</v>
      </c>
    </row>
    <row r="83" spans="2:21" ht="13.8" x14ac:dyDescent="0.3">
      <c r="B83" s="296"/>
      <c r="C83" s="296" t="s">
        <v>231</v>
      </c>
      <c r="D83" s="299">
        <v>0</v>
      </c>
      <c r="E83" s="296" t="s">
        <v>206</v>
      </c>
      <c r="F83" s="296" t="s">
        <v>211</v>
      </c>
      <c r="G83" s="297"/>
      <c r="H83" s="297"/>
      <c r="I83" s="298">
        <v>0</v>
      </c>
      <c r="J83" s="267"/>
      <c r="K83" s="267"/>
      <c r="L83" s="291" t="e">
        <f t="shared" si="12"/>
        <v>#DIV/0!</v>
      </c>
      <c r="M83" s="291" t="e">
        <f t="shared" si="12"/>
        <v>#DIV/0!</v>
      </c>
      <c r="N83" s="218">
        <f t="shared" si="13"/>
        <v>0</v>
      </c>
      <c r="O83" s="218">
        <f t="shared" si="14"/>
        <v>0</v>
      </c>
      <c r="P83" s="218">
        <f>IF(K83=0, 0, (HLOOKUP(K83,'[1]E-CESTDWO'!$A$5:$O$35,J83+1,FALSE)*R33))</f>
        <v>0</v>
      </c>
      <c r="Q83" s="218">
        <f>IF(K83=0, 0, (HLOOKUP(K83,'[1]E-CESTD'!$A$5:$O$35,J83+1,FALSE)*R33))</f>
        <v>0</v>
      </c>
      <c r="R83" s="292">
        <v>1.081</v>
      </c>
      <c r="S83" s="293">
        <f t="shared" si="17"/>
        <v>0</v>
      </c>
      <c r="T83" s="293">
        <f t="shared" si="17"/>
        <v>0</v>
      </c>
      <c r="U83" s="293">
        <f t="shared" si="17"/>
        <v>0</v>
      </c>
    </row>
    <row r="84" spans="2:21" ht="13.8" x14ac:dyDescent="0.3">
      <c r="B84" s="296"/>
      <c r="C84" s="296" t="s">
        <v>232</v>
      </c>
      <c r="D84" s="299">
        <v>0</v>
      </c>
      <c r="E84" s="296" t="s">
        <v>206</v>
      </c>
      <c r="F84" s="296" t="s">
        <v>211</v>
      </c>
      <c r="G84" s="297"/>
      <c r="H84" s="297"/>
      <c r="I84" s="298">
        <v>0</v>
      </c>
      <c r="J84" s="267"/>
      <c r="K84" s="267"/>
      <c r="L84" s="291" t="e">
        <f t="shared" si="12"/>
        <v>#DIV/0!</v>
      </c>
      <c r="M84" s="291" t="e">
        <f t="shared" si="12"/>
        <v>#DIV/0!</v>
      </c>
      <c r="N84" s="218">
        <f t="shared" si="13"/>
        <v>0</v>
      </c>
      <c r="O84" s="218">
        <f t="shared" si="14"/>
        <v>0</v>
      </c>
      <c r="P84" s="218">
        <f>IF(K84=0, 0, (HLOOKUP(K84,'[1]E-CESTDWO'!$A$5:$O$35,J84+1,FALSE)*R34))</f>
        <v>0</v>
      </c>
      <c r="Q84" s="218">
        <f>IF(K84=0, 0, (HLOOKUP(K84,'[1]E-CESTD'!$A$5:$O$35,J84+1,FALSE)*R34))</f>
        <v>0</v>
      </c>
      <c r="R84" s="292">
        <v>1.081</v>
      </c>
      <c r="S84" s="293">
        <f t="shared" si="17"/>
        <v>0</v>
      </c>
      <c r="T84" s="293">
        <f t="shared" si="17"/>
        <v>0</v>
      </c>
      <c r="U84" s="293">
        <f t="shared" si="17"/>
        <v>0</v>
      </c>
    </row>
    <row r="85" spans="2:21" ht="13.8" x14ac:dyDescent="0.3">
      <c r="B85" s="296"/>
      <c r="C85" s="296" t="s">
        <v>233</v>
      </c>
      <c r="D85" s="299">
        <v>0</v>
      </c>
      <c r="E85" s="296" t="s">
        <v>206</v>
      </c>
      <c r="F85" s="296" t="s">
        <v>211</v>
      </c>
      <c r="G85" s="297"/>
      <c r="H85" s="297"/>
      <c r="I85" s="298">
        <v>0</v>
      </c>
      <c r="J85" s="267"/>
      <c r="K85" s="267"/>
      <c r="L85" s="291" t="e">
        <f t="shared" si="12"/>
        <v>#DIV/0!</v>
      </c>
      <c r="M85" s="291" t="e">
        <f t="shared" si="12"/>
        <v>#DIV/0!</v>
      </c>
      <c r="N85" s="218">
        <f t="shared" si="13"/>
        <v>0</v>
      </c>
      <c r="O85" s="218">
        <f t="shared" si="14"/>
        <v>0</v>
      </c>
      <c r="P85" s="218">
        <f>IF(K85=0, 0, (HLOOKUP(K85,'[1]E-CESTDWO'!$A$5:$O$35,J85+1,FALSE)*R35))</f>
        <v>0</v>
      </c>
      <c r="Q85" s="218">
        <f>IF(K85=0, 0, (HLOOKUP(K85,'[1]E-CESTD'!$A$5:$O$35,J85+1,FALSE)*R35))</f>
        <v>0</v>
      </c>
      <c r="R85" s="292">
        <v>1.081</v>
      </c>
      <c r="S85" s="293">
        <f t="shared" si="17"/>
        <v>0</v>
      </c>
      <c r="T85" s="293">
        <f t="shared" si="17"/>
        <v>0</v>
      </c>
      <c r="U85" s="293">
        <f t="shared" si="17"/>
        <v>0</v>
      </c>
    </row>
    <row r="86" spans="2:21" ht="13.8" x14ac:dyDescent="0.3">
      <c r="B86" s="296"/>
      <c r="C86" s="296" t="s">
        <v>234</v>
      </c>
      <c r="D86" s="299">
        <v>0</v>
      </c>
      <c r="E86" s="296" t="s">
        <v>206</v>
      </c>
      <c r="F86" s="296" t="s">
        <v>211</v>
      </c>
      <c r="G86" s="297"/>
      <c r="H86" s="297"/>
      <c r="I86" s="298">
        <v>0</v>
      </c>
      <c r="J86" s="267"/>
      <c r="K86" s="267"/>
      <c r="L86" s="291" t="e">
        <f t="shared" si="12"/>
        <v>#DIV/0!</v>
      </c>
      <c r="M86" s="291" t="e">
        <f t="shared" si="12"/>
        <v>#DIV/0!</v>
      </c>
      <c r="N86" s="218">
        <f t="shared" si="13"/>
        <v>0</v>
      </c>
      <c r="O86" s="218">
        <f t="shared" si="14"/>
        <v>0</v>
      </c>
      <c r="P86" s="218">
        <f>IF(K86=0, 0, (HLOOKUP(K86,'[1]E-CESTDWO'!$A$5:$O$35,J86+1,FALSE)*R36))</f>
        <v>0</v>
      </c>
      <c r="Q86" s="218">
        <f>IF(K86=0, 0, (HLOOKUP(K86,'[1]E-CESTD'!$A$5:$O$35,J86+1,FALSE)*R36))</f>
        <v>0</v>
      </c>
      <c r="R86" s="292">
        <v>1.081</v>
      </c>
      <c r="S86" s="293">
        <f t="shared" si="17"/>
        <v>0</v>
      </c>
      <c r="T86" s="293">
        <f t="shared" si="17"/>
        <v>0</v>
      </c>
      <c r="U86" s="293">
        <f t="shared" si="17"/>
        <v>0</v>
      </c>
    </row>
    <row r="87" spans="2:21" ht="13.8" x14ac:dyDescent="0.3">
      <c r="B87" s="296"/>
      <c r="C87" s="296" t="s">
        <v>235</v>
      </c>
      <c r="D87" s="299">
        <v>0</v>
      </c>
      <c r="E87" s="296" t="s">
        <v>206</v>
      </c>
      <c r="F87" s="296" t="s">
        <v>211</v>
      </c>
      <c r="G87" s="297"/>
      <c r="H87" s="297"/>
      <c r="I87" s="298">
        <v>0</v>
      </c>
      <c r="J87" s="267"/>
      <c r="K87" s="267"/>
      <c r="L87" s="291" t="e">
        <f t="shared" si="12"/>
        <v>#DIV/0!</v>
      </c>
      <c r="M87" s="291" t="e">
        <f t="shared" si="12"/>
        <v>#DIV/0!</v>
      </c>
      <c r="N87" s="218">
        <f t="shared" si="13"/>
        <v>0</v>
      </c>
      <c r="O87" s="218">
        <f t="shared" si="14"/>
        <v>0</v>
      </c>
      <c r="P87" s="218">
        <f>IF(K87=0, 0, (HLOOKUP(K87,'[1]E-CESTDWO'!$A$5:$O$35,J87+1,FALSE)*R37))</f>
        <v>0</v>
      </c>
      <c r="Q87" s="218">
        <f>IF(K87=0, 0, (HLOOKUP(K87,'[1]E-CESTD'!$A$5:$O$35,J87+1,FALSE)*R37))</f>
        <v>0</v>
      </c>
      <c r="R87" s="292">
        <v>1.081</v>
      </c>
      <c r="S87" s="293">
        <f t="shared" si="17"/>
        <v>0</v>
      </c>
      <c r="T87" s="293">
        <f t="shared" si="17"/>
        <v>0</v>
      </c>
      <c r="U87" s="293">
        <f t="shared" si="17"/>
        <v>0</v>
      </c>
    </row>
    <row r="88" spans="2:21" ht="13.8" x14ac:dyDescent="0.3">
      <c r="B88" s="296"/>
      <c r="C88" s="296" t="s">
        <v>236</v>
      </c>
      <c r="D88" s="299">
        <v>0</v>
      </c>
      <c r="E88" s="296" t="s">
        <v>206</v>
      </c>
      <c r="F88" s="296" t="s">
        <v>211</v>
      </c>
      <c r="G88" s="297"/>
      <c r="H88" s="297"/>
      <c r="I88" s="298">
        <v>0</v>
      </c>
      <c r="J88" s="267"/>
      <c r="K88" s="267"/>
      <c r="L88" s="291" t="e">
        <f t="shared" si="12"/>
        <v>#DIV/0!</v>
      </c>
      <c r="M88" s="291" t="e">
        <f t="shared" si="12"/>
        <v>#DIV/0!</v>
      </c>
      <c r="N88" s="218">
        <f t="shared" si="13"/>
        <v>0</v>
      </c>
      <c r="O88" s="218">
        <f t="shared" si="14"/>
        <v>0</v>
      </c>
      <c r="P88" s="218">
        <f>IF(K88=0, 0, (HLOOKUP(K88,'[1]E-CESTDWO'!$A$5:$O$35,J88+1,FALSE)*R38))</f>
        <v>0</v>
      </c>
      <c r="Q88" s="218">
        <f>IF(K88=0, 0, (HLOOKUP(K88,'[1]E-CESTD'!$A$5:$O$35,J88+1,FALSE)*R38))</f>
        <v>0</v>
      </c>
      <c r="R88" s="292">
        <v>1.081</v>
      </c>
      <c r="S88" s="293">
        <f t="shared" si="17"/>
        <v>0</v>
      </c>
      <c r="T88" s="293">
        <f t="shared" si="17"/>
        <v>0</v>
      </c>
      <c r="U88" s="293">
        <f t="shared" si="17"/>
        <v>0</v>
      </c>
    </row>
    <row r="89" spans="2:21" ht="13.8" x14ac:dyDescent="0.3">
      <c r="B89" s="296"/>
      <c r="C89" s="296" t="s">
        <v>237</v>
      </c>
      <c r="D89" s="299">
        <v>0</v>
      </c>
      <c r="E89" s="296" t="s">
        <v>206</v>
      </c>
      <c r="F89" s="296" t="s">
        <v>211</v>
      </c>
      <c r="G89" s="297"/>
      <c r="H89" s="297"/>
      <c r="I89" s="298">
        <v>0</v>
      </c>
      <c r="J89" s="267"/>
      <c r="K89" s="267"/>
      <c r="L89" s="291" t="e">
        <f t="shared" si="12"/>
        <v>#DIV/0!</v>
      </c>
      <c r="M89" s="291" t="e">
        <f t="shared" si="12"/>
        <v>#DIV/0!</v>
      </c>
      <c r="N89" s="218">
        <f t="shared" si="13"/>
        <v>0</v>
      </c>
      <c r="O89" s="218">
        <f t="shared" si="14"/>
        <v>0</v>
      </c>
      <c r="P89" s="218">
        <f>IF(K89=0, 0, (HLOOKUP(K89,'[1]E-CESTDWO'!$A$5:$O$35,J89+1,FALSE)*R39))</f>
        <v>0</v>
      </c>
      <c r="Q89" s="218">
        <f>IF(K89=0, 0, (HLOOKUP(K89,'[1]E-CESTD'!$A$5:$O$35,J89+1,FALSE)*R39))</f>
        <v>0</v>
      </c>
      <c r="R89" s="292">
        <v>1.081</v>
      </c>
      <c r="S89" s="293">
        <f t="shared" si="17"/>
        <v>0</v>
      </c>
      <c r="T89" s="293">
        <f t="shared" si="17"/>
        <v>0</v>
      </c>
      <c r="U89" s="293">
        <f t="shared" si="17"/>
        <v>0</v>
      </c>
    </row>
    <row r="90" spans="2:21" ht="13.8" x14ac:dyDescent="0.3">
      <c r="B90" s="296"/>
      <c r="C90" s="296" t="s">
        <v>238</v>
      </c>
      <c r="D90" s="299">
        <v>0</v>
      </c>
      <c r="E90" s="296" t="s">
        <v>206</v>
      </c>
      <c r="F90" s="296" t="s">
        <v>211</v>
      </c>
      <c r="G90" s="297"/>
      <c r="H90" s="297"/>
      <c r="I90" s="298">
        <v>0</v>
      </c>
      <c r="J90" s="267"/>
      <c r="K90" s="267"/>
      <c r="L90" s="291" t="e">
        <f t="shared" si="12"/>
        <v>#DIV/0!</v>
      </c>
      <c r="M90" s="291" t="e">
        <f t="shared" si="12"/>
        <v>#DIV/0!</v>
      </c>
      <c r="N90" s="218">
        <f t="shared" si="13"/>
        <v>0</v>
      </c>
      <c r="O90" s="218">
        <f t="shared" si="14"/>
        <v>0</v>
      </c>
      <c r="P90" s="218">
        <f>IF(K90=0, 0, (HLOOKUP(K90,'[1]E-CESTDWO'!$A$5:$O$35,J90+1,FALSE)*R40))</f>
        <v>0</v>
      </c>
      <c r="Q90" s="218">
        <f>IF(K90=0, 0, (HLOOKUP(K90,'[1]E-CESTD'!$A$5:$O$35,J90+1,FALSE)*R40))</f>
        <v>0</v>
      </c>
      <c r="R90" s="292">
        <v>1.081</v>
      </c>
      <c r="S90" s="293">
        <f t="shared" si="17"/>
        <v>0</v>
      </c>
      <c r="T90" s="293">
        <f t="shared" si="17"/>
        <v>0</v>
      </c>
      <c r="U90" s="293">
        <f t="shared" si="17"/>
        <v>0</v>
      </c>
    </row>
    <row r="91" spans="2:21" ht="13.8" x14ac:dyDescent="0.3">
      <c r="B91" s="296"/>
      <c r="C91" s="296" t="s">
        <v>239</v>
      </c>
      <c r="D91" s="299">
        <v>0</v>
      </c>
      <c r="E91" s="296" t="s">
        <v>206</v>
      </c>
      <c r="F91" s="296" t="s">
        <v>211</v>
      </c>
      <c r="G91" s="297"/>
      <c r="H91" s="297"/>
      <c r="I91" s="298">
        <v>0</v>
      </c>
      <c r="J91" s="267"/>
      <c r="K91" s="267"/>
      <c r="L91" s="291" t="e">
        <f t="shared" si="12"/>
        <v>#DIV/0!</v>
      </c>
      <c r="M91" s="291" t="e">
        <f t="shared" si="12"/>
        <v>#DIV/0!</v>
      </c>
      <c r="N91" s="218">
        <f t="shared" si="13"/>
        <v>0</v>
      </c>
      <c r="O91" s="218">
        <f t="shared" si="14"/>
        <v>0</v>
      </c>
      <c r="P91" s="218">
        <f>IF(K91=0, 0, (HLOOKUP(K91,'[1]E-CESTDWO'!$A$5:$O$35,J91+1,FALSE)*R41))</f>
        <v>0</v>
      </c>
      <c r="Q91" s="218">
        <f>IF(K91=0, 0, (HLOOKUP(K91,'[1]E-CESTD'!$A$5:$O$35,J91+1,FALSE)*R41))</f>
        <v>0</v>
      </c>
      <c r="R91" s="292">
        <v>1.081</v>
      </c>
      <c r="S91" s="293">
        <f t="shared" si="17"/>
        <v>0</v>
      </c>
      <c r="T91" s="293">
        <f t="shared" si="17"/>
        <v>0</v>
      </c>
      <c r="U91" s="293">
        <f t="shared" si="17"/>
        <v>0</v>
      </c>
    </row>
    <row r="92" spans="2:21" ht="13.8" x14ac:dyDescent="0.3">
      <c r="B92" s="296"/>
      <c r="C92" s="296" t="s">
        <v>240</v>
      </c>
      <c r="D92" s="299">
        <v>0</v>
      </c>
      <c r="E92" s="296" t="s">
        <v>206</v>
      </c>
      <c r="F92" s="296" t="s">
        <v>211</v>
      </c>
      <c r="G92" s="297"/>
      <c r="H92" s="297"/>
      <c r="I92" s="298">
        <v>0</v>
      </c>
      <c r="J92" s="267"/>
      <c r="K92" s="267"/>
      <c r="L92" s="291" t="e">
        <f t="shared" si="12"/>
        <v>#DIV/0!</v>
      </c>
      <c r="M92" s="291" t="e">
        <f t="shared" si="12"/>
        <v>#DIV/0!</v>
      </c>
      <c r="N92" s="218">
        <f t="shared" si="13"/>
        <v>0</v>
      </c>
      <c r="O92" s="218">
        <f t="shared" si="14"/>
        <v>0</v>
      </c>
      <c r="P92" s="218">
        <f>IF(K92=0, 0, (HLOOKUP(K92,'[1]E-CESTDWO'!$A$5:$O$35,J92+1,FALSE)*R42))</f>
        <v>0</v>
      </c>
      <c r="Q92" s="218">
        <f>IF(K92=0, 0, (HLOOKUP(K92,'[1]E-CESTD'!$A$5:$O$35,J92+1,FALSE)*R42))</f>
        <v>0</v>
      </c>
      <c r="R92" s="292">
        <v>1.081</v>
      </c>
      <c r="S92" s="293">
        <f t="shared" si="17"/>
        <v>0</v>
      </c>
      <c r="T92" s="293">
        <f t="shared" si="17"/>
        <v>0</v>
      </c>
      <c r="U92" s="293">
        <f t="shared" si="17"/>
        <v>0</v>
      </c>
    </row>
    <row r="93" spans="2:21" ht="13.8" x14ac:dyDescent="0.3">
      <c r="B93" s="296"/>
      <c r="C93" s="296" t="s">
        <v>241</v>
      </c>
      <c r="D93" s="299">
        <v>0</v>
      </c>
      <c r="E93" s="296" t="s">
        <v>206</v>
      </c>
      <c r="F93" s="296" t="s">
        <v>211</v>
      </c>
      <c r="G93" s="297"/>
      <c r="H93" s="297"/>
      <c r="I93" s="298">
        <v>0</v>
      </c>
      <c r="J93" s="267"/>
      <c r="K93" s="267"/>
      <c r="L93" s="291" t="e">
        <f t="shared" si="12"/>
        <v>#DIV/0!</v>
      </c>
      <c r="M93" s="291" t="e">
        <f t="shared" si="12"/>
        <v>#DIV/0!</v>
      </c>
      <c r="N93" s="218">
        <f t="shared" si="13"/>
        <v>0</v>
      </c>
      <c r="O93" s="218">
        <f t="shared" si="14"/>
        <v>0</v>
      </c>
      <c r="P93" s="218">
        <f>IF(K93=0, 0, (HLOOKUP(K93,'[1]E-CESTDWO'!$A$5:$O$35,J93+1,FALSE)*R43))</f>
        <v>0</v>
      </c>
      <c r="Q93" s="218">
        <f>IF(K93=0, 0, (HLOOKUP(K93,'[1]E-CESTD'!$A$5:$O$35,J93+1,FALSE)*R43))</f>
        <v>0</v>
      </c>
      <c r="R93" s="292">
        <v>1.081</v>
      </c>
      <c r="S93" s="293">
        <f t="shared" si="17"/>
        <v>0</v>
      </c>
      <c r="T93" s="293">
        <f t="shared" si="17"/>
        <v>0</v>
      </c>
      <c r="U93" s="293">
        <f t="shared" si="17"/>
        <v>0</v>
      </c>
    </row>
    <row r="94" spans="2:21" ht="13.8" x14ac:dyDescent="0.3">
      <c r="B94" s="296"/>
      <c r="C94" s="296" t="s">
        <v>242</v>
      </c>
      <c r="D94" s="299">
        <v>0</v>
      </c>
      <c r="E94" s="296" t="s">
        <v>206</v>
      </c>
      <c r="F94" s="296" t="s">
        <v>211</v>
      </c>
      <c r="G94" s="297"/>
      <c r="H94" s="297"/>
      <c r="I94" s="298">
        <v>0</v>
      </c>
      <c r="J94" s="267"/>
      <c r="K94" s="267"/>
      <c r="L94" s="291" t="e">
        <f t="shared" si="12"/>
        <v>#DIV/0!</v>
      </c>
      <c r="M94" s="291" t="e">
        <f t="shared" si="12"/>
        <v>#DIV/0!</v>
      </c>
      <c r="N94" s="218">
        <f t="shared" si="13"/>
        <v>0</v>
      </c>
      <c r="O94" s="218">
        <f t="shared" si="14"/>
        <v>0</v>
      </c>
      <c r="P94" s="218">
        <f>IF(K94=0, 0, (HLOOKUP(K94,'[1]E-CESTDWO'!$A$5:$O$35,J94+1,FALSE)*R44))</f>
        <v>0</v>
      </c>
      <c r="Q94" s="218">
        <f>IF(K94=0, 0, (HLOOKUP(K94,'[1]E-CESTD'!$A$5:$O$35,J94+1,FALSE)*R44))</f>
        <v>0</v>
      </c>
      <c r="R94" s="292">
        <v>1.081</v>
      </c>
      <c r="S94" s="293">
        <f t="shared" si="17"/>
        <v>0</v>
      </c>
      <c r="T94" s="293">
        <f t="shared" si="17"/>
        <v>0</v>
      </c>
      <c r="U94" s="293">
        <f t="shared" si="17"/>
        <v>0</v>
      </c>
    </row>
    <row r="95" spans="2:21" ht="13.8" x14ac:dyDescent="0.3">
      <c r="B95" s="296"/>
      <c r="C95" s="296" t="s">
        <v>243</v>
      </c>
      <c r="D95" s="299">
        <v>0</v>
      </c>
      <c r="E95" s="296" t="s">
        <v>206</v>
      </c>
      <c r="F95" s="296" t="s">
        <v>211</v>
      </c>
      <c r="G95" s="297"/>
      <c r="H95" s="297"/>
      <c r="I95" s="298">
        <v>0</v>
      </c>
      <c r="J95" s="267"/>
      <c r="K95" s="267"/>
      <c r="L95" s="291" t="e">
        <f t="shared" si="12"/>
        <v>#DIV/0!</v>
      </c>
      <c r="M95" s="291" t="e">
        <f t="shared" si="12"/>
        <v>#DIV/0!</v>
      </c>
      <c r="N95" s="218">
        <f t="shared" si="13"/>
        <v>0</v>
      </c>
      <c r="O95" s="218">
        <f t="shared" si="14"/>
        <v>0</v>
      </c>
      <c r="P95" s="218">
        <f>IF(K95=0, 0, (HLOOKUP(K95,'[1]E-CESTDWO'!$A$5:$O$35,J95+1,FALSE)*R45))</f>
        <v>0</v>
      </c>
      <c r="Q95" s="218">
        <f>IF(K95=0, 0, (HLOOKUP(K95,'[1]E-CESTD'!$A$5:$O$35,J95+1,FALSE)*R45))</f>
        <v>0</v>
      </c>
      <c r="R95" s="292">
        <v>1.081</v>
      </c>
      <c r="S95" s="293">
        <f t="shared" si="17"/>
        <v>0</v>
      </c>
      <c r="T95" s="293">
        <f t="shared" si="17"/>
        <v>0</v>
      </c>
      <c r="U95" s="293">
        <f t="shared" si="17"/>
        <v>0</v>
      </c>
    </row>
    <row r="96" spans="2:21" ht="13.8" x14ac:dyDescent="0.3">
      <c r="B96" s="296"/>
      <c r="C96" s="296" t="s">
        <v>244</v>
      </c>
      <c r="D96" s="299">
        <v>0</v>
      </c>
      <c r="E96" s="296" t="s">
        <v>206</v>
      </c>
      <c r="F96" s="296" t="s">
        <v>211</v>
      </c>
      <c r="G96" s="297"/>
      <c r="H96" s="297"/>
      <c r="I96" s="298">
        <v>0</v>
      </c>
      <c r="J96" s="267"/>
      <c r="K96" s="267"/>
      <c r="L96" s="291" t="e">
        <f t="shared" si="12"/>
        <v>#DIV/0!</v>
      </c>
      <c r="M96" s="291" t="e">
        <f t="shared" si="12"/>
        <v>#DIV/0!</v>
      </c>
      <c r="N96" s="218">
        <f t="shared" si="13"/>
        <v>0</v>
      </c>
      <c r="O96" s="218">
        <f t="shared" si="14"/>
        <v>0</v>
      </c>
      <c r="P96" s="218">
        <f>IF(K96=0, 0, (HLOOKUP(K96,'[1]E-CESTDWO'!$A$5:$O$35,J96+1,FALSE)*R46))</f>
        <v>0</v>
      </c>
      <c r="Q96" s="218">
        <f>IF(K96=0, 0, (HLOOKUP(K96,'[1]E-CESTD'!$A$5:$O$35,J96+1,FALSE)*R46))</f>
        <v>0</v>
      </c>
      <c r="R96" s="292">
        <v>1.081</v>
      </c>
      <c r="S96" s="293">
        <f t="shared" si="17"/>
        <v>0</v>
      </c>
      <c r="T96" s="293">
        <f t="shared" si="17"/>
        <v>0</v>
      </c>
      <c r="U96" s="293">
        <f t="shared" si="17"/>
        <v>0</v>
      </c>
    </row>
    <row r="97" spans="2:21" ht="13.8" x14ac:dyDescent="0.3">
      <c r="B97" s="296"/>
      <c r="C97" s="296" t="s">
        <v>245</v>
      </c>
      <c r="D97" s="299">
        <v>0</v>
      </c>
      <c r="E97" s="296" t="s">
        <v>206</v>
      </c>
      <c r="F97" s="296" t="s">
        <v>211</v>
      </c>
      <c r="G97" s="297"/>
      <c r="H97" s="297"/>
      <c r="I97" s="298">
        <v>0</v>
      </c>
      <c r="J97" s="267"/>
      <c r="K97" s="267"/>
      <c r="L97" s="291" t="e">
        <f t="shared" si="12"/>
        <v>#DIV/0!</v>
      </c>
      <c r="M97" s="291" t="e">
        <f t="shared" si="12"/>
        <v>#DIV/0!</v>
      </c>
      <c r="N97" s="218">
        <f t="shared" si="13"/>
        <v>0</v>
      </c>
      <c r="O97" s="218">
        <f t="shared" si="14"/>
        <v>0</v>
      </c>
      <c r="P97" s="218">
        <f>IF(K97=0, 0, (HLOOKUP(K97,'[1]E-CESTDWO'!$A$5:$O$35,J97+1,FALSE)*R47))</f>
        <v>0</v>
      </c>
      <c r="Q97" s="218">
        <f>IF(K97=0, 0, (HLOOKUP(K97,'[1]E-CESTD'!$A$5:$O$35,J97+1,FALSE)*R47))</f>
        <v>0</v>
      </c>
      <c r="R97" s="292">
        <v>1.081</v>
      </c>
      <c r="S97" s="293">
        <f t="shared" si="17"/>
        <v>0</v>
      </c>
      <c r="T97" s="293">
        <f t="shared" si="17"/>
        <v>0</v>
      </c>
      <c r="U97" s="293">
        <f t="shared" si="17"/>
        <v>0</v>
      </c>
    </row>
    <row r="98" spans="2:21" ht="13.8" x14ac:dyDescent="0.3">
      <c r="B98" s="296"/>
      <c r="C98" s="296" t="s">
        <v>246</v>
      </c>
      <c r="D98" s="299">
        <v>0</v>
      </c>
      <c r="E98" s="296" t="s">
        <v>206</v>
      </c>
      <c r="F98" s="296" t="s">
        <v>211</v>
      </c>
      <c r="G98" s="297"/>
      <c r="H98" s="297"/>
      <c r="I98" s="298">
        <v>0</v>
      </c>
      <c r="J98" s="267"/>
      <c r="K98" s="267"/>
      <c r="L98" s="291" t="e">
        <f t="shared" si="12"/>
        <v>#DIV/0!</v>
      </c>
      <c r="M98" s="291" t="e">
        <f t="shared" si="12"/>
        <v>#DIV/0!</v>
      </c>
      <c r="N98" s="218">
        <f t="shared" si="13"/>
        <v>0</v>
      </c>
      <c r="O98" s="218">
        <f t="shared" si="14"/>
        <v>0</v>
      </c>
      <c r="P98" s="218">
        <f>IF(K98=0, 0, (HLOOKUP(K98,'[1]E-CESTDWO'!$A$5:$O$35,J98+1,FALSE)*R48))</f>
        <v>0</v>
      </c>
      <c r="Q98" s="218">
        <f>IF(K98=0, 0, (HLOOKUP(K98,'[1]E-CESTD'!$A$5:$O$35,J98+1,FALSE)*R48))</f>
        <v>0</v>
      </c>
      <c r="R98" s="292">
        <v>1.081</v>
      </c>
      <c r="S98" s="293">
        <f t="shared" si="17"/>
        <v>0</v>
      </c>
      <c r="T98" s="293">
        <f t="shared" si="17"/>
        <v>0</v>
      </c>
      <c r="U98" s="293">
        <f t="shared" si="17"/>
        <v>0</v>
      </c>
    </row>
    <row r="99" spans="2:21" ht="13.8" x14ac:dyDescent="0.3">
      <c r="B99" s="296"/>
      <c r="C99" s="296" t="s">
        <v>247</v>
      </c>
      <c r="D99" s="299">
        <v>0</v>
      </c>
      <c r="E99" s="296" t="s">
        <v>206</v>
      </c>
      <c r="F99" s="296" t="s">
        <v>211</v>
      </c>
      <c r="G99" s="297"/>
      <c r="H99" s="297"/>
      <c r="I99" s="298">
        <v>0</v>
      </c>
      <c r="J99" s="267"/>
      <c r="K99" s="267"/>
      <c r="L99" s="291" t="e">
        <f t="shared" si="12"/>
        <v>#DIV/0!</v>
      </c>
      <c r="M99" s="291" t="e">
        <f t="shared" si="12"/>
        <v>#DIV/0!</v>
      </c>
      <c r="N99" s="218">
        <f t="shared" si="13"/>
        <v>0</v>
      </c>
      <c r="O99" s="218">
        <f t="shared" si="14"/>
        <v>0</v>
      </c>
      <c r="P99" s="218">
        <f>IF(K99=0, 0, (HLOOKUP(K99,'[1]E-CESTDWO'!$A$5:$O$35,J99+1,FALSE)*R49))</f>
        <v>0</v>
      </c>
      <c r="Q99" s="218">
        <f>IF(K99=0, 0, (HLOOKUP(K99,'[1]E-CESTD'!$A$5:$O$35,J99+1,FALSE)*R49))</f>
        <v>0</v>
      </c>
      <c r="R99" s="292">
        <v>1.081</v>
      </c>
      <c r="S99" s="293">
        <f t="shared" si="17"/>
        <v>0</v>
      </c>
      <c r="T99" s="293">
        <f t="shared" si="17"/>
        <v>0</v>
      </c>
      <c r="U99" s="293">
        <f t="shared" si="17"/>
        <v>0</v>
      </c>
    </row>
    <row r="100" spans="2:21" ht="13.8" x14ac:dyDescent="0.3">
      <c r="B100" s="296"/>
      <c r="C100" s="296" t="s">
        <v>248</v>
      </c>
      <c r="D100" s="299">
        <v>0</v>
      </c>
      <c r="E100" s="296" t="s">
        <v>206</v>
      </c>
      <c r="F100" s="296" t="s">
        <v>211</v>
      </c>
      <c r="G100" s="297"/>
      <c r="H100" s="297"/>
      <c r="I100" s="298">
        <v>0</v>
      </c>
      <c r="J100" s="267"/>
      <c r="K100" s="267"/>
      <c r="L100" s="291" t="e">
        <f t="shared" si="12"/>
        <v>#DIV/0!</v>
      </c>
      <c r="M100" s="291" t="e">
        <f t="shared" si="12"/>
        <v>#DIV/0!</v>
      </c>
      <c r="N100" s="218">
        <f t="shared" si="13"/>
        <v>0</v>
      </c>
      <c r="O100" s="218">
        <f t="shared" si="14"/>
        <v>0</v>
      </c>
      <c r="P100" s="218">
        <f>IF(K100=0, 0, (HLOOKUP(K100,'[1]E-CESTDWO'!$A$5:$O$35,J100+1,FALSE)*R50))</f>
        <v>0</v>
      </c>
      <c r="Q100" s="218">
        <f>IF(K100=0, 0, (HLOOKUP(K100,'[1]E-CESTD'!$A$5:$O$35,J100+1,FALSE)*R50))</f>
        <v>0</v>
      </c>
      <c r="R100" s="292">
        <v>1.081</v>
      </c>
      <c r="S100" s="293">
        <f t="shared" si="17"/>
        <v>0</v>
      </c>
      <c r="T100" s="293">
        <f t="shared" si="17"/>
        <v>0</v>
      </c>
      <c r="U100" s="293">
        <f t="shared" si="17"/>
        <v>0</v>
      </c>
    </row>
    <row r="101" spans="2:21" ht="13.8" x14ac:dyDescent="0.3">
      <c r="B101" s="296"/>
      <c r="C101" s="296" t="s">
        <v>249</v>
      </c>
      <c r="D101" s="299">
        <v>0</v>
      </c>
      <c r="E101" s="296" t="s">
        <v>206</v>
      </c>
      <c r="F101" s="296" t="s">
        <v>211</v>
      </c>
      <c r="G101" s="297"/>
      <c r="H101" s="297"/>
      <c r="I101" s="298">
        <v>0</v>
      </c>
      <c r="J101" s="267"/>
      <c r="K101" s="267"/>
      <c r="L101" s="291" t="e">
        <f t="shared" si="12"/>
        <v>#DIV/0!</v>
      </c>
      <c r="M101" s="291" t="e">
        <f t="shared" si="12"/>
        <v>#DIV/0!</v>
      </c>
      <c r="N101" s="218">
        <f t="shared" si="13"/>
        <v>0</v>
      </c>
      <c r="O101" s="218">
        <f t="shared" si="14"/>
        <v>0</v>
      </c>
      <c r="P101" s="218">
        <f>IF(K101=0, 0, (HLOOKUP(K101,'[1]E-CESTDWO'!$A$5:$O$35,J101+1,FALSE)*R51))</f>
        <v>0</v>
      </c>
      <c r="Q101" s="218">
        <f>IF(K101=0, 0, (HLOOKUP(K101,'[1]E-CESTD'!$A$5:$O$35,J101+1,FALSE)*R51))</f>
        <v>0</v>
      </c>
      <c r="R101" s="292">
        <v>1.081</v>
      </c>
      <c r="S101" s="293">
        <f t="shared" si="17"/>
        <v>0</v>
      </c>
      <c r="T101" s="293">
        <f t="shared" si="17"/>
        <v>0</v>
      </c>
      <c r="U101" s="293">
        <f t="shared" si="17"/>
        <v>0</v>
      </c>
    </row>
    <row r="102" spans="2:21" ht="13.8" x14ac:dyDescent="0.3">
      <c r="B102" s="296"/>
      <c r="C102" s="296" t="s">
        <v>250</v>
      </c>
      <c r="D102" s="299">
        <v>0</v>
      </c>
      <c r="E102" s="296" t="s">
        <v>206</v>
      </c>
      <c r="F102" s="296" t="s">
        <v>211</v>
      </c>
      <c r="G102" s="297"/>
      <c r="H102" s="297"/>
      <c r="I102" s="298">
        <v>0</v>
      </c>
      <c r="J102" s="267"/>
      <c r="K102" s="267"/>
      <c r="L102" s="291" t="e">
        <f t="shared" si="12"/>
        <v>#DIV/0!</v>
      </c>
      <c r="M102" s="291" t="e">
        <f t="shared" si="12"/>
        <v>#DIV/0!</v>
      </c>
      <c r="N102" s="218">
        <f t="shared" si="13"/>
        <v>0</v>
      </c>
      <c r="O102" s="218">
        <f t="shared" si="14"/>
        <v>0</v>
      </c>
      <c r="P102" s="218">
        <f>IF(K102=0, 0, (HLOOKUP(K102,'[1]E-CESTDWO'!$A$5:$O$35,J102+1,FALSE)*R52))</f>
        <v>0</v>
      </c>
      <c r="Q102" s="218">
        <f>IF(K102=0, 0, (HLOOKUP(K102,'[1]E-CESTD'!$A$5:$O$35,J102+1,FALSE)*R52))</f>
        <v>0</v>
      </c>
      <c r="R102" s="292">
        <v>1.081</v>
      </c>
      <c r="S102" s="293">
        <f t="shared" si="17"/>
        <v>0</v>
      </c>
      <c r="T102" s="293">
        <f t="shared" si="17"/>
        <v>0</v>
      </c>
      <c r="U102" s="293">
        <f t="shared" si="17"/>
        <v>0</v>
      </c>
    </row>
    <row r="103" spans="2:21" ht="14.4" thickBot="1" x14ac:dyDescent="0.35">
      <c r="B103" s="296"/>
      <c r="C103" s="296" t="s">
        <v>251</v>
      </c>
      <c r="D103" s="299">
        <v>0</v>
      </c>
      <c r="E103" s="296" t="s">
        <v>206</v>
      </c>
      <c r="F103" s="296" t="s">
        <v>211</v>
      </c>
      <c r="G103" s="297"/>
      <c r="H103" s="297"/>
      <c r="I103" s="298">
        <v>0</v>
      </c>
      <c r="J103" s="267"/>
      <c r="K103" s="267"/>
      <c r="L103" s="291" t="e">
        <f t="shared" si="12"/>
        <v>#DIV/0!</v>
      </c>
      <c r="M103" s="291" t="e">
        <f t="shared" si="12"/>
        <v>#DIV/0!</v>
      </c>
      <c r="N103" s="218">
        <f t="shared" si="13"/>
        <v>0</v>
      </c>
      <c r="O103" s="218">
        <f t="shared" si="14"/>
        <v>0</v>
      </c>
      <c r="P103" s="218">
        <f>IF(K103=0, 0, (HLOOKUP(K103,'[1]E-CESTDWO'!$A$5:$O$35,J103+1,FALSE)*R53))</f>
        <v>0</v>
      </c>
      <c r="Q103" s="218">
        <f>IF(K103=0, 0, (HLOOKUP(K103,'[1]E-CESTD'!$A$5:$O$35,J103+1,FALSE)*R53))</f>
        <v>0</v>
      </c>
      <c r="R103" s="292">
        <v>1.081</v>
      </c>
      <c r="S103" s="293">
        <f t="shared" si="17"/>
        <v>0</v>
      </c>
      <c r="T103" s="293">
        <f t="shared" si="17"/>
        <v>0</v>
      </c>
      <c r="U103" s="293">
        <f t="shared" si="17"/>
        <v>0</v>
      </c>
    </row>
    <row r="104" spans="2:21" ht="14.4" thickBot="1" x14ac:dyDescent="0.35">
      <c r="G104" s="300">
        <f>SUMPRODUCT(G62:G103,O12:O53)</f>
        <v>637970</v>
      </c>
      <c r="H104" s="301">
        <f>U104</f>
        <v>444780</v>
      </c>
      <c r="I104" s="302">
        <f>SUM(I62:I103)</f>
        <v>0.995</v>
      </c>
      <c r="J104" s="303">
        <f>ROUND(SUMPRODUCT(J62:J103,R12:R53)/R54,0)</f>
        <v>15</v>
      </c>
      <c r="K104" s="274"/>
      <c r="L104" s="304">
        <f>P104/N104</f>
        <v>2.6659780096508898</v>
      </c>
      <c r="M104" s="305">
        <f>Q104/O104</f>
        <v>2.2506216010363786</v>
      </c>
      <c r="N104" s="311">
        <f>SUM(N62:N103)</f>
        <v>589801.96729694738</v>
      </c>
      <c r="O104" s="311">
        <f>SUM(O62:O103)</f>
        <v>768516.12085846451</v>
      </c>
      <c r="P104" s="311">
        <f>SUM(P62:P103)</f>
        <v>1572399.0748624951</v>
      </c>
      <c r="Q104" s="311">
        <f>SUM(Q62:Q103)</f>
        <v>1729638.9823487443</v>
      </c>
      <c r="R104" s="307"/>
      <c r="S104" s="308">
        <f>SUM(S62:S103)</f>
        <v>221150</v>
      </c>
      <c r="T104" s="308">
        <f>SUM(T62:T103)</f>
        <v>223630</v>
      </c>
      <c r="U104" s="308">
        <f>SUM(U62:U103)</f>
        <v>444780</v>
      </c>
    </row>
  </sheetData>
  <customSheetViews>
    <customSheetView guid="{074EB09C-6289-46D7-9513-012B68BCA7BF}" showPageBreaks="1" topLeftCell="H1">
      <pageMargins left="0.7" right="0.7" top="0.75" bottom="0.75" header="0.3" footer="0.3"/>
      <pageSetup orientation="portrait" r:id="rId1"/>
    </customSheetView>
  </customSheetViews>
  <mergeCells count="16">
    <mergeCell ref="Q2:R2"/>
    <mergeCell ref="S2:U2"/>
    <mergeCell ref="V2:V3"/>
    <mergeCell ref="D9:E9"/>
    <mergeCell ref="I9:L9"/>
    <mergeCell ref="M9:N9"/>
    <mergeCell ref="B60:K60"/>
    <mergeCell ref="L60:R60"/>
    <mergeCell ref="S60:U60"/>
    <mergeCell ref="V60:X60"/>
    <mergeCell ref="C10:F10"/>
    <mergeCell ref="I10:L10"/>
    <mergeCell ref="M10:O10"/>
    <mergeCell ref="P10:R10"/>
    <mergeCell ref="I11:K11"/>
    <mergeCell ref="D59:H59"/>
  </mergeCells>
  <pageMargins left="0.27" right="0.28000000000000003" top="0.38" bottom="0.37" header="0.3" footer="0.3"/>
  <pageSetup paperSize="17" scale="53"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2012-10-28T07:00:00+00:00</OpenedDate>
    <Date1 xmlns="dc463f71-b30c-4ab2-9473-d307f9d35888">2012-10-28T07:00:00+00:00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121911</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009DC9E6F17514B83C103C8ADBF1668" ma:contentTypeVersion="139" ma:contentTypeDescription="" ma:contentTypeScope="" ma:versionID="989ab8e6d261200f7e5abf496d40f48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1af0c028-e016-4365-948e-cc2e26d65303" ContentTypeId="0x0101006E56B4D1795A2E4DB2F0B01679ED314A" PreviousValue="true"/>
</file>

<file path=customXml/itemProps1.xml><?xml version="1.0" encoding="utf-8"?>
<ds:datastoreItem xmlns:ds="http://schemas.openxmlformats.org/officeDocument/2006/customXml" ds:itemID="{E60F15E5-0D61-4B42-A9A9-334477D95147}"/>
</file>

<file path=customXml/itemProps2.xml><?xml version="1.0" encoding="utf-8"?>
<ds:datastoreItem xmlns:ds="http://schemas.openxmlformats.org/officeDocument/2006/customXml" ds:itemID="{A68CE45C-7D2E-4334-BAEB-19147F187535}"/>
</file>

<file path=customXml/itemProps3.xml><?xml version="1.0" encoding="utf-8"?>
<ds:datastoreItem xmlns:ds="http://schemas.openxmlformats.org/officeDocument/2006/customXml" ds:itemID="{9C0FE0A2-3440-4011-803F-8D2950E2D0E1}"/>
</file>

<file path=customXml/itemProps4.xml><?xml version="1.0" encoding="utf-8"?>
<ds:datastoreItem xmlns:ds="http://schemas.openxmlformats.org/officeDocument/2006/customXml" ds:itemID="{9305FC3F-430D-487F-8852-3A159465199A}"/>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87</vt:i4>
      </vt:variant>
    </vt:vector>
  </HeadingPairs>
  <TitlesOfParts>
    <vt:vector size="87" baseType="lpstr">
      <vt:lpstr>CE Segment Definitions</vt:lpstr>
      <vt:lpstr>1) Portfolio View</vt:lpstr>
      <vt:lpstr>1a) Portfolio--2012 only</vt:lpstr>
      <vt:lpstr>2) Sector View Electric</vt:lpstr>
      <vt:lpstr>3) Sector View Gas</vt:lpstr>
      <vt:lpstr>4) Detail_REM Sch 201 Elec </vt:lpstr>
      <vt:lpstr>5) Detail_REM Sch 214 Elec</vt:lpstr>
      <vt:lpstr>5a) Detail_214HomePrint Elec</vt:lpstr>
      <vt:lpstr>5b) Detail_214WaterHeat Elec</vt:lpstr>
      <vt:lpstr>5c) Detail_214Wx Elec</vt:lpstr>
      <vt:lpstr>5d) Detail_214SpcHeat Elec</vt:lpstr>
      <vt:lpstr>5e) Detail_214RefRepl Elec</vt:lpstr>
      <vt:lpstr>5f) Detail_214HmAppplc Elec</vt:lpstr>
      <vt:lpstr>5g) Detail_214ShwrHead  Elec</vt:lpstr>
      <vt:lpstr>5h) Detail_214Lighting Elec</vt:lpstr>
      <vt:lpstr>6) Detail_REM Sch 215 Elec</vt:lpstr>
      <vt:lpstr>6a) Detail_215NCMfgHome Elec</vt:lpstr>
      <vt:lpstr>7) Detail_REM Sch 216 Elec</vt:lpstr>
      <vt:lpstr>8) Detail_REM Sch 217 Elec</vt:lpstr>
      <vt:lpstr>9) Detail_REM Sch 218 Elec</vt:lpstr>
      <vt:lpstr>10) Detail_REM Sch 249 Elec</vt:lpstr>
      <vt:lpstr>10a) Detail_249HmEngryRpt  Elec</vt:lpstr>
      <vt:lpstr>11) Detail_REM Sch 203 Gas</vt:lpstr>
      <vt:lpstr>12) Detail_REM Sch 214 Gas</vt:lpstr>
      <vt:lpstr>12a) Detail_214HmPrint Gas</vt:lpstr>
      <vt:lpstr>12b) Detail_214WtrHeat Gas</vt:lpstr>
      <vt:lpstr>12c) Detail_214Wx Gas</vt:lpstr>
      <vt:lpstr>12d) Detail_214SpHeat Gas</vt:lpstr>
      <vt:lpstr>12e) Detail_214ShwrHead Gas</vt:lpstr>
      <vt:lpstr>12f) Detail_214HmApplSvgs Gas</vt:lpstr>
      <vt:lpstr>13) Detail_REM Sch 215 Gas</vt:lpstr>
      <vt:lpstr>13a) Detail_215MfgHomes Gas</vt:lpstr>
      <vt:lpstr>14) Detail_REM Sch 217 Gas</vt:lpstr>
      <vt:lpstr>15) Detail_REM Sch 218 Gas</vt:lpstr>
      <vt:lpstr>16) Detail_REM Sch 249 Gas</vt:lpstr>
      <vt:lpstr>16a) Detail_249HmEnrgyRpt Gas</vt:lpstr>
      <vt:lpstr>17) Detail_BEM Sch 250 Elec</vt:lpstr>
      <vt:lpstr>18) Detail_BEM Sch 251 Elec</vt:lpstr>
      <vt:lpstr>19) Detail_BEM Sch 253 Elec</vt:lpstr>
      <vt:lpstr>20) Detail_BEM Sch 255 Elec</vt:lpstr>
      <vt:lpstr>21) Detail_BEM Sch 257 Elec</vt:lpstr>
      <vt:lpstr>22) Detail_BEM Sch 258 Elec</vt:lpstr>
      <vt:lpstr>23) Detail_BEM Sch 261 Elec</vt:lpstr>
      <vt:lpstr>24) Detail_BEM Sch 262 Elec</vt:lpstr>
      <vt:lpstr>25) Detail_BEM Sch 205 Gas</vt:lpstr>
      <vt:lpstr>26) Detail_BEM Sch 208 Gas</vt:lpstr>
      <vt:lpstr>27) Detail_BEM Sch 251 Gas</vt:lpstr>
      <vt:lpstr>28) Detail_BEM Sch 261 Gas</vt:lpstr>
      <vt:lpstr>29) Detail_BEM Sch 262 Gas</vt:lpstr>
      <vt:lpstr>30) Detail_NEEA elec</vt:lpstr>
      <vt:lpstr>31) Detail_T&amp;D elec</vt:lpstr>
      <vt:lpstr>32) Detail_PS_Cust Engage Elec</vt:lpstr>
      <vt:lpstr>32a) Detail_PSCE_EAs Elec</vt:lpstr>
      <vt:lpstr>32b) Detail_PSCE_Events Elec</vt:lpstr>
      <vt:lpstr>32c) Detail_PSCE_Broch Elec</vt:lpstr>
      <vt:lpstr>32d) Detail_PSCE_Edu Elec</vt:lpstr>
      <vt:lpstr>33) Detail_PS_Web Exp Elec</vt:lpstr>
      <vt:lpstr>33a) Detail_PSWE_Main Grn Elec</vt:lpstr>
      <vt:lpstr>33b) Detail_PSWE_Mkt Int Elec</vt:lpstr>
      <vt:lpstr>34) Detail_PS_EE Comm Elec</vt:lpstr>
      <vt:lpstr>35) Detail_PS_ Trade Ally Elec</vt:lpstr>
      <vt:lpstr>36) Detail_PS_Mktg Resch Elec</vt:lpstr>
      <vt:lpstr>37) Detail_PS Cust Engage Gas</vt:lpstr>
      <vt:lpstr>37a) Detail_PSCE_EAs Gas</vt:lpstr>
      <vt:lpstr>37b) Detail_PSCE_Events Gas</vt:lpstr>
      <vt:lpstr>37c) Detail_PSCE_Broch Gas</vt:lpstr>
      <vt:lpstr>37d) Detail_PSCE_Edu Gas</vt:lpstr>
      <vt:lpstr>38) Detail_PS_Web Exp Gas</vt:lpstr>
      <vt:lpstr>38a) Detail_PSWE_Main Grn Gas</vt:lpstr>
      <vt:lpstr>38b) Detail_PSWE_Mkt Int Gas</vt:lpstr>
      <vt:lpstr>39) Detail_PS_EE Comm Gas</vt:lpstr>
      <vt:lpstr>40) Detail_PS_Trade Ally gas</vt:lpstr>
      <vt:lpstr>41) Detail_PS_Mktg Rsch gas</vt:lpstr>
      <vt:lpstr>42) Detail_R&amp;C_Supp Crv Elec</vt:lpstr>
      <vt:lpstr>43) Detail_R&amp;C_Strat Pln Elec</vt:lpstr>
      <vt:lpstr>44) Detail_R&amp;C_Eval Elec</vt:lpstr>
      <vt:lpstr>45) Detail_R&amp;C_Support Elec</vt:lpstr>
      <vt:lpstr>46) Detail_R&amp;C_Supp Crv gas</vt:lpstr>
      <vt:lpstr>47) Detail_R&amp;C_Strat Pln Gas</vt:lpstr>
      <vt:lpstr>48) Detail_R&amp;C_Eval Gas</vt:lpstr>
      <vt:lpstr>49) Detail_R&amp;C_Support Gas</vt:lpstr>
      <vt:lpstr>50) Details_Oth Elec_Net Mtr</vt:lpstr>
      <vt:lpstr>51) Details_Oth Elec_Renew Ed</vt:lpstr>
      <vt:lpstr>52) Details_Oth Elec_CI Load Cr</vt:lpstr>
      <vt:lpstr>53) Details_Oth Elec_Res DR</vt:lpstr>
      <vt:lpstr>54) BEM In-house savings</vt:lpstr>
      <vt:lpstr>55) BEM Contracted savings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Lisa Wyse, Records Manager</cp:lastModifiedBy>
  <cp:lastPrinted>2011-10-26T00:29:17Z</cp:lastPrinted>
  <dcterms:created xsi:type="dcterms:W3CDTF">2011-07-20T22:26:18Z</dcterms:created>
  <dcterms:modified xsi:type="dcterms:W3CDTF">2012-12-04T20:19:28Z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0x0101006E56B4D1795A2E4DB2F0B01679ED314A00D009DC9E6F17514B83C103C8ADBF1668</vt:lpwstr>
  </property>
  <property fmtid="{D5CDD505-2E9C-101B-9397-08002B2CF9AE}" pid="3" name="_docset_NoMedatataSyncRequired">
    <vt:lpwstr>False</vt:lpwstr>
  </property>
</Properties>
</file>